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42" i="38" l="1"/>
  <c r="D842" i="38"/>
  <c r="V842" i="38" s="1"/>
  <c r="X842" i="38" s="1"/>
  <c r="E842" i="38"/>
  <c r="G842" i="38"/>
  <c r="H842" i="38"/>
  <c r="K842" i="38"/>
  <c r="L842" i="38" s="1"/>
  <c r="M842" i="38"/>
  <c r="N842" i="38" s="1"/>
  <c r="S842" i="38"/>
  <c r="P842" i="38" l="1"/>
  <c r="Q842" i="38" s="1"/>
  <c r="W842" i="38"/>
  <c r="O842" i="38"/>
  <c r="Z842" i="38"/>
  <c r="U842" i="38"/>
  <c r="A841" i="38"/>
  <c r="D841" i="38"/>
  <c r="E841" i="38"/>
  <c r="G841" i="38"/>
  <c r="H841" i="38"/>
  <c r="K841" i="38"/>
  <c r="L841" i="38" s="1"/>
  <c r="M841" i="38"/>
  <c r="U841" i="38" s="1"/>
  <c r="S841" i="38"/>
  <c r="F51" i="108"/>
  <c r="H51" i="108"/>
  <c r="G51" i="108"/>
  <c r="F154" i="58"/>
  <c r="H154" i="58"/>
  <c r="G154" i="58"/>
  <c r="K33" i="58"/>
  <c r="Y842" i="38" l="1"/>
  <c r="P841" i="38"/>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C18"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F19" i="127"/>
  <c r="H85" i="127"/>
  <c r="M85" i="127"/>
  <c r="F85" i="127"/>
  <c r="C19" i="127"/>
  <c r="K85" i="127"/>
  <c r="K19" i="127"/>
  <c r="H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T265" i="1" l="1"/>
  <c r="F86" i="92"/>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H18"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C18"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M19" i="126"/>
  <c r="H19" i="126"/>
  <c r="F85" i="126"/>
  <c r="C19" i="126"/>
  <c r="M85" i="126"/>
  <c r="H85" i="126"/>
  <c r="C85" i="126"/>
  <c r="K85"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19" i="125"/>
  <c r="C19" i="125"/>
  <c r="K85" i="125"/>
  <c r="M19" i="125"/>
  <c r="H85" i="125"/>
  <c r="M85" i="125"/>
  <c r="F85" i="125"/>
  <c r="K19" i="125"/>
  <c r="C85" i="125"/>
  <c r="F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4"/>
  <c r="M85" i="123"/>
  <c r="F85" i="123"/>
  <c r="K19" i="123"/>
  <c r="K85" i="124"/>
  <c r="F19" i="123"/>
  <c r="F85" i="124"/>
  <c r="C19" i="124"/>
  <c r="K85" i="123"/>
  <c r="H19" i="123"/>
  <c r="K19" i="124"/>
  <c r="C85" i="124"/>
  <c r="H19" i="124"/>
  <c r="C19" i="123"/>
  <c r="H85" i="124"/>
  <c r="M19" i="124"/>
  <c r="C85" i="123"/>
  <c r="F19" i="124"/>
  <c r="H85" i="123"/>
  <c r="M19" i="123"/>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C19" i="122"/>
  <c r="F85" i="122"/>
  <c r="K85" i="122"/>
  <c r="K19" i="122"/>
  <c r="M85" i="122"/>
  <c r="H19" i="122"/>
  <c r="M19" i="122"/>
  <c r="F19" i="122"/>
  <c r="C85" i="122"/>
  <c r="H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7" i="58"/>
  <c r="H147" i="58"/>
  <c r="G147"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0"/>
  <c r="C85" i="120"/>
  <c r="H19" i="121"/>
  <c r="C19" i="121"/>
  <c r="K85" i="120"/>
  <c r="C19" i="120"/>
  <c r="F85" i="120"/>
  <c r="F19" i="120"/>
  <c r="K19" i="121"/>
  <c r="H85" i="120"/>
  <c r="C85" i="121"/>
  <c r="H85" i="121"/>
  <c r="M19" i="120"/>
  <c r="M85" i="121"/>
  <c r="H19" i="120"/>
  <c r="K85" i="121"/>
  <c r="F85" i="121"/>
  <c r="F19" i="121"/>
  <c r="M19" i="121"/>
  <c r="K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F85" i="119"/>
  <c r="K19" i="119"/>
  <c r="M19" i="119"/>
  <c r="M85" i="119"/>
  <c r="C85" i="119"/>
  <c r="C19" i="119"/>
  <c r="K85" i="119"/>
  <c r="F19" i="119"/>
  <c r="H85" i="119"/>
  <c r="P785" i="38" l="1"/>
  <c r="O785" i="38"/>
  <c r="M66" i="119"/>
  <c r="Q10" i="119" s="1"/>
  <c r="Q2" i="119"/>
  <c r="Q5" i="119" s="1"/>
  <c r="U785" i="38"/>
  <c r="Z785" i="38"/>
  <c r="Q8" i="119"/>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C19" i="118"/>
  <c r="M85" i="118"/>
  <c r="F85" i="118"/>
  <c r="M19" i="118"/>
  <c r="C85" i="118"/>
  <c r="H19" i="118"/>
  <c r="F19" i="118"/>
  <c r="H85" i="118"/>
  <c r="K19" i="118"/>
  <c r="Q3" i="119" l="1"/>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F85" i="117"/>
  <c r="K85" i="116"/>
  <c r="K19" i="117"/>
  <c r="K85" i="117"/>
  <c r="C19" i="116"/>
  <c r="C85" i="117"/>
  <c r="F19" i="116"/>
  <c r="H19" i="117"/>
  <c r="H85" i="117"/>
  <c r="M19" i="116"/>
  <c r="M19" i="117"/>
  <c r="F85" i="116"/>
  <c r="K19" i="116"/>
  <c r="C85" i="116"/>
  <c r="F19" i="117"/>
  <c r="H19" i="116"/>
  <c r="M85" i="117"/>
  <c r="H85" i="116"/>
  <c r="C19" i="117"/>
  <c r="M85"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85" i="115"/>
  <c r="H85" i="115"/>
  <c r="M19" i="115"/>
  <c r="H19" i="115"/>
  <c r="F19" i="115"/>
  <c r="M85" i="115"/>
  <c r="C19" i="115"/>
  <c r="K85" i="115"/>
  <c r="K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85" i="114"/>
  <c r="H19" i="114"/>
  <c r="F85" i="114"/>
  <c r="C19" i="114"/>
  <c r="M85" i="114"/>
  <c r="F19" i="114"/>
  <c r="K85" i="114"/>
  <c r="H85" i="114"/>
  <c r="M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F85" i="113"/>
  <c r="K19" i="113"/>
  <c r="H19" i="113"/>
  <c r="K85" i="112"/>
  <c r="K19" i="112"/>
  <c r="M85" i="112"/>
  <c r="H85" i="112"/>
  <c r="K85" i="113"/>
  <c r="C85" i="112"/>
  <c r="C19" i="113"/>
  <c r="F19" i="112"/>
  <c r="M85" i="113"/>
  <c r="H19" i="112"/>
  <c r="M19" i="112"/>
  <c r="F85" i="112"/>
  <c r="M19" i="113"/>
  <c r="F19" i="113"/>
  <c r="C85" i="113"/>
  <c r="C19" i="112"/>
  <c r="H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M85" i="110"/>
  <c r="K85" i="110"/>
  <c r="C85" i="110"/>
  <c r="K85" i="111"/>
  <c r="F85" i="110"/>
  <c r="M85" i="111"/>
  <c r="C85" i="111"/>
  <c r="F19" i="110"/>
  <c r="C19" i="110"/>
  <c r="K19" i="110"/>
  <c r="H85" i="111"/>
  <c r="H19" i="111"/>
  <c r="K19" i="111"/>
  <c r="F19" i="111"/>
  <c r="C19" i="111"/>
  <c r="M19" i="111"/>
  <c r="H19" i="110"/>
  <c r="M19" i="110"/>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H85" i="109"/>
  <c r="C19" i="109"/>
  <c r="M85" i="109"/>
  <c r="M19" i="109"/>
  <c r="C85" i="109"/>
  <c r="H19" i="109"/>
  <c r="K19" i="109"/>
  <c r="F19" i="109"/>
  <c r="F85" i="109"/>
  <c r="K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3" i="25"/>
  <c r="H303" i="25"/>
  <c r="G303"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7" i="58"/>
  <c r="H127" i="58"/>
  <c r="G127"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18" i="108" s="1"/>
  <c r="F85" i="108"/>
  <c r="C19" i="108"/>
  <c r="M19" i="108"/>
  <c r="F19" i="108"/>
  <c r="K19" i="108"/>
  <c r="K85" i="108"/>
  <c r="M85" i="108"/>
  <c r="C85" i="108"/>
  <c r="H85"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H19" i="107"/>
  <c r="F19" i="107"/>
  <c r="M85" i="107"/>
  <c r="C19" i="107"/>
  <c r="M19" i="107"/>
  <c r="K85" i="107"/>
  <c r="C85" i="107"/>
  <c r="F85" i="107"/>
  <c r="H85" i="107"/>
  <c r="K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K19" i="106"/>
  <c r="H85" i="106"/>
  <c r="C19" i="106"/>
  <c r="K85" i="106"/>
  <c r="M19" i="106"/>
  <c r="H19" i="106"/>
  <c r="M85" i="106"/>
  <c r="C85" i="106"/>
  <c r="F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H39" i="46"/>
  <c r="C39" i="46"/>
  <c r="H19" i="47"/>
  <c r="M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C85" i="105"/>
  <c r="K85" i="105"/>
  <c r="M85" i="105"/>
  <c r="H19" i="105"/>
  <c r="C19" i="105"/>
  <c r="K19" i="105"/>
  <c r="F19" i="105"/>
  <c r="H85" i="105"/>
  <c r="M19" i="105"/>
  <c r="F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4" i="58"/>
  <c r="F114" i="58"/>
  <c r="H114"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H19" i="104"/>
  <c r="M19" i="104"/>
  <c r="K85" i="104"/>
  <c r="C19" i="104"/>
  <c r="F19" i="104"/>
  <c r="K19" i="104"/>
  <c r="C85" i="104"/>
  <c r="H85" i="104"/>
  <c r="F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5" i="25"/>
  <c r="H245" i="25"/>
  <c r="G245" i="25"/>
  <c r="F75" i="25"/>
  <c r="F31" i="47"/>
  <c r="H31" i="47"/>
  <c r="G31" i="47"/>
  <c r="F9" i="47"/>
  <c r="F34" i="91"/>
  <c r="H34" i="91"/>
  <c r="G34" i="91"/>
  <c r="F7" i="91"/>
  <c r="F64" i="81"/>
  <c r="H64" i="81"/>
  <c r="G64" i="81"/>
  <c r="F18" i="81"/>
  <c r="F103" i="58"/>
  <c r="H103" i="58"/>
  <c r="G103"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101" i="58"/>
  <c r="H101" i="58"/>
  <c r="G101"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100" i="58"/>
  <c r="H100" i="58"/>
  <c r="G100"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9" i="58"/>
  <c r="H99" i="58"/>
  <c r="G99"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K18" i="103"/>
  <c r="H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C91" i="103"/>
  <c r="K19" i="89"/>
  <c r="C19" i="103"/>
  <c r="H91" i="103"/>
  <c r="H19" i="103"/>
  <c r="F19" i="103"/>
  <c r="K19" i="103"/>
  <c r="M91" i="103"/>
  <c r="K91" i="103"/>
  <c r="M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C19" i="102"/>
  <c r="F87" i="102"/>
  <c r="K19" i="102"/>
  <c r="H87" i="102"/>
  <c r="H19" i="102"/>
  <c r="M19" i="102"/>
  <c r="M87" i="102"/>
  <c r="C87" i="102"/>
  <c r="F19" i="102"/>
  <c r="K87"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K22" i="101"/>
  <c r="M19" i="99"/>
  <c r="K85" i="100"/>
  <c r="K90" i="101"/>
  <c r="F22" i="101"/>
  <c r="H22" i="101"/>
  <c r="H85" i="99"/>
  <c r="C90" i="101"/>
  <c r="F90" i="101"/>
  <c r="M85" i="99"/>
  <c r="C85" i="99"/>
  <c r="M85" i="100"/>
  <c r="H90" i="101"/>
  <c r="F19" i="100"/>
  <c r="M19" i="100"/>
  <c r="M22" i="101"/>
  <c r="K85" i="99"/>
  <c r="C22" i="101"/>
  <c r="F85" i="100"/>
  <c r="K19" i="100"/>
  <c r="C85" i="100"/>
  <c r="M90" i="101"/>
  <c r="C19" i="100"/>
  <c r="H19" i="99"/>
  <c r="H19" i="100"/>
  <c r="C19" i="99"/>
  <c r="K19" i="99"/>
  <c r="F85" i="99"/>
  <c r="H85" i="100"/>
  <c r="F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8"/>
  <c r="C19" i="97"/>
  <c r="K85" i="98"/>
  <c r="H85" i="97"/>
  <c r="H85" i="98"/>
  <c r="F85" i="98"/>
  <c r="K25" i="88"/>
  <c r="C85" i="97"/>
  <c r="F85" i="97"/>
  <c r="K19" i="97"/>
  <c r="C85" i="98"/>
  <c r="H19" i="97"/>
  <c r="K85" i="97"/>
  <c r="M85" i="98"/>
  <c r="C19" i="98"/>
  <c r="M85" i="97"/>
  <c r="M19" i="98"/>
  <c r="H19" i="98"/>
  <c r="F19" i="97"/>
  <c r="M19" i="97"/>
  <c r="F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3" i="58"/>
  <c r="H93" i="58"/>
  <c r="G93" i="58"/>
  <c r="K14" i="58"/>
  <c r="F92" i="58"/>
  <c r="H92" i="58"/>
  <c r="G92" i="58"/>
  <c r="K13" i="58"/>
  <c r="M19" i="96"/>
  <c r="C94" i="96"/>
  <c r="K94" i="96"/>
  <c r="F19" i="96"/>
  <c r="H19" i="96"/>
  <c r="H94" i="96"/>
  <c r="M94" i="96"/>
  <c r="C19" i="96"/>
  <c r="K19" i="96"/>
  <c r="F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91" i="58"/>
  <c r="H91" i="58"/>
  <c r="G91"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C85" i="95"/>
  <c r="H19" i="95"/>
  <c r="M85" i="95"/>
  <c r="M19" i="95"/>
  <c r="H85" i="95"/>
  <c r="K85" i="95"/>
  <c r="F85" i="95"/>
  <c r="K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19" i="94"/>
  <c r="F85" i="94"/>
  <c r="K85" i="94"/>
  <c r="H85" i="94"/>
  <c r="M85" i="94"/>
  <c r="M19" i="94"/>
  <c r="C19" i="94"/>
  <c r="C85" i="94"/>
  <c r="F19" i="94"/>
  <c r="K19"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0" i="93"/>
  <c r="F110" i="93"/>
  <c r="M110" i="93"/>
  <c r="M26" i="93"/>
  <c r="K110" i="93"/>
  <c r="F26" i="93"/>
  <c r="H110" i="93"/>
  <c r="H26"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19" i="91"/>
  <c r="K114" i="92"/>
  <c r="M19" i="91"/>
  <c r="M28" i="92"/>
  <c r="F85" i="91"/>
  <c r="H114" i="92"/>
  <c r="C85" i="91"/>
  <c r="C28" i="92"/>
  <c r="F19" i="91"/>
  <c r="H85" i="91"/>
  <c r="H19" i="91"/>
  <c r="F114" i="92"/>
  <c r="M85" i="91"/>
  <c r="C114" i="92"/>
  <c r="K85" i="91"/>
  <c r="M114" i="92"/>
  <c r="F19" i="47"/>
  <c r="K19" i="91"/>
  <c r="K28" i="92"/>
  <c r="F28" i="92"/>
  <c r="H28" i="92"/>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4" i="25"/>
  <c r="H204" i="25"/>
  <c r="G204" i="25"/>
  <c r="K38" i="25"/>
  <c r="F111" i="51"/>
  <c r="G111" i="51"/>
  <c r="H111" i="51"/>
  <c r="F25" i="51"/>
  <c r="K15" i="51"/>
  <c r="K71" i="74"/>
  <c r="F71" i="74"/>
  <c r="K70" i="74"/>
  <c r="F70" i="74"/>
  <c r="K69" i="74"/>
  <c r="F69" i="74"/>
  <c r="K68" i="74"/>
  <c r="F68" i="74"/>
  <c r="M67" i="74"/>
  <c r="M80" i="74" s="1"/>
  <c r="K67" i="74"/>
  <c r="F67" i="74"/>
  <c r="K66" i="74"/>
  <c r="F66" i="74"/>
  <c r="K65" i="74"/>
  <c r="F65" i="74"/>
  <c r="K64" i="74"/>
  <c r="F64" i="74"/>
  <c r="K63" i="74"/>
  <c r="F63"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2" i="74"/>
  <c r="G92" i="74"/>
  <c r="F92" i="74"/>
  <c r="H91" i="74"/>
  <c r="G91" i="74"/>
  <c r="F91" i="74"/>
  <c r="H89" i="74"/>
  <c r="G89" i="74"/>
  <c r="F89" i="74"/>
  <c r="H88" i="74"/>
  <c r="G88" i="74"/>
  <c r="F88" i="74"/>
  <c r="H87" i="74"/>
  <c r="G87" i="74"/>
  <c r="F8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F85" i="90"/>
  <c r="K19" i="90"/>
  <c r="M85" i="90"/>
  <c r="H19" i="90"/>
  <c r="H85" i="90"/>
  <c r="M19" i="90"/>
  <c r="K85" i="90"/>
  <c r="C19" i="90"/>
  <c r="F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C85" i="89"/>
  <c r="H60" i="51"/>
  <c r="K85" i="89"/>
  <c r="M19" i="89"/>
  <c r="H19" i="89"/>
  <c r="M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07" i="88"/>
  <c r="C19" i="87"/>
  <c r="K107" i="88"/>
  <c r="H107" i="88"/>
  <c r="M25" i="88"/>
  <c r="M85" i="87"/>
  <c r="C85" i="87"/>
  <c r="M107" i="88"/>
  <c r="F19" i="87"/>
  <c r="H19" i="87"/>
  <c r="M19" i="87"/>
  <c r="F25" i="88"/>
  <c r="C107" i="88"/>
  <c r="K19" i="87"/>
  <c r="H85" i="87"/>
  <c r="K85" i="87"/>
  <c r="F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C85" i="86"/>
  <c r="M85" i="86"/>
  <c r="H19" i="86"/>
  <c r="F85" i="86"/>
  <c r="F19" i="86"/>
  <c r="M19" i="86"/>
  <c r="H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79" i="58"/>
  <c r="H79" i="58"/>
  <c r="G79"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5"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19" i="85"/>
  <c r="C19" i="85"/>
  <c r="F85" i="85"/>
  <c r="K85" i="85"/>
  <c r="C85" i="85"/>
  <c r="H85" i="85"/>
  <c r="K19" i="85"/>
  <c r="M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F85" i="83"/>
  <c r="H85" i="83"/>
  <c r="C19" i="83"/>
  <c r="K110" i="84"/>
  <c r="K19" i="83"/>
  <c r="F110" i="84"/>
  <c r="F25" i="84"/>
  <c r="C110" i="84"/>
  <c r="H110" i="84"/>
  <c r="H25" i="84"/>
  <c r="C25" i="84"/>
  <c r="M110" i="84"/>
  <c r="M25" i="84"/>
  <c r="M85" i="83"/>
  <c r="F19" i="83"/>
  <c r="C85" i="83"/>
  <c r="H19" i="83"/>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8" i="74"/>
  <c r="C60" i="82"/>
  <c r="C19" i="82"/>
  <c r="F19" i="82"/>
  <c r="M19" i="82"/>
  <c r="M60" i="82"/>
  <c r="H19" i="82"/>
  <c r="H18" i="74"/>
  <c r="H60" i="82"/>
  <c r="K60" i="82"/>
  <c r="F60" i="82"/>
  <c r="M18" i="74"/>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M78" i="75"/>
  <c r="H78" i="75"/>
  <c r="H96" i="31"/>
  <c r="K78" i="75"/>
  <c r="C96" i="31"/>
  <c r="K96" i="31"/>
  <c r="M96" i="31"/>
  <c r="C78" i="75"/>
  <c r="F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M19" i="64"/>
  <c r="K85" i="64"/>
  <c r="M85" i="64"/>
  <c r="H19" i="64"/>
  <c r="K19"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F30" i="81"/>
  <c r="H110" i="81"/>
  <c r="C110" i="81"/>
  <c r="M30" i="81"/>
  <c r="H3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F85" i="80"/>
  <c r="C19" i="80"/>
  <c r="F19" i="80"/>
  <c r="H85" i="80"/>
  <c r="H19" i="80"/>
  <c r="M19" i="80"/>
  <c r="C85" i="80"/>
  <c r="M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65" i="79"/>
  <c r="C19" i="79"/>
  <c r="C65" i="79"/>
  <c r="H19" i="79"/>
  <c r="H65" i="79"/>
  <c r="F19" i="79"/>
  <c r="F65" i="79"/>
  <c r="M19" i="79"/>
  <c r="K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H19" i="78"/>
  <c r="H85" i="78"/>
  <c r="M85" i="78"/>
  <c r="K85" i="78"/>
  <c r="F19" i="78"/>
  <c r="F85" i="78"/>
  <c r="M19" i="78"/>
  <c r="C19" i="78"/>
  <c r="C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H89" i="77"/>
  <c r="F19" i="77"/>
  <c r="H19" i="77"/>
  <c r="M19" i="77"/>
  <c r="F89" i="77"/>
  <c r="M89" i="77"/>
  <c r="C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60" i="58"/>
  <c r="H60" i="58"/>
  <c r="G60"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M77" i="69"/>
  <c r="F77" i="69"/>
  <c r="H77" i="69"/>
  <c r="K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2" i="69" l="1"/>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F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M93" i="68"/>
  <c r="C93" i="68"/>
  <c r="H93" i="68"/>
  <c r="F93" i="68"/>
  <c r="K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F883" i="25"/>
  <c r="K883" i="25"/>
  <c r="C883" i="25"/>
  <c r="M883" i="25"/>
  <c r="H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0" i="74"/>
  <c r="H80" i="74"/>
  <c r="F80" i="74"/>
  <c r="C8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0" i="58"/>
  <c r="H220" i="58"/>
  <c r="C220" i="58"/>
  <c r="K211" i="58"/>
  <c r="F211" i="58"/>
  <c r="K210" i="58"/>
  <c r="F210" i="58"/>
  <c r="K204" i="58"/>
  <c r="F204"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H181" i="58"/>
  <c r="G181" i="58"/>
  <c r="F181" i="58"/>
  <c r="H180" i="58"/>
  <c r="G180" i="58"/>
  <c r="F180" i="58"/>
  <c r="P39" i="58"/>
  <c r="H179" i="58"/>
  <c r="G179" i="58"/>
  <c r="F179" i="58"/>
  <c r="P38" i="58"/>
  <c r="H178" i="58"/>
  <c r="G178" i="58"/>
  <c r="F178" i="58"/>
  <c r="P37" i="58"/>
  <c r="H177" i="58"/>
  <c r="G177" i="58"/>
  <c r="F177" i="58"/>
  <c r="P36" i="58"/>
  <c r="H176" i="58"/>
  <c r="G176" i="58"/>
  <c r="F176" i="58"/>
  <c r="P35" i="58"/>
  <c r="P34" i="58"/>
  <c r="P33" i="58"/>
  <c r="P32" i="58"/>
  <c r="H172" i="58"/>
  <c r="G172" i="58"/>
  <c r="F172" i="58"/>
  <c r="P31" i="58"/>
  <c r="H171" i="58"/>
  <c r="G171" i="58"/>
  <c r="F171" i="58"/>
  <c r="P30" i="58"/>
  <c r="H170" i="58"/>
  <c r="G170" i="58"/>
  <c r="F170" i="58"/>
  <c r="P29" i="58"/>
  <c r="H169" i="58"/>
  <c r="G169" i="58"/>
  <c r="F169" i="58"/>
  <c r="P28" i="58"/>
  <c r="H168" i="58"/>
  <c r="G168" i="58"/>
  <c r="F168" i="58"/>
  <c r="P27" i="58"/>
  <c r="H167" i="58"/>
  <c r="G167" i="58"/>
  <c r="F167" i="58"/>
  <c r="P26" i="58"/>
  <c r="H166" i="58"/>
  <c r="G166" i="58"/>
  <c r="F166" i="58"/>
  <c r="P25" i="58"/>
  <c r="H165" i="58"/>
  <c r="G165" i="58"/>
  <c r="F165" i="58"/>
  <c r="P24" i="58"/>
  <c r="H164" i="58"/>
  <c r="G164" i="58"/>
  <c r="F164" i="58"/>
  <c r="P23" i="58"/>
  <c r="H163" i="58"/>
  <c r="G163" i="58"/>
  <c r="F163" i="58"/>
  <c r="P22" i="58"/>
  <c r="H162" i="58"/>
  <c r="G162" i="58"/>
  <c r="F162" i="58"/>
  <c r="P21" i="58"/>
  <c r="H161" i="58"/>
  <c r="G161" i="58"/>
  <c r="F161" i="58"/>
  <c r="P20" i="58"/>
  <c r="H160" i="58"/>
  <c r="G160" i="58"/>
  <c r="F160"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55" i="50"/>
  <c r="K19" i="52"/>
  <c r="M19" i="60"/>
  <c r="K19" i="60"/>
  <c r="F19" i="52"/>
  <c r="M23" i="17"/>
  <c r="M19" i="50"/>
  <c r="F19" i="62"/>
  <c r="C81" i="61"/>
  <c r="M23" i="57"/>
  <c r="M81" i="61"/>
  <c r="K30" i="40"/>
  <c r="M119" i="7"/>
  <c r="K55" i="50"/>
  <c r="C72" i="59"/>
  <c r="H19" i="62"/>
  <c r="C19" i="69"/>
  <c r="M156" i="49"/>
  <c r="K94" i="52"/>
  <c r="H51" i="54"/>
  <c r="H19" i="50"/>
  <c r="C19" i="75"/>
  <c r="C45" i="58"/>
  <c r="H19" i="75"/>
  <c r="M30" i="40"/>
  <c r="H19" i="70"/>
  <c r="F100" i="34"/>
  <c r="K19" i="53"/>
  <c r="F221" i="58"/>
  <c r="F451" i="17"/>
  <c r="H19" i="63"/>
  <c r="H19" i="59"/>
  <c r="H65" i="63"/>
  <c r="F19" i="59"/>
  <c r="F156" i="49"/>
  <c r="K86" i="53"/>
  <c r="F72" i="59"/>
  <c r="H108" i="45"/>
  <c r="F119" i="7"/>
  <c r="F19" i="69"/>
  <c r="M19" i="66"/>
  <c r="C19" i="41"/>
  <c r="M108" i="45"/>
  <c r="F65" i="71"/>
  <c r="F85" i="64"/>
  <c r="K108" i="45"/>
  <c r="K19" i="75"/>
  <c r="M65" i="71"/>
  <c r="C30" i="40"/>
  <c r="C65" i="63"/>
  <c r="K221" i="58"/>
  <c r="H63" i="66"/>
  <c r="K23" i="57"/>
  <c r="C19" i="62"/>
  <c r="C19" i="53"/>
  <c r="K19" i="34"/>
  <c r="K451" i="17"/>
  <c r="H19" i="34"/>
  <c r="H55" i="50"/>
  <c r="H25" i="31"/>
  <c r="M19" i="54"/>
  <c r="M213" i="57"/>
  <c r="C19" i="71"/>
  <c r="F19" i="41"/>
  <c r="H19" i="68"/>
  <c r="F30" i="40"/>
  <c r="M77" i="70"/>
  <c r="M65" i="63"/>
  <c r="C19" i="68"/>
  <c r="C19" i="64"/>
  <c r="C75" i="41"/>
  <c r="C19" i="60"/>
  <c r="C63" i="66"/>
  <c r="C100" i="34"/>
  <c r="K19" i="50"/>
  <c r="F19" i="60"/>
  <c r="H77" i="70"/>
  <c r="F19" i="53"/>
  <c r="C156" i="49"/>
  <c r="K65" i="63"/>
  <c r="M19" i="72"/>
  <c r="M19" i="73"/>
  <c r="C19" i="34"/>
  <c r="C85" i="64"/>
  <c r="F63" i="66"/>
  <c r="H19" i="71"/>
  <c r="F60" i="51"/>
  <c r="H19" i="53"/>
  <c r="C19" i="52"/>
  <c r="F90" i="72"/>
  <c r="F18" i="74"/>
  <c r="C19" i="66"/>
  <c r="K19" i="68"/>
  <c r="K23" i="17"/>
  <c r="C94" i="52"/>
  <c r="M451" i="17"/>
  <c r="K60" i="51"/>
  <c r="C30" i="49"/>
  <c r="F19" i="45"/>
  <c r="F19" i="68"/>
  <c r="F19" i="66"/>
  <c r="F19" i="54"/>
  <c r="H94" i="52"/>
  <c r="H67" i="60"/>
  <c r="K119" i="7"/>
  <c r="C86" i="53"/>
  <c r="C67" i="60"/>
  <c r="F19" i="71"/>
  <c r="K19" i="59"/>
  <c r="H19" i="73"/>
  <c r="H19" i="72"/>
  <c r="F213" i="57"/>
  <c r="M45" i="58"/>
  <c r="C108" i="45"/>
  <c r="C19" i="3"/>
  <c r="K18" i="74"/>
  <c r="K19" i="70"/>
  <c r="K19" i="66"/>
  <c r="F125" i="25"/>
  <c r="C19" i="50"/>
  <c r="M67" i="60"/>
  <c r="F19" i="61"/>
  <c r="H23" i="17"/>
  <c r="K19" i="54"/>
  <c r="K45" i="58"/>
  <c r="H221" i="58"/>
  <c r="K19" i="3"/>
  <c r="F19" i="55"/>
  <c r="F19" i="75"/>
  <c r="C23" i="57"/>
  <c r="H19" i="54"/>
  <c r="F75" i="41"/>
  <c r="K19" i="69"/>
  <c r="C19" i="61"/>
  <c r="H75" i="41"/>
  <c r="H19" i="60"/>
  <c r="C25" i="31"/>
  <c r="F28" i="43"/>
  <c r="H19" i="3"/>
  <c r="F19" i="73"/>
  <c r="F94" i="52"/>
  <c r="K100" i="34"/>
  <c r="F23" i="57"/>
  <c r="K156" i="49"/>
  <c r="K19" i="71"/>
  <c r="K77" i="70"/>
  <c r="M19" i="63"/>
  <c r="F19" i="70"/>
  <c r="F108" i="45"/>
  <c r="C19" i="70"/>
  <c r="K19" i="62"/>
  <c r="C119" i="7"/>
  <c r="K19" i="72"/>
  <c r="M86" i="53"/>
  <c r="H119" i="7"/>
  <c r="F25" i="31"/>
  <c r="C23" i="17"/>
  <c r="M90" i="72"/>
  <c r="M19" i="59"/>
  <c r="M19" i="41"/>
  <c r="K19" i="63"/>
  <c r="K19" i="55"/>
  <c r="K67" i="60"/>
  <c r="M19" i="3"/>
  <c r="H19" i="52"/>
  <c r="M19" i="61"/>
  <c r="F77" i="70"/>
  <c r="K72" i="59"/>
  <c r="M19" i="53"/>
  <c r="M25" i="31"/>
  <c r="K65" i="71"/>
  <c r="M60" i="51"/>
  <c r="M19" i="70"/>
  <c r="H65" i="71"/>
  <c r="C19" i="59"/>
  <c r="K51" i="54"/>
  <c r="H90" i="72"/>
  <c r="M100" i="34"/>
  <c r="C451" i="17"/>
  <c r="K19" i="73"/>
  <c r="F23" i="17"/>
  <c r="F19" i="34"/>
  <c r="C19" i="63"/>
  <c r="M30" i="49"/>
  <c r="C77" i="70"/>
  <c r="M94" i="52"/>
  <c r="C90" i="72"/>
  <c r="F19" i="72"/>
  <c r="H19" i="41"/>
  <c r="M19" i="34"/>
  <c r="F19" i="64"/>
  <c r="K63" i="66"/>
  <c r="M19" i="55"/>
  <c r="K25" i="31"/>
  <c r="C213" i="57"/>
  <c r="M19" i="45"/>
  <c r="F30" i="49"/>
  <c r="C19" i="72"/>
  <c r="H19" i="55"/>
  <c r="M19" i="69"/>
  <c r="F65" i="63"/>
  <c r="M51" i="54"/>
  <c r="H213" i="57"/>
  <c r="H156" i="49"/>
  <c r="M19" i="75"/>
  <c r="M72" i="59"/>
  <c r="F45" i="58"/>
  <c r="H86" i="53"/>
  <c r="M55" i="50"/>
  <c r="H451" i="17"/>
  <c r="F19" i="63"/>
  <c r="F86" i="53"/>
  <c r="M19" i="52"/>
  <c r="M19" i="62"/>
  <c r="F51" i="54"/>
  <c r="C221" i="58"/>
  <c r="C19" i="73"/>
  <c r="K81" i="61"/>
  <c r="F81" i="61"/>
  <c r="K213" i="57"/>
  <c r="K19" i="41"/>
  <c r="M19" i="68"/>
  <c r="H30" i="40"/>
  <c r="C19" i="55"/>
  <c r="H125" i="25"/>
  <c r="F55" i="50"/>
  <c r="K19" i="61"/>
  <c r="C125" i="25"/>
  <c r="C19" i="54"/>
  <c r="K90" i="72"/>
  <c r="H72" i="59"/>
  <c r="M19" i="71"/>
  <c r="H45" i="58"/>
  <c r="F19" i="50"/>
  <c r="M63" i="66"/>
  <c r="K75" i="41"/>
  <c r="M75" i="41"/>
  <c r="H100" i="34"/>
  <c r="H81" i="61"/>
  <c r="H19" i="66"/>
  <c r="C65" i="71"/>
  <c r="C51" i="54"/>
  <c r="C19" i="45"/>
  <c r="F67" i="60"/>
  <c r="H19" i="61"/>
  <c r="F19" i="3"/>
  <c r="M221" i="58"/>
  <c r="H19" i="69"/>
  <c r="V841" i="38" l="1"/>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1" i="74"/>
  <c r="Q10" i="74" s="1"/>
  <c r="K99" i="34"/>
  <c r="Q2" i="49"/>
  <c r="F155" i="49"/>
  <c r="Q2" i="41"/>
  <c r="Q8" i="41" s="1"/>
  <c r="F220" i="58"/>
  <c r="K22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41" i="38" s="1"/>
  <c r="Y84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39" i="38" l="1"/>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41"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Q8" i="24"/>
  <c r="Q3" i="34"/>
  <c r="Q6" i="34" s="1"/>
  <c r="Q8" i="44"/>
  <c r="Q7" i="44" s="1"/>
  <c r="M32" i="15"/>
  <c r="Q10" i="15" s="1"/>
  <c r="Q3" i="20"/>
  <c r="Q6" i="20" s="1"/>
  <c r="M46" i="71"/>
  <c r="Q10" i="71" s="1"/>
  <c r="Q3" i="24"/>
  <c r="Q6" i="24" s="1"/>
  <c r="Q8" i="58"/>
  <c r="W320" i="38"/>
  <c r="Q8" i="59"/>
  <c r="Q7" i="59" s="1"/>
  <c r="Q3" i="68"/>
  <c r="Q6" i="68" s="1"/>
  <c r="M202" i="58"/>
  <c r="Q10" i="58" s="1"/>
  <c r="K154"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0" i="38" l="1"/>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<sst xmlns="http://schemas.openxmlformats.org/spreadsheetml/2006/main" count="9456" uniqueCount="1389">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</sst>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5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56"/>
      <tableStyleElement type="headerRow" dxfId="3955"/>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numCache>
            </c:numRef>
          </c:yVal>
          <c:smooth val="1"/>
        </c:ser>
        <c:dLbls>
          <c:showLegendKey val="0"/>
          <c:showVal val="0"/>
          <c:showCatName val="0"/>
          <c:showSerName val="0"/>
          <c:showPercent val="0"/>
          <c:showBubbleSize val="0"/>
        </c:dLbls>
        <c:axId val="337191336"/>
        <c:axId val="337196824"/>
      </c:scatterChart>
      <c:valAx>
        <c:axId val="337191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7196824"/>
        <c:crosses val="autoZero"/>
        <c:crossBetween val="midCat"/>
      </c:valAx>
      <c:valAx>
        <c:axId val="33719682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7191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numCache>
            </c:numRef>
          </c:yVal>
          <c:smooth val="1"/>
        </c:ser>
        <c:dLbls>
          <c:showLegendKey val="0"/>
          <c:showVal val="0"/>
          <c:showCatName val="0"/>
          <c:showSerName val="0"/>
          <c:showPercent val="0"/>
          <c:showBubbleSize val="0"/>
        </c:dLbls>
        <c:axId val="337196040"/>
        <c:axId val="337197216"/>
      </c:scatterChart>
      <c:valAx>
        <c:axId val="337196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7197216"/>
        <c:crosses val="autoZero"/>
        <c:crossBetween val="midCat"/>
      </c:valAx>
      <c:valAx>
        <c:axId val="3371972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71960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numCache>
            </c:numRef>
          </c:yVal>
          <c:smooth val="1"/>
        </c:ser>
        <c:dLbls>
          <c:showLegendKey val="0"/>
          <c:showVal val="0"/>
          <c:showCatName val="0"/>
          <c:showSerName val="0"/>
          <c:showPercent val="0"/>
          <c:showBubbleSize val="0"/>
        </c:dLbls>
        <c:axId val="460879736"/>
        <c:axId val="460881696"/>
      </c:scatterChart>
      <c:valAx>
        <c:axId val="460879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1696"/>
        <c:crosses val="autoZero"/>
        <c:crossBetween val="midCat"/>
      </c:valAx>
      <c:valAx>
        <c:axId val="4608816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79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numCache>
            </c:numRef>
          </c:yVal>
          <c:smooth val="1"/>
        </c:ser>
        <c:dLbls>
          <c:showLegendKey val="0"/>
          <c:showVal val="0"/>
          <c:showCatName val="0"/>
          <c:showSerName val="0"/>
          <c:showPercent val="0"/>
          <c:showBubbleSize val="0"/>
        </c:dLbls>
        <c:axId val="460880912"/>
        <c:axId val="460880128"/>
      </c:scatterChart>
      <c:valAx>
        <c:axId val="460880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0128"/>
        <c:crosses val="autoZero"/>
        <c:crossBetween val="midCat"/>
      </c:valAx>
      <c:valAx>
        <c:axId val="4608801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0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numCache>
            </c:numRef>
          </c:yVal>
          <c:smooth val="1"/>
        </c:ser>
        <c:dLbls>
          <c:showLegendKey val="0"/>
          <c:showVal val="0"/>
          <c:showCatName val="0"/>
          <c:showSerName val="0"/>
          <c:showPercent val="0"/>
          <c:showBubbleSize val="0"/>
        </c:dLbls>
        <c:axId val="460885224"/>
        <c:axId val="460882480"/>
      </c:scatterChart>
      <c:valAx>
        <c:axId val="460885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2480"/>
        <c:crosses val="autoZero"/>
        <c:crossBetween val="midCat"/>
      </c:valAx>
      <c:valAx>
        <c:axId val="460882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5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numCache>
            </c:numRef>
          </c:yVal>
          <c:smooth val="1"/>
        </c:ser>
        <c:dLbls>
          <c:showLegendKey val="0"/>
          <c:showVal val="0"/>
          <c:showCatName val="0"/>
          <c:showSerName val="0"/>
          <c:showPercent val="0"/>
          <c:showBubbleSize val="0"/>
        </c:dLbls>
        <c:axId val="460883264"/>
        <c:axId val="460884048"/>
      </c:scatterChart>
      <c:valAx>
        <c:axId val="460883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4048"/>
        <c:crosses val="autoZero"/>
        <c:crossBetween val="midCat"/>
      </c:valAx>
      <c:valAx>
        <c:axId val="4608840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3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numCache>
            </c:numRef>
          </c:yVal>
          <c:smooth val="1"/>
        </c:ser>
        <c:dLbls>
          <c:showLegendKey val="0"/>
          <c:showVal val="0"/>
          <c:showCatName val="0"/>
          <c:showSerName val="0"/>
          <c:showPercent val="0"/>
          <c:showBubbleSize val="0"/>
        </c:dLbls>
        <c:axId val="460886400"/>
        <c:axId val="460878952"/>
      </c:scatterChart>
      <c:valAx>
        <c:axId val="460886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78952"/>
        <c:crosses val="autoZero"/>
        <c:crossBetween val="midCat"/>
      </c:valAx>
      <c:valAx>
        <c:axId val="4608789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64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numCache>
            </c:numRef>
          </c:yVal>
          <c:smooth val="1"/>
        </c:ser>
        <c:dLbls>
          <c:showLegendKey val="0"/>
          <c:showVal val="0"/>
          <c:showCatName val="0"/>
          <c:showSerName val="0"/>
          <c:showPercent val="0"/>
          <c:showBubbleSize val="0"/>
        </c:dLbls>
        <c:axId val="460879344"/>
        <c:axId val="460881304"/>
      </c:scatterChart>
      <c:valAx>
        <c:axId val="460879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81304"/>
        <c:crosses val="autoZero"/>
        <c:crossBetween val="midCat"/>
      </c:valAx>
      <c:valAx>
        <c:axId val="4608813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0879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2871600"/>
        <c:axId val="472874344"/>
      </c:lineChart>
      <c:dateAx>
        <c:axId val="472871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874344"/>
        <c:crosses val="autoZero"/>
        <c:auto val="1"/>
        <c:lblOffset val="100"/>
        <c:baseTimeUnit val="days"/>
      </c:dateAx>
      <c:valAx>
        <c:axId val="4728743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871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2876696"/>
        <c:axId val="472877872"/>
      </c:lineChart>
      <c:dateAx>
        <c:axId val="4728766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77872"/>
        <c:crosses val="autoZero"/>
        <c:auto val="1"/>
        <c:lblOffset val="100"/>
        <c:baseTimeUnit val="days"/>
      </c:dateAx>
      <c:valAx>
        <c:axId val="4728778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76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75703544"/>
        <c:axId val="475706288"/>
      </c:lineChart>
      <c:dateAx>
        <c:axId val="47570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6288"/>
        <c:crosses val="autoZero"/>
        <c:auto val="1"/>
        <c:lblOffset val="100"/>
        <c:baseTimeUnit val="days"/>
      </c:dateAx>
      <c:valAx>
        <c:axId val="47570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3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75699624"/>
        <c:axId val="475706680"/>
      </c:lineChart>
      <c:dateAx>
        <c:axId val="47569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6680"/>
        <c:crosses val="autoZero"/>
        <c:auto val="1"/>
        <c:lblOffset val="100"/>
        <c:baseTimeUnit val="days"/>
      </c:dateAx>
      <c:valAx>
        <c:axId val="47570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99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75702760"/>
        <c:axId val="475700800"/>
      </c:lineChart>
      <c:dateAx>
        <c:axId val="475702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0800"/>
        <c:crosses val="autoZero"/>
        <c:auto val="1"/>
        <c:lblOffset val="100"/>
        <c:baseTimeUnit val="days"/>
      </c:dateAx>
      <c:valAx>
        <c:axId val="47570080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75705112"/>
        <c:axId val="475705504"/>
      </c:lineChart>
      <c:dateAx>
        <c:axId val="47570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5504"/>
        <c:crosses val="autoZero"/>
        <c:auto val="1"/>
        <c:lblOffset val="100"/>
        <c:baseTimeUnit val="days"/>
      </c:dateAx>
      <c:valAx>
        <c:axId val="475705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numCache>
            </c:numRef>
          </c:val>
          <c:smooth val="0"/>
        </c:ser>
        <c:dLbls>
          <c:showLegendKey val="0"/>
          <c:showVal val="0"/>
          <c:showCatName val="0"/>
          <c:showSerName val="0"/>
          <c:showPercent val="0"/>
          <c:showBubbleSize val="0"/>
        </c:dLbls>
        <c:smooth val="0"/>
        <c:axId val="475705896"/>
        <c:axId val="475701584"/>
      </c:lineChart>
      <c:dateAx>
        <c:axId val="475705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1584"/>
        <c:crosses val="autoZero"/>
        <c:auto val="1"/>
        <c:lblOffset val="100"/>
        <c:baseTimeUnit val="days"/>
      </c:dateAx>
      <c:valAx>
        <c:axId val="4757015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0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2191.42</c:v>
                </c:pt>
              </c:numCache>
            </c:numRef>
          </c:val>
          <c:smooth val="0"/>
        </c:ser>
        <c:dLbls>
          <c:showLegendKey val="0"/>
          <c:showVal val="0"/>
          <c:showCatName val="0"/>
          <c:showSerName val="0"/>
          <c:showPercent val="0"/>
          <c:showBubbleSize val="0"/>
        </c:dLbls>
        <c:smooth val="0"/>
        <c:axId val="477235016"/>
        <c:axId val="477231880"/>
      </c:lineChart>
      <c:dateAx>
        <c:axId val="477235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1880"/>
        <c:crosses val="autoZero"/>
        <c:auto val="1"/>
        <c:lblOffset val="100"/>
        <c:baseTimeUnit val="days"/>
      </c:dateAx>
      <c:valAx>
        <c:axId val="47723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5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77232664"/>
        <c:axId val="477235408"/>
      </c:lineChart>
      <c:dateAx>
        <c:axId val="4772326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5408"/>
        <c:crosses val="autoZero"/>
        <c:auto val="1"/>
        <c:lblOffset val="100"/>
        <c:baseTimeUnit val="days"/>
      </c:dateAx>
      <c:valAx>
        <c:axId val="47723540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77231488"/>
        <c:axId val="477233056"/>
      </c:lineChart>
      <c:dateAx>
        <c:axId val="477231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3056"/>
        <c:crosses val="autoZero"/>
        <c:auto val="1"/>
        <c:lblOffset val="100"/>
        <c:baseTimeUnit val="days"/>
      </c:dateAx>
      <c:valAx>
        <c:axId val="477233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7233448"/>
        <c:axId val="477230312"/>
      </c:lineChart>
      <c:dateAx>
        <c:axId val="477233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0312"/>
        <c:crosses val="autoZero"/>
        <c:auto val="1"/>
        <c:lblOffset val="100"/>
        <c:baseTimeUnit val="days"/>
      </c:dateAx>
      <c:valAx>
        <c:axId val="477230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3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7229920"/>
        <c:axId val="477229136"/>
      </c:lineChart>
      <c:dateAx>
        <c:axId val="477229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29136"/>
        <c:crosses val="autoZero"/>
        <c:auto val="1"/>
        <c:lblOffset val="100"/>
        <c:baseTimeUnit val="days"/>
      </c:dateAx>
      <c:valAx>
        <c:axId val="477229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2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numCache>
            </c:numRef>
          </c:val>
          <c:smooth val="0"/>
        </c:ser>
        <c:dLbls>
          <c:showLegendKey val="0"/>
          <c:showVal val="0"/>
          <c:showCatName val="0"/>
          <c:showSerName val="0"/>
          <c:showPercent val="0"/>
          <c:showBubbleSize val="0"/>
        </c:dLbls>
        <c:marker val="1"/>
        <c:smooth val="0"/>
        <c:axId val="477234232"/>
        <c:axId val="477229528"/>
      </c:lineChart>
      <c:dateAx>
        <c:axId val="477234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29528"/>
        <c:crosses val="autoZero"/>
        <c:auto val="1"/>
        <c:lblOffset val="100"/>
        <c:baseTimeUnit val="days"/>
      </c:dateAx>
      <c:valAx>
        <c:axId val="477229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34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numCache>
            </c:numRef>
          </c:val>
          <c:smooth val="0"/>
        </c:ser>
        <c:dLbls>
          <c:showLegendKey val="0"/>
          <c:showVal val="0"/>
          <c:showCatName val="0"/>
          <c:showSerName val="0"/>
          <c:showPercent val="0"/>
          <c:showBubbleSize val="0"/>
        </c:dLbls>
        <c:marker val="1"/>
        <c:smooth val="0"/>
        <c:axId val="478178048"/>
        <c:axId val="478182752"/>
      </c:lineChart>
      <c:dateAx>
        <c:axId val="478178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82752"/>
        <c:crosses val="autoZero"/>
        <c:auto val="1"/>
        <c:lblOffset val="100"/>
        <c:baseTimeUnit val="days"/>
      </c:dateAx>
      <c:valAx>
        <c:axId val="478182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78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8181968"/>
        <c:axId val="478182360"/>
      </c:lineChart>
      <c:dateAx>
        <c:axId val="47818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82360"/>
        <c:crosses val="autoZero"/>
        <c:auto val="1"/>
        <c:lblOffset val="100"/>
        <c:baseTimeUnit val="days"/>
      </c:dateAx>
      <c:valAx>
        <c:axId val="4781823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819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8178440"/>
        <c:axId val="478178832"/>
      </c:lineChart>
      <c:dateAx>
        <c:axId val="47817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78832"/>
        <c:crosses val="autoZero"/>
        <c:auto val="1"/>
        <c:lblOffset val="100"/>
        <c:baseTimeUnit val="days"/>
      </c:dateAx>
      <c:valAx>
        <c:axId val="47817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784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8179616"/>
        <c:axId val="478180400"/>
      </c:lineChart>
      <c:dateAx>
        <c:axId val="478179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80400"/>
        <c:crosses val="autoZero"/>
        <c:auto val="1"/>
        <c:lblOffset val="100"/>
        <c:baseTimeUnit val="days"/>
      </c:dateAx>
      <c:valAx>
        <c:axId val="47818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8176088"/>
        <c:axId val="478179224"/>
      </c:lineChart>
      <c:dateAx>
        <c:axId val="47817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79224"/>
        <c:crosses val="autoZero"/>
        <c:auto val="1"/>
        <c:lblOffset val="100"/>
        <c:baseTimeUnit val="days"/>
      </c:dateAx>
      <c:valAx>
        <c:axId val="47817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76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numCache>
            </c:numRef>
          </c:val>
          <c:smooth val="0"/>
        </c:ser>
        <c:dLbls>
          <c:showLegendKey val="0"/>
          <c:showVal val="0"/>
          <c:showCatName val="0"/>
          <c:showSerName val="0"/>
          <c:showPercent val="0"/>
          <c:showBubbleSize val="0"/>
        </c:dLbls>
        <c:marker val="1"/>
        <c:smooth val="0"/>
        <c:axId val="478176872"/>
        <c:axId val="492899120"/>
      </c:lineChart>
      <c:dateAx>
        <c:axId val="47817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9120"/>
        <c:crosses val="autoZero"/>
        <c:auto val="1"/>
        <c:lblOffset val="100"/>
        <c:baseTimeUnit val="days"/>
      </c:dateAx>
      <c:valAx>
        <c:axId val="49289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176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CMCSA!$F$25:$F$64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numCache>
            </c:numRef>
          </c:val>
          <c:smooth val="0"/>
        </c:ser>
        <c:dLbls>
          <c:showLegendKey val="0"/>
          <c:showVal val="0"/>
          <c:showCatName val="0"/>
          <c:showSerName val="0"/>
          <c:showPercent val="0"/>
          <c:showBubbleSize val="0"/>
        </c:dLbls>
        <c:marker val="1"/>
        <c:smooth val="0"/>
        <c:axId val="492893632"/>
        <c:axId val="492899512"/>
      </c:lineChart>
      <c:dateAx>
        <c:axId val="492893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9512"/>
        <c:crosses val="autoZero"/>
        <c:auto val="1"/>
        <c:lblOffset val="100"/>
        <c:baseTimeUnit val="days"/>
      </c:dateAx>
      <c:valAx>
        <c:axId val="492899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numCache>
            </c:numRef>
          </c:val>
          <c:smooth val="0"/>
        </c:ser>
        <c:dLbls>
          <c:showLegendKey val="0"/>
          <c:showVal val="0"/>
          <c:showCatName val="0"/>
          <c:showSerName val="0"/>
          <c:showPercent val="0"/>
          <c:showBubbleSize val="0"/>
        </c:dLbls>
        <c:marker val="1"/>
        <c:smooth val="0"/>
        <c:axId val="492892848"/>
        <c:axId val="492892064"/>
      </c:lineChart>
      <c:dateAx>
        <c:axId val="49289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2064"/>
        <c:crosses val="autoZero"/>
        <c:auto val="1"/>
        <c:lblOffset val="100"/>
        <c:baseTimeUnit val="days"/>
      </c:dateAx>
      <c:valAx>
        <c:axId val="49289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numCache>
            </c:numRef>
          </c:val>
          <c:smooth val="0"/>
        </c:ser>
        <c:dLbls>
          <c:showLegendKey val="0"/>
          <c:showVal val="0"/>
          <c:showCatName val="0"/>
          <c:showSerName val="0"/>
          <c:showPercent val="0"/>
          <c:showBubbleSize val="0"/>
        </c:dLbls>
        <c:marker val="1"/>
        <c:smooth val="0"/>
        <c:axId val="492892456"/>
        <c:axId val="492895984"/>
      </c:lineChart>
      <c:dateAx>
        <c:axId val="49289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5984"/>
        <c:crosses val="autoZero"/>
        <c:auto val="1"/>
        <c:lblOffset val="100"/>
        <c:baseTimeUnit val="days"/>
      </c:dateAx>
      <c:valAx>
        <c:axId val="492895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2895200"/>
        <c:axId val="492898728"/>
      </c:lineChart>
      <c:dateAx>
        <c:axId val="492895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8728"/>
        <c:crosses val="autoZero"/>
        <c:auto val="1"/>
        <c:lblOffset val="100"/>
        <c:baseTimeUnit val="days"/>
      </c:dateAx>
      <c:valAx>
        <c:axId val="4928987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5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2894416"/>
        <c:axId val="492895592"/>
      </c:lineChart>
      <c:dateAx>
        <c:axId val="492894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5592"/>
        <c:crosses val="autoZero"/>
        <c:auto val="1"/>
        <c:lblOffset val="100"/>
        <c:baseTimeUnit val="days"/>
      </c:dateAx>
      <c:valAx>
        <c:axId val="492895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92897160"/>
        <c:axId val="492897552"/>
      </c:lineChart>
      <c:dateAx>
        <c:axId val="492897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7552"/>
        <c:crosses val="autoZero"/>
        <c:auto val="1"/>
        <c:lblOffset val="100"/>
        <c:baseTimeUnit val="days"/>
      </c:dateAx>
      <c:valAx>
        <c:axId val="4928975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91722320"/>
        <c:axId val="491717224"/>
      </c:lineChart>
      <c:dateAx>
        <c:axId val="491722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17224"/>
        <c:crosses val="autoZero"/>
        <c:auto val="1"/>
        <c:lblOffset val="100"/>
        <c:baseTimeUnit val="days"/>
      </c:dateAx>
      <c:valAx>
        <c:axId val="491717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22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1716048"/>
        <c:axId val="491716440"/>
      </c:lineChart>
      <c:dateAx>
        <c:axId val="4917160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16440"/>
        <c:crosses val="autoZero"/>
        <c:auto val="1"/>
        <c:lblOffset val="100"/>
        <c:baseTimeUnit val="days"/>
      </c:dateAx>
      <c:valAx>
        <c:axId val="4917164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16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1719184"/>
        <c:axId val="491717616"/>
      </c:lineChart>
      <c:dateAx>
        <c:axId val="49171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17616"/>
        <c:crosses val="autoZero"/>
        <c:auto val="1"/>
        <c:lblOffset val="100"/>
        <c:baseTimeUnit val="days"/>
      </c:dateAx>
      <c:valAx>
        <c:axId val="491717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1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1723104"/>
        <c:axId val="491718400"/>
      </c:lineChart>
      <c:dateAx>
        <c:axId val="49172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18400"/>
        <c:crosses val="autoZero"/>
        <c:auto val="1"/>
        <c:lblOffset val="100"/>
        <c:baseTimeUnit val="days"/>
      </c:dateAx>
      <c:valAx>
        <c:axId val="491718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72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numCache>
            </c:numRef>
          </c:val>
          <c:smooth val="0"/>
        </c:ser>
        <c:dLbls>
          <c:showLegendKey val="0"/>
          <c:showVal val="0"/>
          <c:showCatName val="0"/>
          <c:showSerName val="0"/>
          <c:showPercent val="0"/>
          <c:showBubbleSize val="0"/>
        </c:dLbls>
        <c:marker val="1"/>
        <c:smooth val="0"/>
        <c:axId val="493814224"/>
        <c:axId val="493813440"/>
      </c:lineChart>
      <c:dateAx>
        <c:axId val="493814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13440"/>
        <c:crosses val="autoZero"/>
        <c:auto val="1"/>
        <c:lblOffset val="100"/>
        <c:baseTimeUnit val="days"/>
      </c:dateAx>
      <c:valAx>
        <c:axId val="49381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1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numCache>
            </c:numRef>
          </c:val>
          <c:smooth val="0"/>
        </c:ser>
        <c:dLbls>
          <c:showLegendKey val="0"/>
          <c:showVal val="0"/>
          <c:showCatName val="0"/>
          <c:showSerName val="0"/>
          <c:showPercent val="0"/>
          <c:showBubbleSize val="0"/>
        </c:dLbls>
        <c:marker val="1"/>
        <c:smooth val="0"/>
        <c:axId val="493813048"/>
        <c:axId val="493815400"/>
      </c:lineChart>
      <c:dateAx>
        <c:axId val="49381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15400"/>
        <c:crosses val="autoZero"/>
        <c:auto val="1"/>
        <c:lblOffset val="100"/>
        <c:baseTimeUnit val="days"/>
      </c:dateAx>
      <c:valAx>
        <c:axId val="493815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13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93809128"/>
        <c:axId val="493811480"/>
      </c:lineChart>
      <c:dateAx>
        <c:axId val="493809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11480"/>
        <c:crosses val="autoZero"/>
        <c:auto val="1"/>
        <c:lblOffset val="100"/>
        <c:baseTimeUnit val="days"/>
      </c:dateAx>
      <c:valAx>
        <c:axId val="493811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9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93811088"/>
        <c:axId val="493805600"/>
      </c:lineChart>
      <c:dateAx>
        <c:axId val="493811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5600"/>
        <c:crosses val="autoZero"/>
        <c:auto val="1"/>
        <c:lblOffset val="100"/>
        <c:baseTimeUnit val="days"/>
      </c:dateAx>
      <c:valAx>
        <c:axId val="493805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11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numCache>
            </c:numRef>
          </c:cat>
          <c:val>
            <c:numRef>
              <c:f>MOS!$E$49:$E$157</c:f>
              <c:numCache>
                <c:formatCode>0.00</c:formatCode>
                <c:ptCount val="109"/>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numCache>
            </c:numRef>
          </c:cat>
          <c:val>
            <c:numRef>
              <c:f>MOS!$D$49:$D$157</c:f>
              <c:numCache>
                <c:formatCode>0.00</c:formatCode>
                <c:ptCount val="109"/>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numCache>
            </c:numRef>
          </c:val>
          <c:smooth val="0"/>
        </c:ser>
        <c:dLbls>
          <c:showLegendKey val="0"/>
          <c:showVal val="0"/>
          <c:showCatName val="0"/>
          <c:showSerName val="0"/>
          <c:showPercent val="0"/>
          <c:showBubbleSize val="0"/>
        </c:dLbls>
        <c:marker val="1"/>
        <c:smooth val="0"/>
        <c:axId val="493802464"/>
        <c:axId val="493800504"/>
      </c:lineChart>
      <c:dateAx>
        <c:axId val="493802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0504"/>
        <c:crosses val="autoZero"/>
        <c:auto val="1"/>
        <c:lblOffset val="100"/>
        <c:baseTimeUnit val="days"/>
      </c:dateAx>
      <c:valAx>
        <c:axId val="493800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MOS!$B$49:$B$157</c:f>
              <c:numCache>
                <c:formatCode>d\-mmm</c:formatCode>
                <c:ptCount val="109"/>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numCache>
            </c:numRef>
          </c:cat>
          <c:val>
            <c:numRef>
              <c:f>MOS!$K$49:$K$157</c:f>
              <c:numCache>
                <c:formatCode>0.00</c:formatCode>
                <c:ptCount val="109"/>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numCache>
            </c:numRef>
          </c:val>
          <c:smooth val="0"/>
        </c:ser>
        <c:dLbls>
          <c:showLegendKey val="0"/>
          <c:showVal val="0"/>
          <c:showCatName val="0"/>
          <c:showSerName val="0"/>
          <c:showPercent val="0"/>
          <c:showBubbleSize val="0"/>
        </c:dLbls>
        <c:marker val="1"/>
        <c:smooth val="0"/>
        <c:axId val="493809520"/>
        <c:axId val="493800896"/>
      </c:lineChart>
      <c:dateAx>
        <c:axId val="49380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0896"/>
        <c:crosses val="autoZero"/>
        <c:auto val="1"/>
        <c:lblOffset val="100"/>
        <c:baseTimeUnit val="days"/>
      </c:dateAx>
      <c:valAx>
        <c:axId val="49380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93803248"/>
        <c:axId val="493802856"/>
      </c:scatterChart>
      <c:valAx>
        <c:axId val="4938032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2856"/>
        <c:crosses val="autoZero"/>
        <c:crossBetween val="midCat"/>
      </c:valAx>
      <c:valAx>
        <c:axId val="493802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93803640"/>
        <c:axId val="493810696"/>
      </c:scatterChart>
      <c:valAx>
        <c:axId val="4938036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10696"/>
        <c:crosses val="autoZero"/>
        <c:crossBetween val="midCat"/>
      </c:valAx>
      <c:valAx>
        <c:axId val="493810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80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7397192"/>
        <c:axId val="527398760"/>
      </c:lineChart>
      <c:catAx>
        <c:axId val="527397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8760"/>
        <c:crosses val="autoZero"/>
        <c:auto val="1"/>
        <c:lblAlgn val="ctr"/>
        <c:lblOffset val="100"/>
        <c:noMultiLvlLbl val="0"/>
      </c:catAx>
      <c:valAx>
        <c:axId val="5273987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7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7397976"/>
        <c:axId val="527398368"/>
      </c:lineChart>
      <c:dateAx>
        <c:axId val="527397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8368"/>
        <c:crosses val="autoZero"/>
        <c:auto val="1"/>
        <c:lblOffset val="100"/>
        <c:baseTimeUnit val="days"/>
      </c:dateAx>
      <c:valAx>
        <c:axId val="52739836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7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7393664"/>
        <c:axId val="527387000"/>
      </c:lineChart>
      <c:dateAx>
        <c:axId val="527393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87000"/>
        <c:crosses val="autoZero"/>
        <c:auto val="1"/>
        <c:lblOffset val="100"/>
        <c:baseTimeUnit val="days"/>
      </c:dateAx>
      <c:valAx>
        <c:axId val="5273870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3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7396408"/>
        <c:axId val="527395232"/>
      </c:lineChart>
      <c:dateAx>
        <c:axId val="527396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5232"/>
        <c:crosses val="autoZero"/>
        <c:auto val="1"/>
        <c:lblOffset val="100"/>
        <c:baseTimeUnit val="days"/>
      </c:dateAx>
      <c:valAx>
        <c:axId val="52739523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6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27395624"/>
        <c:axId val="527390136"/>
      </c:lineChart>
      <c:dateAx>
        <c:axId val="52739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90136"/>
        <c:crosses val="autoZero"/>
        <c:auto val="1"/>
        <c:lblOffset val="100"/>
        <c:baseTimeUnit val="days"/>
      </c:dateAx>
      <c:valAx>
        <c:axId val="5273901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9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27388568"/>
        <c:axId val="527388960"/>
      </c:lineChart>
      <c:dateAx>
        <c:axId val="527388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88960"/>
        <c:crosses val="autoZero"/>
        <c:auto val="1"/>
        <c:lblOffset val="100"/>
        <c:baseTimeUnit val="days"/>
      </c:dateAx>
      <c:valAx>
        <c:axId val="527388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388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7396016"/>
        <c:axId val="527392488"/>
      </c:lineChart>
      <c:dateAx>
        <c:axId val="5273960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2488"/>
        <c:crosses val="autoZero"/>
        <c:auto val="1"/>
        <c:lblOffset val="100"/>
        <c:baseTimeUnit val="days"/>
      </c:dateAx>
      <c:valAx>
        <c:axId val="5273924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396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9136856"/>
        <c:axId val="519139992"/>
      </c:lineChart>
      <c:catAx>
        <c:axId val="519136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39992"/>
        <c:crosses val="autoZero"/>
        <c:auto val="1"/>
        <c:lblAlgn val="ctr"/>
        <c:lblOffset val="100"/>
        <c:noMultiLvlLbl val="0"/>
      </c:catAx>
      <c:valAx>
        <c:axId val="51913999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36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9139600"/>
        <c:axId val="519143128"/>
      </c:lineChart>
      <c:catAx>
        <c:axId val="5191396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43128"/>
        <c:crosses val="autoZero"/>
        <c:auto val="1"/>
        <c:lblAlgn val="ctr"/>
        <c:lblOffset val="100"/>
        <c:noMultiLvlLbl val="0"/>
      </c:catAx>
      <c:valAx>
        <c:axId val="5191431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39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9141560"/>
        <c:axId val="519145088"/>
      </c:lineChart>
      <c:dateAx>
        <c:axId val="51914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5088"/>
        <c:crosses val="autoZero"/>
        <c:auto val="1"/>
        <c:lblOffset val="100"/>
        <c:baseTimeUnit val="days"/>
      </c:dateAx>
      <c:valAx>
        <c:axId val="51914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9147440"/>
        <c:axId val="519138424"/>
      </c:lineChart>
      <c:dateAx>
        <c:axId val="519147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38424"/>
        <c:crosses val="autoZero"/>
        <c:auto val="1"/>
        <c:lblOffset val="100"/>
        <c:baseTimeUnit val="days"/>
      </c:dateAx>
      <c:valAx>
        <c:axId val="519138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TEVA!$E$21:$E$61</c:f>
              <c:numCache>
                <c:formatCode>0.00</c:formatCode>
                <c:ptCount val="4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TEVA!$D$21:$D$61</c:f>
              <c:numCache>
                <c:formatCode>0.00</c:formatCode>
                <c:ptCount val="4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19145480"/>
        <c:axId val="519145872"/>
      </c:lineChart>
      <c:dateAx>
        <c:axId val="51914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5872"/>
        <c:crosses val="autoZero"/>
        <c:auto val="1"/>
        <c:lblOffset val="100"/>
        <c:baseTimeUnit val="days"/>
      </c:dateAx>
      <c:valAx>
        <c:axId val="519145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5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TEVA!$J$21:$J$61</c:f>
              <c:numCache>
                <c:formatCode>0.00</c:formatCode>
                <c:ptCount val="4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19135288"/>
        <c:axId val="519140384"/>
      </c:lineChart>
      <c:dateAx>
        <c:axId val="51913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40384"/>
        <c:crosses val="autoZero"/>
        <c:auto val="1"/>
        <c:lblOffset val="100"/>
        <c:baseTimeUnit val="days"/>
      </c:dateAx>
      <c:valAx>
        <c:axId val="519140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35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9136464"/>
        <c:axId val="519150968"/>
      </c:lineChart>
      <c:dateAx>
        <c:axId val="519136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50968"/>
        <c:crosses val="autoZero"/>
        <c:auto val="1"/>
        <c:lblOffset val="100"/>
        <c:baseTimeUnit val="days"/>
      </c:dateAx>
      <c:valAx>
        <c:axId val="5191509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36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9148224"/>
        <c:axId val="519149792"/>
      </c:lineChart>
      <c:dateAx>
        <c:axId val="519148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49792"/>
        <c:crosses val="autoZero"/>
        <c:auto val="1"/>
        <c:lblOffset val="100"/>
        <c:baseTimeUnit val="days"/>
      </c:dateAx>
      <c:valAx>
        <c:axId val="51914979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148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4873920"/>
        <c:axId val="574874312"/>
      </c:lineChart>
      <c:dateAx>
        <c:axId val="574873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74312"/>
        <c:crosses val="autoZero"/>
        <c:auto val="1"/>
        <c:lblOffset val="100"/>
        <c:baseTimeUnit val="days"/>
      </c:dateAx>
      <c:valAx>
        <c:axId val="5748743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73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4875096"/>
        <c:axId val="574875488"/>
      </c:lineChart>
      <c:dateAx>
        <c:axId val="57487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75488"/>
        <c:crosses val="autoZero"/>
        <c:auto val="1"/>
        <c:lblOffset val="100"/>
        <c:baseTimeUnit val="days"/>
      </c:dateAx>
      <c:valAx>
        <c:axId val="57487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7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4867648"/>
        <c:axId val="574863336"/>
      </c:lineChart>
      <c:catAx>
        <c:axId val="5748676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63336"/>
        <c:crosses val="autoZero"/>
        <c:auto val="1"/>
        <c:lblAlgn val="ctr"/>
        <c:lblOffset val="100"/>
        <c:noMultiLvlLbl val="0"/>
      </c:catAx>
      <c:valAx>
        <c:axId val="5748633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67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4864904"/>
        <c:axId val="574871960"/>
      </c:lineChart>
      <c:dateAx>
        <c:axId val="57486490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71960"/>
        <c:crosses val="autoZero"/>
        <c:auto val="1"/>
        <c:lblOffset val="100"/>
        <c:baseTimeUnit val="days"/>
      </c:dateAx>
      <c:valAx>
        <c:axId val="5748719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64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54" dataDxfId="3953">
  <autoFilter ref="O15:W26"/>
  <tableColumns count="9">
    <tableColumn id="1" name="Date" dataDxfId="3952"/>
    <tableColumn id="2" name="Quarter" dataDxfId="3951"/>
    <tableColumn id="3" name="Time" dataDxfId="3950"/>
    <tableColumn id="4" name="EPS estimate" dataDxfId="3949"/>
    <tableColumn id="5" name="EPS Actual" dataDxfId="3948"/>
    <tableColumn id="6" name="Sales Estiamte (B)" dataDxfId="3947"/>
    <tableColumn id="7" name="Sales Actual (B)" dataDxfId="3946"/>
    <tableColumn id="8" name="Guidance" dataDxfId="3945"/>
    <tableColumn id="9" name="Reaction" dataDxfId="394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activeCell="U10" sqref="U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1196</v>
      </c>
      <c r="F2" s="2">
        <v>83.919899999999998</v>
      </c>
      <c r="G2" s="78">
        <v>61.996000000000059</v>
      </c>
      <c r="H2">
        <v>50</v>
      </c>
      <c r="I2" s="2">
        <v>4195.9949999999999</v>
      </c>
      <c r="J2" s="2">
        <v>3099.8000000000029</v>
      </c>
      <c r="K2" s="2">
        <v>1096.194999999997</v>
      </c>
      <c r="L2" s="660">
        <v>0.3536341054261552</v>
      </c>
      <c r="M2" s="2">
        <v>1096.194999999997</v>
      </c>
      <c r="N2" s="29">
        <v>43528</v>
      </c>
      <c r="O2" s="30" t="s">
        <v>1370</v>
      </c>
      <c r="P2" s="660">
        <v>1.8112509666956229E-2</v>
      </c>
      <c r="Q2" s="876">
        <v>-8.8999999999999999E-3</v>
      </c>
      <c r="R2" s="2">
        <v>12.930647149460707</v>
      </c>
      <c r="S2" s="780">
        <v>43359</v>
      </c>
      <c r="T2" s="48"/>
      <c r="Z2" s="760"/>
    </row>
    <row r="3" spans="1:33" ht="21.95" customHeight="1" x14ac:dyDescent="0.25">
      <c r="A3" s="50"/>
      <c r="B3" s="50"/>
      <c r="C3" s="51"/>
      <c r="D3" s="708"/>
      <c r="E3" s="22" t="s">
        <v>1374</v>
      </c>
      <c r="F3" s="2">
        <v>42.08</v>
      </c>
      <c r="G3" s="78">
        <v>40.28</v>
      </c>
      <c r="H3">
        <v>100</v>
      </c>
      <c r="I3" s="2">
        <v>4208</v>
      </c>
      <c r="J3" s="2">
        <v>4028</v>
      </c>
      <c r="K3" s="2">
        <v>180</v>
      </c>
      <c r="L3" s="660">
        <v>4.4687189672293869E-2</v>
      </c>
      <c r="M3" s="2">
        <v>180</v>
      </c>
      <c r="N3" s="29">
        <v>43537</v>
      </c>
      <c r="O3" s="30"/>
      <c r="P3" s="660">
        <v>8.0798479087452486E-3</v>
      </c>
      <c r="Q3" s="876">
        <v>2.8999999999999998E-3</v>
      </c>
      <c r="R3" s="2"/>
      <c r="T3" s="48"/>
      <c r="V3" s="48"/>
      <c r="W3" s="788"/>
      <c r="X3" s="788"/>
      <c r="Y3" s="760"/>
      <c r="Z3" s="660"/>
    </row>
    <row r="4" spans="1:33" ht="21.95" customHeight="1" x14ac:dyDescent="0.25">
      <c r="A4" s="50"/>
      <c r="B4" s="51"/>
      <c r="C4" s="51"/>
      <c r="D4" s="708"/>
      <c r="E4" s="22" t="s">
        <v>893</v>
      </c>
      <c r="F4" s="2">
        <v>131.94990000000001</v>
      </c>
      <c r="G4" s="78">
        <v>40.18650000000067</v>
      </c>
      <c r="H4">
        <v>20</v>
      </c>
      <c r="I4" s="2">
        <v>2638.9980000000005</v>
      </c>
      <c r="J4" s="2">
        <v>803.73000000001343</v>
      </c>
      <c r="K4" s="2">
        <v>1835.26799999999</v>
      </c>
      <c r="L4" s="660">
        <v>2.2834384681422319</v>
      </c>
      <c r="M4" s="2">
        <v>1835.26799999999</v>
      </c>
      <c r="N4">
        <v>20</v>
      </c>
      <c r="O4" s="30" t="s">
        <v>1352</v>
      </c>
      <c r="P4" s="660">
        <v>3.9408896861611864E-3</v>
      </c>
      <c r="Q4" s="876">
        <v>2.3999999999999998E-3</v>
      </c>
      <c r="R4" s="2">
        <v>15.307412993039446</v>
      </c>
      <c r="S4" s="780">
        <v>43324</v>
      </c>
      <c r="T4" s="48"/>
      <c r="V4" s="788"/>
      <c r="W4" s="788"/>
      <c r="X4" s="788"/>
      <c r="Y4" s="760"/>
      <c r="Z4" s="760"/>
    </row>
    <row r="5" spans="1:33" ht="21.95" customHeight="1" x14ac:dyDescent="0.25">
      <c r="A5" s="50"/>
      <c r="B5" s="50"/>
      <c r="C5" s="51"/>
      <c r="D5" s="708"/>
      <c r="E5" s="22" t="s">
        <v>932</v>
      </c>
      <c r="F5" s="2">
        <v>38.799900000000001</v>
      </c>
      <c r="G5" s="78">
        <v>19.713899999999995</v>
      </c>
      <c r="H5">
        <v>100</v>
      </c>
      <c r="I5" s="2">
        <v>3879.9900000000002</v>
      </c>
      <c r="J5" s="2">
        <v>1971.3899999999994</v>
      </c>
      <c r="K5" s="2">
        <v>1908.6000000000008</v>
      </c>
      <c r="L5" s="660">
        <v>0.96814937683563429</v>
      </c>
      <c r="M5" s="2">
        <v>1908.6000000000008</v>
      </c>
      <c r="N5">
        <v>100</v>
      </c>
      <c r="O5" s="30" t="s">
        <v>1367</v>
      </c>
      <c r="P5" s="660">
        <v>1.9587679349689045E-2</v>
      </c>
      <c r="Q5" s="877">
        <v>6.0000000000000001E-3</v>
      </c>
      <c r="R5" s="2">
        <v>15.519960000000001</v>
      </c>
      <c r="S5" s="780">
        <v>43366</v>
      </c>
      <c r="U5"/>
      <c r="V5" s="760"/>
      <c r="W5" s="788"/>
      <c r="X5" s="788"/>
      <c r="Y5" s="760"/>
      <c r="Z5" s="760"/>
      <c r="AA5" s="2"/>
      <c r="AB5"/>
      <c r="AC5"/>
      <c r="AD5"/>
      <c r="AE5"/>
      <c r="AF5"/>
      <c r="AG5"/>
    </row>
    <row r="6" spans="1:33" ht="21.95" customHeight="1" x14ac:dyDescent="0.25">
      <c r="A6" s="50"/>
      <c r="B6" s="50"/>
      <c r="C6" s="51"/>
      <c r="D6" s="708"/>
      <c r="E6" s="22" t="s">
        <v>269</v>
      </c>
      <c r="F6" s="2">
        <v>60.679900000000004</v>
      </c>
      <c r="G6" s="78">
        <v>45.967900000000007</v>
      </c>
      <c r="H6">
        <v>100</v>
      </c>
      <c r="I6" s="2">
        <v>6067.9900000000007</v>
      </c>
      <c r="J6" s="2">
        <v>4596.7900000000009</v>
      </c>
      <c r="K6" s="2">
        <v>1471.1999999999998</v>
      </c>
      <c r="L6" s="660">
        <v>0.32004942579495677</v>
      </c>
      <c r="M6" s="2">
        <v>1668.4099999999953</v>
      </c>
      <c r="N6">
        <v>100</v>
      </c>
      <c r="O6" s="30" t="s">
        <v>1345</v>
      </c>
      <c r="P6" s="660">
        <v>3.2959843374824278E-2</v>
      </c>
      <c r="Q6" s="877">
        <v>-8.9999999999999993E-3</v>
      </c>
      <c r="R6" s="2">
        <v>8.9498377581120945</v>
      </c>
      <c r="S6" s="780">
        <v>43324</v>
      </c>
      <c r="T6" s="48"/>
      <c r="W6" s="788"/>
      <c r="X6" s="788"/>
      <c r="Y6" s="760"/>
      <c r="Z6" s="660"/>
    </row>
    <row r="7" spans="1:33" ht="21.95" customHeight="1" x14ac:dyDescent="0.25">
      <c r="A7" s="50"/>
      <c r="B7" s="50"/>
      <c r="C7" s="51"/>
      <c r="D7" s="708"/>
      <c r="E7" s="22" t="s">
        <v>1316</v>
      </c>
      <c r="F7" s="2">
        <v>29.5899</v>
      </c>
      <c r="G7" s="78">
        <v>23.882000000000026</v>
      </c>
      <c r="H7">
        <v>100</v>
      </c>
      <c r="I7" s="2">
        <v>2958.99</v>
      </c>
      <c r="J7" s="2">
        <v>2388.2000000000025</v>
      </c>
      <c r="K7" s="2">
        <v>570.78999999999724</v>
      </c>
      <c r="L7" s="660">
        <v>0.23900427099907745</v>
      </c>
      <c r="M7" s="2">
        <v>570.78999999999724</v>
      </c>
      <c r="N7" s="29">
        <v>43535</v>
      </c>
      <c r="O7" s="30" t="s">
        <v>1359</v>
      </c>
      <c r="P7" s="660">
        <v>1.081450089388609E-2</v>
      </c>
      <c r="Q7" s="876">
        <v>3.3999999999999998E-3</v>
      </c>
      <c r="R7" s="2"/>
      <c r="W7" s="788"/>
      <c r="X7" s="788"/>
      <c r="Y7" s="760"/>
      <c r="Z7" s="760"/>
    </row>
    <row r="8" spans="1:33" ht="21.95" customHeight="1" x14ac:dyDescent="0.25">
      <c r="A8" s="50"/>
      <c r="B8" s="50"/>
      <c r="C8" s="51"/>
      <c r="D8" s="708"/>
      <c r="E8" s="22" t="s">
        <v>1274</v>
      </c>
      <c r="F8" s="2">
        <v>55.88</v>
      </c>
      <c r="G8" s="78">
        <v>58.46</v>
      </c>
      <c r="H8">
        <v>200</v>
      </c>
      <c r="I8" s="2">
        <v>11176</v>
      </c>
      <c r="J8" s="2">
        <v>11692</v>
      </c>
      <c r="K8" s="2">
        <v>-516</v>
      </c>
      <c r="L8" s="660">
        <v>-4.4132740335271953E-2</v>
      </c>
      <c r="M8" s="2">
        <v>-516</v>
      </c>
      <c r="N8">
        <v>200</v>
      </c>
      <c r="O8" s="30" t="s">
        <v>1370</v>
      </c>
      <c r="P8" s="660">
        <v>2.863278453829635E-2</v>
      </c>
      <c r="Q8" s="876">
        <v>-3.5999999999999999E-3</v>
      </c>
      <c r="R8" s="2">
        <v>13.432692307692308</v>
      </c>
      <c r="S8" s="780">
        <v>43436</v>
      </c>
      <c r="T8" s="48"/>
      <c r="W8" s="788"/>
      <c r="X8" s="788"/>
      <c r="Y8" s="760"/>
      <c r="Z8" s="760"/>
    </row>
    <row r="9" spans="1:33" ht="21.95" customHeight="1" x14ac:dyDescent="0.25">
      <c r="A9" s="50"/>
      <c r="B9" s="50"/>
      <c r="C9" s="51"/>
      <c r="D9" s="708"/>
      <c r="E9" s="22" t="s">
        <v>1317</v>
      </c>
      <c r="F9" s="2">
        <v>93.91</v>
      </c>
      <c r="G9" s="78">
        <v>97.656200000000013</v>
      </c>
      <c r="H9">
        <v>50</v>
      </c>
      <c r="I9" s="2">
        <v>4695.5</v>
      </c>
      <c r="J9" s="2">
        <v>4882.8100000000004</v>
      </c>
      <c r="K9" s="2">
        <v>-187.3100000000004</v>
      </c>
      <c r="L9" s="660">
        <v>-3.8361107640887272E-2</v>
      </c>
      <c r="M9" s="2">
        <v>-187.3100000000004</v>
      </c>
      <c r="N9">
        <v>50</v>
      </c>
      <c r="O9" s="30" t="s">
        <v>1354</v>
      </c>
      <c r="P9" s="660">
        <v>9.3706740496219791E-3</v>
      </c>
      <c r="Q9" s="876">
        <v>-8.8999999999999999E-3</v>
      </c>
      <c r="R9" s="2">
        <v>21.343181818181815</v>
      </c>
      <c r="S9" s="780">
        <v>43436</v>
      </c>
      <c r="U9" s="787"/>
      <c r="V9" s="2"/>
      <c r="W9" s="787"/>
      <c r="X9" s="787"/>
      <c r="Y9" s="2"/>
      <c r="Z9" s="760"/>
    </row>
    <row r="10" spans="1:33" ht="21.95" customHeight="1" x14ac:dyDescent="0.25">
      <c r="A10" s="50"/>
      <c r="B10" s="51"/>
      <c r="C10" s="51"/>
      <c r="D10" s="708"/>
      <c r="E10" s="22" t="s">
        <v>1282</v>
      </c>
      <c r="F10" s="2">
        <v>181.7099</v>
      </c>
      <c r="G10" s="78">
        <v>193.31733333333335</v>
      </c>
      <c r="H10">
        <v>30</v>
      </c>
      <c r="I10" s="2">
        <v>5451.2970000000005</v>
      </c>
      <c r="J10" s="2">
        <v>5799.52</v>
      </c>
      <c r="K10" s="2">
        <v>-348.22299999999996</v>
      </c>
      <c r="L10" s="660">
        <v>-6.0043417386266514E-2</v>
      </c>
      <c r="M10" s="2">
        <v>-348.22299999999996</v>
      </c>
      <c r="N10">
        <v>30</v>
      </c>
      <c r="O10" s="30" t="s">
        <v>1346</v>
      </c>
      <c r="P10" s="660">
        <v>0</v>
      </c>
      <c r="Q10" s="876">
        <v>3.5000000000000001E-3</v>
      </c>
      <c r="R10" s="2"/>
      <c r="Z10" s="760"/>
    </row>
    <row r="11" spans="1:33" ht="21.95" customHeight="1" x14ac:dyDescent="0.25">
      <c r="A11" s="50"/>
      <c r="B11" s="51"/>
      <c r="C11" s="51"/>
      <c r="E11" s="22" t="s">
        <v>824</v>
      </c>
      <c r="F11" s="2">
        <v>84.64</v>
      </c>
      <c r="G11" s="78">
        <v>66.57325000000003</v>
      </c>
      <c r="H11">
        <v>40</v>
      </c>
      <c r="I11" s="2">
        <v>3385.6</v>
      </c>
      <c r="J11" s="2">
        <v>2662.9300000000012</v>
      </c>
      <c r="K11" s="2">
        <v>722.66999999999962</v>
      </c>
      <c r="L11" s="660">
        <v>0.27138152335960708</v>
      </c>
      <c r="M11" s="2">
        <v>722.66999999999962</v>
      </c>
      <c r="N11">
        <v>40</v>
      </c>
      <c r="O11" s="30" t="s">
        <v>1379</v>
      </c>
      <c r="P11" s="660">
        <v>2.6937618147448012E-2</v>
      </c>
      <c r="Q11" s="876">
        <v>-1.78E-2</v>
      </c>
      <c r="R11" s="2">
        <v>17.781512605042018</v>
      </c>
      <c r="T11" s="48"/>
      <c r="W11" s="788"/>
      <c r="X11" s="788"/>
      <c r="Y11" s="760"/>
      <c r="Z11" s="760"/>
    </row>
    <row r="12" spans="1:33" ht="21.95" customHeight="1" x14ac:dyDescent="0.25">
      <c r="A12" s="51"/>
      <c r="B12" s="51"/>
      <c r="C12" s="51"/>
      <c r="D12" s="708"/>
      <c r="E12" s="22" t="s">
        <v>709</v>
      </c>
      <c r="F12" s="2">
        <v>58.489899999999999</v>
      </c>
      <c r="G12" s="78">
        <v>59.01</v>
      </c>
      <c r="H12">
        <v>100</v>
      </c>
      <c r="I12" s="2">
        <v>5848.99</v>
      </c>
      <c r="J12" s="2">
        <v>5901</v>
      </c>
      <c r="K12" s="2">
        <v>-52.010000000000218</v>
      </c>
      <c r="L12" s="660">
        <v>-8.8137603795966669E-3</v>
      </c>
      <c r="M12" s="2">
        <v>988.70999999999367</v>
      </c>
      <c r="N12" s="29">
        <v>43535</v>
      </c>
      <c r="O12" s="30" t="s">
        <v>1182</v>
      </c>
      <c r="P12" s="660">
        <v>0</v>
      </c>
      <c r="Q12" s="876">
        <v>-2.24E-2</v>
      </c>
      <c r="R12" s="2">
        <v>17.102309941520467</v>
      </c>
      <c r="T12" s="48"/>
      <c r="W12" s="788"/>
      <c r="X12" s="788"/>
      <c r="Y12" s="760"/>
      <c r="Z12" s="760"/>
    </row>
    <row r="13" spans="1:33" ht="21.95" customHeight="1" x14ac:dyDescent="0.25">
      <c r="A13" s="51"/>
      <c r="B13" s="51"/>
      <c r="C13" s="51"/>
      <c r="D13" s="708"/>
      <c r="E13" s="22" t="s">
        <v>1114</v>
      </c>
      <c r="F13" s="2">
        <v>52.13</v>
      </c>
      <c r="G13" s="78">
        <v>44.41868055555554</v>
      </c>
      <c r="H13">
        <v>144</v>
      </c>
      <c r="I13" s="2">
        <v>7506.72</v>
      </c>
      <c r="J13" s="2">
        <v>6396.2899999999972</v>
      </c>
      <c r="K13" s="2">
        <v>1110.430000000003</v>
      </c>
      <c r="L13" s="660">
        <v>0.17360532433645176</v>
      </c>
      <c r="M13" s="2">
        <v>1110.430000000003</v>
      </c>
      <c r="N13">
        <v>144</v>
      </c>
      <c r="O13" s="30"/>
      <c r="P13" s="660">
        <v>2.4937655860349128E-2</v>
      </c>
      <c r="Q13" s="876">
        <v>-2.7000000000000001E-3</v>
      </c>
      <c r="R13" s="2"/>
      <c r="S13" s="780">
        <v>43421</v>
      </c>
      <c r="T13" s="48"/>
      <c r="U13" s="788"/>
      <c r="V13" s="760"/>
      <c r="W13" s="788"/>
      <c r="X13" s="788"/>
      <c r="Y13" s="760"/>
      <c r="Z13" s="760"/>
    </row>
    <row r="14" spans="1:33" ht="21.95" customHeight="1" x14ac:dyDescent="0.25">
      <c r="A14" s="50"/>
      <c r="B14" s="51"/>
      <c r="C14" s="51"/>
      <c r="D14" s="708"/>
      <c r="E14" s="22" t="s">
        <v>916</v>
      </c>
      <c r="F14" s="2">
        <v>33.119900000000001</v>
      </c>
      <c r="G14" s="78">
        <v>51.013442857142863</v>
      </c>
      <c r="H14">
        <v>700</v>
      </c>
      <c r="I14" s="2">
        <v>23183.93</v>
      </c>
      <c r="J14" s="2">
        <v>35709.410000000003</v>
      </c>
      <c r="K14" s="2">
        <v>-12525.480000000003</v>
      </c>
      <c r="L14" s="660">
        <v>-0.35076132593621684</v>
      </c>
      <c r="M14" s="2">
        <v>-12525.480000000003</v>
      </c>
      <c r="N14">
        <v>500</v>
      </c>
      <c r="O14" s="30" t="s">
        <v>1377</v>
      </c>
      <c r="P14" s="660">
        <v>7.5483319696013573E-2</v>
      </c>
      <c r="Q14" s="876">
        <v>-3.2399999999999998E-2</v>
      </c>
      <c r="R14" s="2">
        <v>9.3295492957746493</v>
      </c>
      <c r="S14" s="780">
        <v>43471</v>
      </c>
      <c r="T14" s="48"/>
      <c r="U14" s="788"/>
      <c r="W14" s="788"/>
      <c r="X14" s="788"/>
      <c r="Y14" s="760"/>
      <c r="Z14" s="760"/>
    </row>
    <row r="15" spans="1:33" ht="21.95" customHeight="1" x14ac:dyDescent="0.25">
      <c r="A15" s="50"/>
      <c r="B15" s="50"/>
      <c r="C15" s="51"/>
      <c r="D15" s="708"/>
      <c r="E15" s="22" t="s">
        <v>919</v>
      </c>
      <c r="F15" s="2">
        <v>191.09989999999999</v>
      </c>
      <c r="G15" s="78">
        <v>175.29666666666677</v>
      </c>
      <c r="H15">
        <v>30</v>
      </c>
      <c r="I15" s="2">
        <v>5732.9969999999994</v>
      </c>
      <c r="J15" s="2">
        <v>5258.9000000000033</v>
      </c>
      <c r="K15" s="2">
        <v>474.09699999999793</v>
      </c>
      <c r="L15" s="660">
        <v>9.0151362452223174E-2</v>
      </c>
      <c r="M15" s="2">
        <v>474.09699999999793</v>
      </c>
      <c r="N15">
        <v>30</v>
      </c>
      <c r="O15" s="30" t="s">
        <v>1378</v>
      </c>
      <c r="P15" s="660">
        <v>1.0047101018891166E-2</v>
      </c>
      <c r="Q15" s="876">
        <v>1.32E-2</v>
      </c>
      <c r="R15" s="2">
        <v>22.169361948955917</v>
      </c>
      <c r="S15" s="780">
        <v>43426</v>
      </c>
      <c r="U15" s="788"/>
      <c r="V15" s="788"/>
      <c r="W15" s="788"/>
      <c r="X15" s="788"/>
      <c r="Y15" s="760"/>
      <c r="Z15" s="760"/>
    </row>
    <row r="16" spans="1:33" ht="21.95" customHeight="1" x14ac:dyDescent="0.25">
      <c r="A16" s="51"/>
      <c r="B16" s="51"/>
      <c r="C16" s="51"/>
      <c r="D16" s="708"/>
      <c r="E16" s="22" t="s">
        <v>14</v>
      </c>
      <c r="F16" s="2">
        <v>52.1</v>
      </c>
      <c r="G16" s="78">
        <v>47.935299999999991</v>
      </c>
      <c r="H16">
        <v>200</v>
      </c>
      <c r="I16" s="2">
        <v>10420</v>
      </c>
      <c r="J16" s="2">
        <v>9587.0599999999977</v>
      </c>
      <c r="K16" s="2">
        <v>832.94000000000233</v>
      </c>
      <c r="L16" s="660">
        <v>8.6881692614837316E-2</v>
      </c>
      <c r="M16" s="2">
        <v>832.94000000000233</v>
      </c>
      <c r="N16">
        <v>200</v>
      </c>
      <c r="O16" s="30" t="s">
        <v>1370</v>
      </c>
      <c r="P16" s="660">
        <v>5.3742802303262949E-2</v>
      </c>
      <c r="Q16" s="876">
        <v>5.0000000000000001E-3</v>
      </c>
      <c r="R16" s="2">
        <v>13.074027603513173</v>
      </c>
      <c r="S16" s="780">
        <v>43426</v>
      </c>
      <c r="U16" s="788"/>
      <c r="V16" s="788"/>
      <c r="W16" s="788"/>
      <c r="X16" s="788"/>
      <c r="Y16" s="760"/>
    </row>
    <row r="17" spans="1:33" ht="21.95" customHeight="1" x14ac:dyDescent="0.25">
      <c r="A17" s="50"/>
      <c r="B17" s="50"/>
      <c r="C17" s="51"/>
      <c r="D17" s="708"/>
      <c r="E17" s="22" t="s">
        <v>221</v>
      </c>
      <c r="F17" s="2">
        <v>31.44</v>
      </c>
      <c r="G17" s="78">
        <v>-9.0842000000001288</v>
      </c>
      <c r="H17">
        <v>200</v>
      </c>
      <c r="I17" s="2">
        <v>6288</v>
      </c>
      <c r="J17" s="2">
        <v>-1816.8400000000258</v>
      </c>
      <c r="K17" s="2">
        <v>8104.8400000000256</v>
      </c>
      <c r="L17" s="660"/>
      <c r="M17" s="2">
        <v>9557.100000000024</v>
      </c>
      <c r="N17">
        <v>100</v>
      </c>
      <c r="O17" s="30" t="s">
        <v>1366</v>
      </c>
      <c r="P17" s="660">
        <v>3.1806615776081427E-3</v>
      </c>
      <c r="Q17" s="876">
        <v>-4.0599999999999997E-2</v>
      </c>
      <c r="R17" s="2">
        <v>16.547368421052632</v>
      </c>
      <c r="S17" s="780">
        <v>43421</v>
      </c>
      <c r="V17" s="788"/>
      <c r="W17" s="788"/>
      <c r="X17" s="788"/>
      <c r="Y17" s="760"/>
      <c r="Z17" s="760"/>
    </row>
    <row r="18" spans="1:33" ht="21.95" customHeight="1" x14ac:dyDescent="0.25">
      <c r="A18" s="50"/>
      <c r="B18" s="51"/>
      <c r="C18" s="51"/>
      <c r="D18" s="708"/>
      <c r="E18" s="22" t="s">
        <v>50</v>
      </c>
      <c r="F18" s="2">
        <v>16.52</v>
      </c>
      <c r="G18" s="78">
        <v>3.7897333333334084</v>
      </c>
      <c r="H18">
        <v>1800</v>
      </c>
      <c r="I18" s="2">
        <v>29736</v>
      </c>
      <c r="J18" s="2">
        <v>6821.520000000135</v>
      </c>
      <c r="K18" s="2">
        <v>22914.479999999865</v>
      </c>
      <c r="L18" s="660">
        <v>3.3591457622347232</v>
      </c>
      <c r="M18" s="2">
        <v>37530.051000001491</v>
      </c>
      <c r="N18">
        <v>1200</v>
      </c>
      <c r="O18" s="30" t="s">
        <v>1381</v>
      </c>
      <c r="P18" s="660">
        <v>1.2106537530266345E-2</v>
      </c>
      <c r="Q18" s="876">
        <v>-8.9999999999999993E-3</v>
      </c>
      <c r="R18" s="2">
        <v>26.222222222222221</v>
      </c>
      <c r="S18" s="780">
        <v>43471</v>
      </c>
      <c r="T18" s="48"/>
      <c r="U18" s="788"/>
      <c r="W18" s="788"/>
      <c r="X18" s="788"/>
      <c r="Y18" s="760"/>
      <c r="Z18" s="760"/>
    </row>
    <row r="19" spans="1:33" ht="21.95" customHeight="1" x14ac:dyDescent="0.25">
      <c r="A19" s="50"/>
      <c r="B19" s="50"/>
      <c r="C19" s="51"/>
      <c r="D19" s="708"/>
      <c r="E19" s="22" t="s">
        <v>1184</v>
      </c>
      <c r="F19" s="2">
        <v>2632.9706999999999</v>
      </c>
      <c r="G19" s="78">
        <v>2181.0399999999991</v>
      </c>
      <c r="H19">
        <v>2</v>
      </c>
      <c r="I19" s="2">
        <v>5265.9413999999997</v>
      </c>
      <c r="J19" s="2">
        <v>4362.0799999999981</v>
      </c>
      <c r="K19" s="2">
        <v>903.86140000000159</v>
      </c>
      <c r="L19" s="660">
        <v>0.20720880864174934</v>
      </c>
      <c r="M19" s="2">
        <v>903.86140000000159</v>
      </c>
      <c r="N19">
        <v>2</v>
      </c>
      <c r="O19" s="30" t="s">
        <v>1365</v>
      </c>
      <c r="P19" s="660">
        <v>0</v>
      </c>
      <c r="Q19" s="876">
        <v>-5.5999999999999999E-3</v>
      </c>
      <c r="R19" s="2">
        <v>13.572013917525773</v>
      </c>
      <c r="S19" s="780">
        <v>43422</v>
      </c>
      <c r="T19" s="281"/>
      <c r="V19" s="788"/>
      <c r="W19" s="788"/>
      <c r="X19" s="788"/>
      <c r="Y19" s="760"/>
      <c r="Z19" s="760"/>
    </row>
    <row r="20" spans="1:33" ht="21.95" customHeight="1" x14ac:dyDescent="0.25">
      <c r="A20" s="50"/>
      <c r="B20" s="50"/>
      <c r="C20" s="51"/>
      <c r="D20" s="708"/>
      <c r="E20" s="22" t="s">
        <v>173</v>
      </c>
      <c r="F20" s="2">
        <v>17.119900000000001</v>
      </c>
      <c r="G20" s="78">
        <v>26.328939999999992</v>
      </c>
      <c r="H20">
        <v>500</v>
      </c>
      <c r="I20" s="2">
        <v>8559.9500000000007</v>
      </c>
      <c r="J20" s="2">
        <v>13164.469999999996</v>
      </c>
      <c r="K20" s="2">
        <v>-4604.5200000000004</v>
      </c>
      <c r="L20" s="660">
        <v>-0.34976873356846094</v>
      </c>
      <c r="M20" s="2">
        <v>-4529.5</v>
      </c>
      <c r="N20">
        <v>300</v>
      </c>
      <c r="O20" s="30" t="s">
        <v>1373</v>
      </c>
      <c r="P20" s="660">
        <v>5.3738631650885813E-2</v>
      </c>
      <c r="Q20" s="876">
        <v>-5.9999999999999995E-4</v>
      </c>
      <c r="R20" s="2">
        <v>11.045096774193549</v>
      </c>
      <c r="S20" s="780">
        <v>43417</v>
      </c>
      <c r="U20" s="48"/>
      <c r="W20" s="788"/>
      <c r="X20" s="788"/>
      <c r="Y20" s="760"/>
      <c r="Z20" s="760"/>
    </row>
    <row r="21" spans="1:33" ht="21.95" customHeight="1" x14ac:dyDescent="0.25">
      <c r="A21" s="51"/>
      <c r="B21" s="51"/>
      <c r="C21" s="51"/>
      <c r="D21" s="708"/>
      <c r="E21" s="22" t="s">
        <v>799</v>
      </c>
      <c r="F21" s="2">
        <v>22.11</v>
      </c>
      <c r="G21" s="78">
        <v>29.412966666666641</v>
      </c>
      <c r="H21">
        <v>300</v>
      </c>
      <c r="I21" s="2">
        <v>6633</v>
      </c>
      <c r="J21" s="2">
        <v>8823.8899999999921</v>
      </c>
      <c r="K21" s="2">
        <v>-2190.8899999999921</v>
      </c>
      <c r="L21" s="660">
        <v>-0.24829071985258139</v>
      </c>
      <c r="M21" s="2">
        <v>-2190.8899999999921</v>
      </c>
      <c r="N21">
        <v>300</v>
      </c>
      <c r="O21" s="30" t="s">
        <v>1385</v>
      </c>
      <c r="P21" s="660">
        <v>4.7037539574853009E-2</v>
      </c>
      <c r="Q21" s="876">
        <v>-1.34E-2</v>
      </c>
      <c r="R21" s="2">
        <v>13.005882352941176</v>
      </c>
      <c r="S21" s="780">
        <v>43324</v>
      </c>
      <c r="W21" s="788"/>
      <c r="X21" s="788"/>
      <c r="Y21" s="760"/>
      <c r="Z21" s="760"/>
    </row>
    <row r="22" spans="1:33" ht="21.95" customHeight="1" x14ac:dyDescent="0.25">
      <c r="A22" s="50"/>
      <c r="B22" s="50"/>
      <c r="C22" s="51"/>
      <c r="D22" s="708"/>
      <c r="E22" s="22" t="s">
        <v>1323</v>
      </c>
      <c r="F22" s="2">
        <v>142.76</v>
      </c>
      <c r="G22" s="78">
        <v>146.65</v>
      </c>
      <c r="H22">
        <v>25</v>
      </c>
      <c r="I22" s="2">
        <v>3569</v>
      </c>
      <c r="J22" s="2">
        <v>3666.25</v>
      </c>
      <c r="K22" s="2">
        <v>-97.25</v>
      </c>
      <c r="L22" s="660">
        <v>-2.6525741561541184E-2</v>
      </c>
      <c r="M22" s="2">
        <v>-97.25</v>
      </c>
      <c r="N22">
        <v>25</v>
      </c>
      <c r="O22" s="30" t="s">
        <v>1341</v>
      </c>
      <c r="P22" s="660">
        <v>6.1641916503222191E-3</v>
      </c>
      <c r="Q22" s="876">
        <v>-1.1999999999999999E-3</v>
      </c>
      <c r="R22" s="2">
        <v>32.445454545454538</v>
      </c>
      <c r="W22" s="788"/>
      <c r="X22" s="788"/>
      <c r="Y22" s="760"/>
      <c r="Z22" s="760"/>
    </row>
    <row r="23" spans="1:33" ht="21.95" customHeight="1" x14ac:dyDescent="0.25">
      <c r="A23" s="50"/>
      <c r="B23" s="50"/>
      <c r="C23" s="51"/>
      <c r="D23" s="708"/>
      <c r="E23" s="22" t="s">
        <v>895</v>
      </c>
      <c r="F23" s="2">
        <v>31.22</v>
      </c>
      <c r="G23" s="78">
        <v>20.383866666666677</v>
      </c>
      <c r="H23">
        <v>300</v>
      </c>
      <c r="I23" s="2">
        <v>9366</v>
      </c>
      <c r="J23" s="2">
        <v>6115.1600000000035</v>
      </c>
      <c r="K23" s="2">
        <v>3250.8399999999965</v>
      </c>
      <c r="L23" s="660">
        <v>0.5316034249308268</v>
      </c>
      <c r="M23" s="2">
        <v>3250.8399999999965</v>
      </c>
      <c r="N23">
        <v>100</v>
      </c>
      <c r="O23" s="30" t="s">
        <v>1369</v>
      </c>
      <c r="P23" s="660">
        <v>6.4061499039077513E-2</v>
      </c>
      <c r="Q23" s="876">
        <v>2.8999999999999998E-3</v>
      </c>
      <c r="R23" s="2">
        <v>8.92</v>
      </c>
      <c r="S23" s="780">
        <v>43429</v>
      </c>
      <c r="T23" s="48"/>
      <c r="W23" s="788"/>
      <c r="X23" s="788"/>
      <c r="Y23" s="760"/>
      <c r="Z23" s="660"/>
    </row>
    <row r="24" spans="1:33" ht="21.95" customHeight="1" x14ac:dyDescent="0.25">
      <c r="A24" s="50"/>
      <c r="B24" s="50"/>
      <c r="C24" s="51"/>
      <c r="D24" s="708"/>
      <c r="E24" s="22" t="s">
        <v>321</v>
      </c>
      <c r="F24" s="2">
        <v>16.940000000000001</v>
      </c>
      <c r="G24" s="78">
        <v>16.808475000000016</v>
      </c>
      <c r="H24">
        <v>400</v>
      </c>
      <c r="I24" s="2">
        <v>6776.0000000000009</v>
      </c>
      <c r="J24" s="2">
        <v>6723.3900000000067</v>
      </c>
      <c r="K24" s="2">
        <v>52.609999999994216</v>
      </c>
      <c r="L24" s="660">
        <v>7.82492165410518E-3</v>
      </c>
      <c r="M24" s="2">
        <v>337.57999999999902</v>
      </c>
      <c r="N24">
        <v>400</v>
      </c>
      <c r="O24" s="30" t="s">
        <v>1361</v>
      </c>
      <c r="P24" s="660">
        <v>0</v>
      </c>
      <c r="Q24" s="876">
        <v>-3.7499999999999999E-2</v>
      </c>
      <c r="R24" s="2">
        <v>6.9142857142857146</v>
      </c>
      <c r="S24" s="780">
        <v>43345</v>
      </c>
      <c r="V24" s="2"/>
      <c r="W24" s="787"/>
      <c r="X24" s="787"/>
      <c r="Y24" s="2"/>
    </row>
    <row r="25" spans="1:33" ht="21.95" customHeight="1" x14ac:dyDescent="0.25">
      <c r="A25" s="50"/>
      <c r="B25" s="50"/>
      <c r="C25" s="51"/>
      <c r="D25" s="708"/>
      <c r="E25" s="22" t="s">
        <v>172</v>
      </c>
      <c r="F25" s="2">
        <v>49.5899</v>
      </c>
      <c r="G25" s="78">
        <v>44.889000000000038</v>
      </c>
      <c r="H25">
        <v>120</v>
      </c>
      <c r="I25" s="2">
        <v>5950.7880000000005</v>
      </c>
      <c r="J25" s="2">
        <v>5386.6800000000048</v>
      </c>
      <c r="K25" s="2">
        <v>564.10799999999654</v>
      </c>
      <c r="L25" s="660">
        <v>0.10472276058722532</v>
      </c>
      <c r="M25" s="2">
        <v>2168.6879999999983</v>
      </c>
      <c r="N25">
        <v>120</v>
      </c>
      <c r="O25" s="30" t="s">
        <v>1356</v>
      </c>
      <c r="P25" s="660">
        <v>3.468448212236766E-2</v>
      </c>
      <c r="Q25" s="876">
        <v>-1.4E-3</v>
      </c>
      <c r="R25" s="2">
        <v>10.971216814159293</v>
      </c>
      <c r="W25" s="788"/>
      <c r="X25" s="788"/>
      <c r="Y25" s="760"/>
      <c r="Z25" s="760"/>
      <c r="AA25" s="2"/>
      <c r="AB25"/>
      <c r="AC25"/>
      <c r="AD25"/>
      <c r="AE25"/>
      <c r="AF25"/>
      <c r="AG25"/>
    </row>
    <row r="26" spans="1:33" ht="21.95" customHeight="1" x14ac:dyDescent="0.25">
      <c r="A26" s="50"/>
      <c r="B26" s="51"/>
      <c r="C26" s="51"/>
      <c r="D26" s="708"/>
      <c r="E26" s="22" t="s">
        <v>1237</v>
      </c>
      <c r="F26" s="2">
        <v>39.229999999999997</v>
      </c>
      <c r="G26" s="78">
        <v>47.246775000000007</v>
      </c>
      <c r="H26">
        <v>400</v>
      </c>
      <c r="I26" s="2">
        <v>15691.999999999998</v>
      </c>
      <c r="J26" s="2">
        <v>18898.710000000003</v>
      </c>
      <c r="K26" s="2">
        <v>-3206.7100000000046</v>
      </c>
      <c r="L26" s="660">
        <v>-0.16967877701705583</v>
      </c>
      <c r="M26" s="2">
        <v>-3206.7100000000046</v>
      </c>
      <c r="N26" s="29">
        <v>43528</v>
      </c>
      <c r="O26" s="30" t="s">
        <v>1380</v>
      </c>
      <c r="P26" s="660">
        <v>4.6393066530716294E-2</v>
      </c>
      <c r="Q26" s="876">
        <v>-1.11E-2</v>
      </c>
      <c r="R26" s="2">
        <v>8.5282608695652176</v>
      </c>
      <c r="S26" s="780">
        <v>43423</v>
      </c>
      <c r="V26" s="788"/>
      <c r="W26" s="788"/>
      <c r="X26" s="788"/>
      <c r="Y26" s="760"/>
      <c r="Z26" s="760"/>
    </row>
    <row r="27" spans="1:33" ht="21.95" customHeight="1" x14ac:dyDescent="0.25">
      <c r="A27" s="50"/>
      <c r="B27" s="51"/>
      <c r="C27" s="51"/>
      <c r="D27" s="708"/>
      <c r="E27" s="22" t="s">
        <v>938</v>
      </c>
      <c r="F27" s="2">
        <v>41.22</v>
      </c>
      <c r="G27" s="78">
        <v>46.424399999999999</v>
      </c>
      <c r="H27">
        <v>150</v>
      </c>
      <c r="I27" s="2">
        <v>6183</v>
      </c>
      <c r="J27" s="2">
        <v>6963.66</v>
      </c>
      <c r="K27" s="2">
        <v>-780.65999999999985</v>
      </c>
      <c r="L27" s="660">
        <v>-0.11210484141959831</v>
      </c>
      <c r="M27" s="2">
        <v>-780.65999999999985</v>
      </c>
      <c r="N27">
        <v>150</v>
      </c>
      <c r="O27" s="30" t="s">
        <v>1362</v>
      </c>
      <c r="P27" s="660">
        <v>8.4910237748665688E-3</v>
      </c>
      <c r="Q27" s="876">
        <v>-7.7000000000000002E-3</v>
      </c>
      <c r="R27" s="2">
        <v>19.865060240963853</v>
      </c>
      <c r="S27" s="780">
        <v>43425</v>
      </c>
      <c r="W27" s="788"/>
      <c r="X27" s="788"/>
      <c r="Y27" s="760"/>
    </row>
    <row r="28" spans="1:33" ht="21.95" customHeight="1" x14ac:dyDescent="0.25">
      <c r="A28" s="50"/>
      <c r="B28" s="50"/>
      <c r="C28" s="51"/>
      <c r="D28" s="708"/>
      <c r="E28" s="22" t="s">
        <v>62</v>
      </c>
      <c r="F28" s="2">
        <v>327.86</v>
      </c>
      <c r="G28" s="78">
        <v>327.86</v>
      </c>
      <c r="H28">
        <v>0</v>
      </c>
      <c r="I28" s="2">
        <v>0</v>
      </c>
      <c r="J28" s="2">
        <v>0</v>
      </c>
      <c r="K28" s="2">
        <v>0</v>
      </c>
      <c r="L28" s="660">
        <v>0</v>
      </c>
      <c r="M28" s="2">
        <v>1659.3600000000079</v>
      </c>
      <c r="N28">
        <v>0</v>
      </c>
      <c r="O28" s="30"/>
      <c r="P28" s="660">
        <v>0</v>
      </c>
      <c r="Q28" s="876">
        <v>2.52E-2</v>
      </c>
      <c r="R28" s="2"/>
      <c r="T28" s="48"/>
      <c r="W28" s="788"/>
      <c r="X28" s="788"/>
      <c r="Y28" s="760"/>
      <c r="Z28" s="760"/>
    </row>
    <row r="29" spans="1:33" ht="21.95" customHeight="1" x14ac:dyDescent="0.25">
      <c r="A29" s="50"/>
      <c r="B29" s="51"/>
      <c r="C29" s="51"/>
      <c r="E29" s="22" t="s">
        <v>200</v>
      </c>
      <c r="F29" s="2">
        <v>30.82</v>
      </c>
      <c r="G29" s="78">
        <v>30.82</v>
      </c>
      <c r="H29">
        <v>0</v>
      </c>
      <c r="I29" s="2">
        <v>0</v>
      </c>
      <c r="J29" s="2">
        <v>0</v>
      </c>
      <c r="K29" s="2">
        <v>0</v>
      </c>
      <c r="L29" s="660">
        <v>0</v>
      </c>
      <c r="M29" s="2">
        <v>555.54</v>
      </c>
      <c r="N29">
        <v>0</v>
      </c>
      <c r="O29" s="30"/>
      <c r="P29" s="660">
        <v>0</v>
      </c>
      <c r="Q29" s="876">
        <v>4.7999999999999996E-3</v>
      </c>
      <c r="R29" s="2"/>
      <c r="W29" s="788"/>
      <c r="X29" s="788"/>
      <c r="Y29" s="760"/>
    </row>
    <row r="30" spans="1:33" ht="21.95" customHeight="1" x14ac:dyDescent="0.25">
      <c r="A30" s="50"/>
      <c r="B30" s="50"/>
      <c r="C30" s="51"/>
      <c r="E30" s="22" t="s">
        <v>209</v>
      </c>
      <c r="F30" s="2">
        <v>24.3</v>
      </c>
      <c r="G30" s="78">
        <v>24.3</v>
      </c>
      <c r="H30">
        <v>0</v>
      </c>
      <c r="I30" s="2">
        <v>0</v>
      </c>
      <c r="J30" s="2">
        <v>0</v>
      </c>
      <c r="K30" s="2">
        <v>973.83000000000175</v>
      </c>
      <c r="L30" s="660">
        <v>0</v>
      </c>
      <c r="M30" s="2">
        <v>2131.6999999999971</v>
      </c>
      <c r="N30">
        <v>0</v>
      </c>
      <c r="O30" s="30"/>
      <c r="P30" s="660">
        <v>6.0905349794238679E-2</v>
      </c>
      <c r="Q30" s="876">
        <v>1.47E-2</v>
      </c>
      <c r="R30" s="2">
        <v>6.0750000000000002</v>
      </c>
      <c r="V30" s="48"/>
      <c r="W30" s="788"/>
      <c r="X30" s="788"/>
      <c r="Y30" s="760"/>
    </row>
    <row r="31" spans="1:33" ht="21.95" customHeight="1" x14ac:dyDescent="0.25">
      <c r="A31" s="51"/>
      <c r="B31" s="51"/>
      <c r="C31" s="51"/>
      <c r="D31" s="708"/>
      <c r="E31" s="22" t="s">
        <v>199</v>
      </c>
      <c r="F31" s="2">
        <v>165.25</v>
      </c>
      <c r="G31" s="78">
        <v>165.25</v>
      </c>
      <c r="H31">
        <v>0</v>
      </c>
      <c r="I31" s="2">
        <v>0</v>
      </c>
      <c r="J31" s="2">
        <v>0</v>
      </c>
      <c r="K31" s="2">
        <v>0</v>
      </c>
      <c r="L31" s="660">
        <v>0</v>
      </c>
      <c r="M31" s="2">
        <v>363.09999999999945</v>
      </c>
      <c r="N31">
        <v>0</v>
      </c>
      <c r="O31" s="30"/>
      <c r="P31" s="660">
        <v>0</v>
      </c>
      <c r="Q31" s="876">
        <v>9.7000000000000003E-3</v>
      </c>
      <c r="R31" s="2"/>
      <c r="W31" s="788"/>
      <c r="X31" s="788"/>
      <c r="Y31" s="760"/>
    </row>
    <row r="32" spans="1:33" ht="21.95" customHeight="1" x14ac:dyDescent="0.25">
      <c r="A32" s="50"/>
      <c r="B32" s="51"/>
      <c r="C32" s="51"/>
      <c r="D32" s="708"/>
      <c r="E32" s="22" t="s">
        <v>220</v>
      </c>
      <c r="F32" s="2">
        <v>102.67</v>
      </c>
      <c r="G32" s="78">
        <v>102.67</v>
      </c>
      <c r="H32">
        <v>0</v>
      </c>
      <c r="I32" s="2">
        <v>0</v>
      </c>
      <c r="J32" s="2">
        <v>0</v>
      </c>
      <c r="K32" s="2">
        <v>0</v>
      </c>
      <c r="L32" s="660">
        <v>0</v>
      </c>
      <c r="M32" s="2">
        <v>231.53999999999996</v>
      </c>
      <c r="N32">
        <v>0</v>
      </c>
      <c r="O32" s="30"/>
      <c r="P32" s="660">
        <v>1.6199999999999999E-2</v>
      </c>
      <c r="Q32" s="876">
        <v>9.4999999999999998E-3</v>
      </c>
      <c r="R32" s="2"/>
      <c r="T32" s="48"/>
      <c r="U32"/>
      <c r="V32" s="788"/>
      <c r="W32" s="788"/>
      <c r="X32" s="788"/>
      <c r="Y32" s="760"/>
      <c r="Z32" s="660"/>
    </row>
    <row r="33" spans="1:33" ht="21.95" customHeight="1" x14ac:dyDescent="0.25">
      <c r="A33" s="50"/>
      <c r="B33" s="51"/>
      <c r="C33" s="51"/>
      <c r="D33" s="708"/>
      <c r="E33" s="22" t="s">
        <v>260</v>
      </c>
      <c r="F33" s="2">
        <v>115.28</v>
      </c>
      <c r="G33" s="78">
        <v>115.28</v>
      </c>
      <c r="H33">
        <v>0</v>
      </c>
      <c r="I33" s="2">
        <v>0</v>
      </c>
      <c r="J33" s="2">
        <v>0</v>
      </c>
      <c r="K33" s="2">
        <v>0</v>
      </c>
      <c r="L33" s="660">
        <v>0</v>
      </c>
      <c r="M33" s="2">
        <v>1857.7799999999988</v>
      </c>
      <c r="N33">
        <v>0</v>
      </c>
      <c r="O33" s="30"/>
      <c r="P33" s="660">
        <v>1.49E-2</v>
      </c>
      <c r="Q33" s="876">
        <v>9.4000000000000004E-3</v>
      </c>
      <c r="R33" s="2"/>
      <c r="W33" s="788"/>
      <c r="X33" s="788"/>
      <c r="Y33" s="760"/>
      <c r="Z33" s="760"/>
    </row>
    <row r="34" spans="1:33" ht="21.95" customHeight="1" x14ac:dyDescent="0.25">
      <c r="A34" s="50"/>
      <c r="B34" s="51"/>
      <c r="C34" s="51"/>
      <c r="D34" s="708"/>
      <c r="E34" s="22" t="s">
        <v>23</v>
      </c>
      <c r="F34" s="2">
        <v>39.51</v>
      </c>
      <c r="G34" s="78">
        <v>39.51</v>
      </c>
      <c r="H34">
        <v>0</v>
      </c>
      <c r="I34" s="2">
        <v>0</v>
      </c>
      <c r="J34" s="2">
        <v>0</v>
      </c>
      <c r="K34" s="2">
        <v>0</v>
      </c>
      <c r="L34" s="660">
        <v>0</v>
      </c>
      <c r="M34" s="2">
        <v>171.89999999999964</v>
      </c>
      <c r="N34">
        <v>0</v>
      </c>
      <c r="O34" s="30"/>
      <c r="P34" s="660">
        <v>0</v>
      </c>
      <c r="Q34" s="876">
        <v>1.14E-2</v>
      </c>
      <c r="R34" s="2"/>
      <c r="T34" s="48"/>
      <c r="W34" s="788"/>
      <c r="X34" s="788"/>
      <c r="Y34" s="760"/>
      <c r="Z34" s="760"/>
    </row>
    <row r="35" spans="1:33" ht="21.95" customHeight="1" x14ac:dyDescent="0.25">
      <c r="A35" s="50"/>
      <c r="B35" s="50"/>
      <c r="C35" s="51"/>
      <c r="D35" s="708"/>
      <c r="E35" s="22" t="s">
        <v>261</v>
      </c>
      <c r="F35" s="2">
        <v>49.04</v>
      </c>
      <c r="G35" s="78">
        <v>49.04</v>
      </c>
      <c r="H35">
        <v>0</v>
      </c>
      <c r="I35" s="2">
        <v>0</v>
      </c>
      <c r="J35" s="2">
        <v>0</v>
      </c>
      <c r="K35" s="2">
        <v>0</v>
      </c>
      <c r="L35" s="660">
        <v>0</v>
      </c>
      <c r="M35" s="2">
        <v>98.449999999999818</v>
      </c>
      <c r="N35">
        <v>0</v>
      </c>
      <c r="O35" s="30"/>
      <c r="P35" s="660">
        <v>1.11E-2</v>
      </c>
      <c r="Q35" s="876">
        <v>3.0999999999999999E-3</v>
      </c>
      <c r="R35" s="2"/>
      <c r="T35" s="48"/>
      <c r="W35" s="788"/>
      <c r="X35" s="788"/>
      <c r="Y35" s="760"/>
      <c r="Z35" s="788"/>
    </row>
    <row r="36" spans="1:33" ht="21.95" customHeight="1" x14ac:dyDescent="0.25">
      <c r="A36" s="50"/>
      <c r="B36" s="50"/>
      <c r="C36" s="50"/>
      <c r="D36" s="708"/>
      <c r="E36" s="22" t="s">
        <v>318</v>
      </c>
      <c r="F36" s="2">
        <v>12</v>
      </c>
      <c r="G36" s="78">
        <v>12</v>
      </c>
      <c r="H36">
        <v>0</v>
      </c>
      <c r="I36" s="2">
        <v>0</v>
      </c>
      <c r="J36" s="2">
        <v>0</v>
      </c>
      <c r="K36" s="2">
        <v>-1184.9399999999987</v>
      </c>
      <c r="L36" s="660">
        <v>0</v>
      </c>
      <c r="M36" s="2">
        <v>98.479999999995925</v>
      </c>
      <c r="N36">
        <v>0</v>
      </c>
      <c r="O36" s="30"/>
      <c r="P36" s="660">
        <v>0</v>
      </c>
      <c r="Q36" s="876">
        <v>2.06E-2</v>
      </c>
      <c r="R36" s="2">
        <v>37.5</v>
      </c>
      <c r="T36" s="48"/>
      <c r="W36" s="788"/>
      <c r="X36" s="788"/>
      <c r="Y36" s="760"/>
      <c r="AA36" s="2"/>
      <c r="AB36"/>
      <c r="AC36"/>
      <c r="AD36"/>
      <c r="AE36"/>
      <c r="AF36"/>
      <c r="AG36"/>
    </row>
    <row r="37" spans="1:33" ht="21.95" customHeight="1" x14ac:dyDescent="0.25">
      <c r="A37" s="50"/>
      <c r="B37" s="50"/>
      <c r="C37" s="51"/>
      <c r="D37" s="708"/>
      <c r="E37" s="22" t="s">
        <v>36</v>
      </c>
      <c r="F37" s="2">
        <v>57.49</v>
      </c>
      <c r="G37" s="78">
        <v>57.49</v>
      </c>
      <c r="H37">
        <v>0</v>
      </c>
      <c r="I37" s="2">
        <v>0</v>
      </c>
      <c r="J37" s="2">
        <v>0</v>
      </c>
      <c r="K37" s="2">
        <v>0</v>
      </c>
      <c r="L37" s="660">
        <v>0</v>
      </c>
      <c r="M37" s="2">
        <v>117.73999999999978</v>
      </c>
      <c r="N37">
        <v>0</v>
      </c>
      <c r="O37" s="30"/>
      <c r="P37" s="660">
        <v>0</v>
      </c>
      <c r="Q37" s="876">
        <v>-6.7999999999999996E-3</v>
      </c>
      <c r="R37" s="2"/>
      <c r="U37" s="788"/>
      <c r="V37" s="2"/>
      <c r="W37" s="787"/>
      <c r="X37" s="787"/>
      <c r="Y37" s="2"/>
      <c r="Z37"/>
    </row>
    <row r="38" spans="1:33" ht="21.95" customHeight="1" x14ac:dyDescent="0.25">
      <c r="A38" s="50"/>
      <c r="B38" s="50"/>
      <c r="C38" s="51"/>
      <c r="D38" s="708"/>
      <c r="E38" s="22" t="s">
        <v>1349</v>
      </c>
      <c r="F38" s="2">
        <v>46.16</v>
      </c>
      <c r="G38" s="78">
        <v>46.16</v>
      </c>
      <c r="H38">
        <v>0</v>
      </c>
      <c r="I38" s="2">
        <v>0</v>
      </c>
      <c r="J38" s="2">
        <v>0</v>
      </c>
      <c r="K38" s="2">
        <v>0</v>
      </c>
      <c r="L38" s="660">
        <v>0</v>
      </c>
      <c r="M38" s="2">
        <v>264.92000000000007</v>
      </c>
      <c r="N38">
        <v>0</v>
      </c>
      <c r="O38" s="30"/>
      <c r="P38" s="660">
        <v>3.4200000000000001E-2</v>
      </c>
      <c r="Q38" s="876">
        <v>0</v>
      </c>
      <c r="R38" s="2"/>
      <c r="T38" s="48"/>
      <c r="V38" s="788"/>
      <c r="W38" s="788"/>
      <c r="X38" s="788"/>
      <c r="Y38" s="760"/>
      <c r="Z38" s="760"/>
    </row>
    <row r="39" spans="1:33" ht="21.95" customHeight="1" x14ac:dyDescent="0.25">
      <c r="A39" s="50"/>
      <c r="B39" s="50"/>
      <c r="C39" s="51"/>
      <c r="D39" s="708"/>
      <c r="E39" s="22" t="s">
        <v>292</v>
      </c>
      <c r="F39" s="2">
        <v>48.86</v>
      </c>
      <c r="G39" s="78">
        <v>48.86</v>
      </c>
      <c r="H39">
        <v>0</v>
      </c>
      <c r="I39" s="2">
        <v>0</v>
      </c>
      <c r="J39" s="2">
        <v>0</v>
      </c>
      <c r="K39" s="2">
        <v>0</v>
      </c>
      <c r="L39" s="660">
        <v>0</v>
      </c>
      <c r="M39" s="2">
        <v>910.79999999999927</v>
      </c>
      <c r="N39">
        <v>0</v>
      </c>
      <c r="O39" s="30"/>
      <c r="P39" s="660">
        <v>2.87E-2</v>
      </c>
      <c r="Q39" s="876">
        <v>2.0400000000000001E-2</v>
      </c>
      <c r="R39" s="2"/>
      <c r="T39" s="48"/>
      <c r="V39" s="2"/>
      <c r="W39" s="787"/>
      <c r="X39" s="787"/>
      <c r="Y39" s="2"/>
      <c r="Z39" s="760"/>
      <c r="AA39" s="2"/>
      <c r="AB39"/>
      <c r="AC39"/>
      <c r="AD39"/>
      <c r="AE39"/>
      <c r="AF39"/>
      <c r="AG39"/>
    </row>
    <row r="40" spans="1:33" ht="21.95" customHeight="1" x14ac:dyDescent="0.25">
      <c r="A40" s="51"/>
      <c r="B40" s="51"/>
      <c r="C40" s="51"/>
      <c r="D40" s="708"/>
      <c r="E40" s="22" t="s">
        <v>1321</v>
      </c>
      <c r="F40" s="2">
        <v>90.38</v>
      </c>
      <c r="G40" s="78">
        <v>90.38</v>
      </c>
      <c r="H40">
        <v>0</v>
      </c>
      <c r="I40" s="2">
        <v>0</v>
      </c>
      <c r="J40" s="2">
        <v>0</v>
      </c>
      <c r="K40" s="2">
        <v>149.8799999999992</v>
      </c>
      <c r="L40" s="660">
        <v>0</v>
      </c>
      <c r="M40" s="2">
        <v>149.8799999999992</v>
      </c>
      <c r="N40">
        <v>0</v>
      </c>
      <c r="O40" s="30" t="s">
        <v>1386</v>
      </c>
      <c r="P40" s="660">
        <v>1.2781588847090065E-2</v>
      </c>
      <c r="Q40" s="876">
        <v>-5.0000000000000001E-3</v>
      </c>
      <c r="R40" s="2"/>
      <c r="V40" s="48"/>
      <c r="W40" s="788"/>
      <c r="X40" s="788"/>
      <c r="Y40" s="760"/>
      <c r="Z40" s="660"/>
      <c r="AA40" s="2"/>
      <c r="AB40"/>
      <c r="AC40"/>
      <c r="AD40"/>
      <c r="AE40"/>
      <c r="AF40"/>
      <c r="AG40"/>
    </row>
    <row r="41" spans="1:33" ht="21.95" customHeight="1" x14ac:dyDescent="0.25">
      <c r="A41" s="50"/>
      <c r="B41" s="50"/>
      <c r="C41" s="51"/>
      <c r="D41" s="708"/>
      <c r="E41" s="22" t="s">
        <v>670</v>
      </c>
      <c r="F41" s="2">
        <v>25.25</v>
      </c>
      <c r="G41" s="78">
        <v>25.25</v>
      </c>
      <c r="H41">
        <v>0</v>
      </c>
      <c r="I41" s="2">
        <v>0</v>
      </c>
      <c r="J41" s="2">
        <v>0</v>
      </c>
      <c r="K41" s="2">
        <v>0</v>
      </c>
      <c r="L41" s="660">
        <v>0</v>
      </c>
      <c r="M41" s="2">
        <v>557.94000000000005</v>
      </c>
      <c r="N41">
        <v>0</v>
      </c>
      <c r="O41" s="30"/>
      <c r="P41" s="660">
        <v>4.0599999999999997E-2</v>
      </c>
      <c r="Q41" s="876">
        <v>5.4999999999999997E-3</v>
      </c>
      <c r="R41" s="2"/>
      <c r="W41" s="788"/>
      <c r="X41" s="788"/>
      <c r="Y41" s="760"/>
      <c r="Z41" s="760"/>
    </row>
    <row r="42" spans="1:33" ht="21.95" customHeight="1" x14ac:dyDescent="0.25">
      <c r="A42" s="50"/>
      <c r="B42" s="50"/>
      <c r="C42" s="51"/>
      <c r="D42" s="708"/>
      <c r="E42" s="22" t="s">
        <v>242</v>
      </c>
      <c r="F42" s="2">
        <v>64.69</v>
      </c>
      <c r="G42" s="78">
        <v>64.69</v>
      </c>
      <c r="H42">
        <v>0</v>
      </c>
      <c r="I42" s="2">
        <v>0</v>
      </c>
      <c r="J42" s="2">
        <v>0</v>
      </c>
      <c r="K42" s="2">
        <v>0</v>
      </c>
      <c r="L42" s="660">
        <v>0</v>
      </c>
      <c r="M42" s="2">
        <v>329.74000000000069</v>
      </c>
      <c r="N42">
        <v>0</v>
      </c>
      <c r="O42" s="30"/>
      <c r="P42" s="660">
        <v>0</v>
      </c>
      <c r="Q42" s="876">
        <v>5.0000000000000001E-4</v>
      </c>
      <c r="R42" s="2"/>
      <c r="T42" s="48"/>
      <c r="W42" s="788"/>
      <c r="X42" s="788"/>
      <c r="Y42" s="760"/>
      <c r="Z42" s="760"/>
    </row>
    <row r="43" spans="1:33" ht="21.95" customHeight="1" x14ac:dyDescent="0.25">
      <c r="A43" s="50"/>
      <c r="B43" s="50"/>
      <c r="C43" s="51"/>
      <c r="D43" s="708"/>
      <c r="E43" s="22" t="s">
        <v>649</v>
      </c>
      <c r="F43" s="2">
        <v>18.71</v>
      </c>
      <c r="G43" s="78">
        <v>18.71</v>
      </c>
      <c r="H43">
        <v>0</v>
      </c>
      <c r="I43" s="2">
        <v>0</v>
      </c>
      <c r="J43" s="2">
        <v>0</v>
      </c>
      <c r="K43" s="2">
        <v>0</v>
      </c>
      <c r="L43" s="660">
        <v>0</v>
      </c>
      <c r="M43" s="2">
        <v>309.26000000000022</v>
      </c>
      <c r="N43">
        <v>0</v>
      </c>
      <c r="O43" s="30"/>
      <c r="P43" s="660">
        <v>8.8000000000000005E-3</v>
      </c>
      <c r="Q43" s="876">
        <v>6.0000000000000001E-3</v>
      </c>
      <c r="R43" s="2"/>
      <c r="V43" s="788"/>
      <c r="W43" s="788"/>
      <c r="X43" s="788"/>
      <c r="Y43" s="760"/>
      <c r="Z43" s="760"/>
    </row>
    <row r="44" spans="1:33" ht="21.95" customHeight="1" x14ac:dyDescent="0.25">
      <c r="A44" s="51"/>
      <c r="B44" s="152"/>
      <c r="C44" s="272"/>
      <c r="D44" s="708"/>
      <c r="E44" s="22" t="s">
        <v>712</v>
      </c>
      <c r="F44" s="2">
        <v>242.67</v>
      </c>
      <c r="G44" s="78">
        <v>242.67</v>
      </c>
      <c r="H44">
        <v>0</v>
      </c>
      <c r="I44" s="2">
        <v>0</v>
      </c>
      <c r="J44" s="2">
        <v>0</v>
      </c>
      <c r="K44" s="2">
        <v>0</v>
      </c>
      <c r="L44" s="660">
        <v>0</v>
      </c>
      <c r="M44" s="2">
        <v>843.18000000000029</v>
      </c>
      <c r="N44">
        <v>0</v>
      </c>
      <c r="O44" s="30"/>
      <c r="P44" s="660">
        <v>2.8E-3</v>
      </c>
      <c r="Q44" s="876">
        <v>1.3899999999999999E-2</v>
      </c>
      <c r="R44" s="2"/>
      <c r="V44" s="48"/>
      <c r="W44" s="788"/>
      <c r="X44" s="788"/>
      <c r="Y44" s="760"/>
      <c r="Z44" s="760"/>
      <c r="AA44" s="2"/>
      <c r="AB44"/>
      <c r="AC44"/>
      <c r="AD44"/>
      <c r="AE44"/>
      <c r="AF44"/>
      <c r="AG44"/>
    </row>
    <row r="45" spans="1:33" ht="21.95" customHeight="1" x14ac:dyDescent="0.25">
      <c r="A45" s="50"/>
      <c r="B45" s="50"/>
      <c r="C45" s="51"/>
      <c r="D45" s="708"/>
      <c r="E45" s="22" t="s">
        <v>1281</v>
      </c>
      <c r="F45" s="2">
        <v>19.62</v>
      </c>
      <c r="G45" s="78">
        <v>19.62</v>
      </c>
      <c r="H45">
        <v>0</v>
      </c>
      <c r="I45" s="2">
        <v>0</v>
      </c>
      <c r="J45" s="2">
        <v>0</v>
      </c>
      <c r="K45" s="2">
        <v>863.92000000000007</v>
      </c>
      <c r="L45" s="660">
        <v>0</v>
      </c>
      <c r="M45" s="2">
        <v>863.92000000000007</v>
      </c>
      <c r="N45">
        <v>0</v>
      </c>
      <c r="O45" s="30"/>
      <c r="P45" s="660">
        <v>0</v>
      </c>
      <c r="Q45" s="876">
        <v>-5.1000000000000004E-3</v>
      </c>
      <c r="R45" s="2"/>
      <c r="T45" s="48"/>
      <c r="W45" s="788"/>
      <c r="X45" s="788"/>
      <c r="Y45" s="760"/>
      <c r="Z45" s="760"/>
    </row>
    <row r="46" spans="1:33" ht="21.95" customHeight="1" x14ac:dyDescent="0.25">
      <c r="A46" s="50"/>
      <c r="B46" s="51"/>
      <c r="C46" s="51"/>
      <c r="D46" s="708"/>
      <c r="E46" s="22" t="s">
        <v>1311</v>
      </c>
      <c r="F46" s="2">
        <v>27.169899999999998</v>
      </c>
      <c r="G46" s="78">
        <v>27.169899999999998</v>
      </c>
      <c r="H46">
        <v>0</v>
      </c>
      <c r="I46" s="2">
        <v>0</v>
      </c>
      <c r="J46" s="2">
        <v>0</v>
      </c>
      <c r="K46" s="2">
        <v>593.93000000000029</v>
      </c>
      <c r="L46" s="660">
        <v>0</v>
      </c>
      <c r="M46" s="2">
        <v>593.93000000000029</v>
      </c>
      <c r="N46">
        <v>0</v>
      </c>
      <c r="O46" s="30" t="s">
        <v>1353</v>
      </c>
      <c r="P46" s="660">
        <v>0</v>
      </c>
      <c r="Q46" s="876">
        <v>-4.4000000000000003E-3</v>
      </c>
      <c r="R46" s="2">
        <v>6.174977272727272</v>
      </c>
      <c r="T46" s="48"/>
      <c r="U46"/>
      <c r="V46" s="788"/>
      <c r="W46" s="788"/>
      <c r="X46" s="788"/>
      <c r="Y46" s="760"/>
      <c r="Z46" s="760"/>
    </row>
    <row r="47" spans="1:33" ht="21.95" customHeight="1" x14ac:dyDescent="0.25">
      <c r="A47" s="50"/>
      <c r="B47" s="50"/>
      <c r="C47" s="51"/>
      <c r="D47" s="708"/>
      <c r="E47" s="22" t="s">
        <v>1276</v>
      </c>
      <c r="F47" s="2">
        <v>54.82</v>
      </c>
      <c r="G47" s="78">
        <v>54.82</v>
      </c>
      <c r="H47">
        <v>0</v>
      </c>
      <c r="I47" s="2">
        <v>0</v>
      </c>
      <c r="J47" s="2">
        <v>0</v>
      </c>
      <c r="K47" s="2">
        <v>146.78999999999996</v>
      </c>
      <c r="L47" s="660">
        <v>0</v>
      </c>
      <c r="M47" s="2">
        <v>146.78999999999996</v>
      </c>
      <c r="N47">
        <v>0</v>
      </c>
      <c r="O47" s="30"/>
      <c r="P47" s="660">
        <v>2.1072601240423202E-2</v>
      </c>
      <c r="Q47" s="876">
        <v>6.1999999999999998E-3</v>
      </c>
      <c r="R47" s="2"/>
      <c r="W47" s="788"/>
      <c r="X47" s="788"/>
      <c r="Y47" s="760"/>
      <c r="Z47" s="760"/>
      <c r="AA47" s="2"/>
      <c r="AB47"/>
      <c r="AC47"/>
      <c r="AD47"/>
      <c r="AE47"/>
      <c r="AF47"/>
      <c r="AG47"/>
    </row>
    <row r="48" spans="1:33" ht="21.95" customHeight="1" x14ac:dyDescent="0.25">
      <c r="A48" s="50"/>
      <c r="B48" s="50"/>
      <c r="C48" s="51"/>
      <c r="D48" s="708"/>
      <c r="E48" s="22" t="s">
        <v>1278</v>
      </c>
      <c r="F48" s="2">
        <v>44.65</v>
      </c>
      <c r="G48" s="78">
        <v>44.65</v>
      </c>
      <c r="H48">
        <v>0</v>
      </c>
      <c r="I48" s="2">
        <v>0</v>
      </c>
      <c r="J48" s="2">
        <v>0</v>
      </c>
      <c r="K48" s="2">
        <v>1589.75</v>
      </c>
      <c r="L48" s="660">
        <v>0</v>
      </c>
      <c r="M48" s="2">
        <v>1589.75</v>
      </c>
      <c r="N48">
        <v>0</v>
      </c>
      <c r="O48" s="30"/>
      <c r="P48" s="660">
        <v>1.1086226203807393E-3</v>
      </c>
      <c r="Q48" s="876">
        <v>1.2999999999999999E-3</v>
      </c>
      <c r="R48" s="2"/>
      <c r="U48"/>
      <c r="W48" s="788"/>
      <c r="X48" s="788"/>
      <c r="Y48" s="760"/>
      <c r="Z48" s="760"/>
    </row>
    <row r="49" spans="1:33" ht="21.95" customHeight="1" x14ac:dyDescent="0.25">
      <c r="A49" s="50"/>
      <c r="B49" s="50"/>
      <c r="C49" s="51"/>
      <c r="D49" s="708"/>
      <c r="E49" s="22" t="s">
        <v>1331</v>
      </c>
      <c r="F49" s="2">
        <v>57.43</v>
      </c>
      <c r="G49" s="78">
        <v>57.43</v>
      </c>
      <c r="H49">
        <v>0</v>
      </c>
      <c r="I49" s="2">
        <v>0</v>
      </c>
      <c r="J49" s="2">
        <v>0</v>
      </c>
      <c r="K49" s="2">
        <v>-0.63999999999987267</v>
      </c>
      <c r="L49" s="660">
        <v>0</v>
      </c>
      <c r="M49" s="2">
        <v>-0.63999999999987267</v>
      </c>
      <c r="N49">
        <v>0</v>
      </c>
      <c r="O49" s="30"/>
      <c r="P49" s="660">
        <v>1.532300191537524E-2</v>
      </c>
      <c r="Q49" s="876">
        <v>1.2699999999999999E-2</v>
      </c>
      <c r="R49" s="2">
        <v>13.052272727272726</v>
      </c>
      <c r="W49" s="788"/>
      <c r="X49" s="788"/>
      <c r="Y49" s="760"/>
      <c r="Z49" s="760"/>
    </row>
    <row r="50" spans="1:33" ht="21.95" customHeight="1" x14ac:dyDescent="0.25">
      <c r="A50" s="50"/>
      <c r="B50" s="50"/>
      <c r="C50" s="51"/>
      <c r="D50" s="708"/>
      <c r="E50" s="22" t="s">
        <v>1329</v>
      </c>
      <c r="F50" s="2">
        <v>15.62</v>
      </c>
      <c r="G50" s="78">
        <v>15.62</v>
      </c>
      <c r="H50">
        <v>0</v>
      </c>
      <c r="I50" s="2">
        <v>0</v>
      </c>
      <c r="J50" s="2">
        <v>0</v>
      </c>
      <c r="K50" s="2">
        <v>450.96000000000004</v>
      </c>
      <c r="L50" s="660">
        <v>0</v>
      </c>
      <c r="M50" s="2">
        <v>450.96000000000004</v>
      </c>
      <c r="N50">
        <v>0</v>
      </c>
      <c r="O50" s="30" t="s">
        <v>1384</v>
      </c>
      <c r="P50" s="660">
        <v>7.3956466069142135E-2</v>
      </c>
      <c r="Q50" s="876">
        <v>3.7900000000000003E-2</v>
      </c>
      <c r="R50" s="2"/>
      <c r="T50" s="48"/>
      <c r="V50" s="788"/>
      <c r="W50" s="788"/>
      <c r="X50" s="788"/>
      <c r="Y50" s="760"/>
      <c r="Z50" s="660"/>
    </row>
    <row r="51" spans="1:33" ht="21.95" customHeight="1" x14ac:dyDescent="0.25">
      <c r="A51" s="50"/>
      <c r="B51" s="50"/>
      <c r="C51" s="51"/>
      <c r="E51" s="22" t="s">
        <v>1330</v>
      </c>
      <c r="F51" s="2">
        <v>42.63</v>
      </c>
      <c r="G51" s="78">
        <v>42.63</v>
      </c>
      <c r="H51">
        <v>0</v>
      </c>
      <c r="I51" s="2">
        <v>0</v>
      </c>
      <c r="J51" s="2">
        <v>0</v>
      </c>
      <c r="K51" s="2">
        <v>347.42999999999893</v>
      </c>
      <c r="L51" s="660">
        <v>0</v>
      </c>
      <c r="M51" s="2">
        <v>347.42999999999893</v>
      </c>
      <c r="N51">
        <v>0</v>
      </c>
      <c r="O51" s="30"/>
      <c r="P51" s="660">
        <v>2.7098287590898426E-2</v>
      </c>
      <c r="Q51" s="876">
        <v>8.6E-3</v>
      </c>
      <c r="R51" s="2"/>
      <c r="U51" s="788"/>
      <c r="W51" s="788"/>
      <c r="X51" s="788"/>
      <c r="Y51" s="760"/>
      <c r="Z51" s="760"/>
    </row>
    <row r="52" spans="1:33" ht="21.95" customHeight="1" x14ac:dyDescent="0.25">
      <c r="A52" s="50"/>
      <c r="B52" s="50"/>
      <c r="C52" s="51"/>
      <c r="D52" s="708"/>
      <c r="E52" s="22" t="s">
        <v>757</v>
      </c>
      <c r="F52" s="2">
        <v>9.1</v>
      </c>
      <c r="G52" s="78">
        <v>9.1</v>
      </c>
      <c r="H52">
        <v>0</v>
      </c>
      <c r="I52" s="2">
        <v>0</v>
      </c>
      <c r="J52" s="2">
        <v>0</v>
      </c>
      <c r="K52" s="2">
        <v>-1133.8100000000013</v>
      </c>
      <c r="L52" s="660">
        <v>0</v>
      </c>
      <c r="M52" s="2">
        <v>-1133.8100000000013</v>
      </c>
      <c r="N52">
        <v>0</v>
      </c>
      <c r="O52" s="30"/>
      <c r="P52" s="660">
        <v>1.7582417582417582E-2</v>
      </c>
      <c r="Q52" s="876">
        <v>6.2E-2</v>
      </c>
      <c r="R52" s="2">
        <v>9.5789473684210531</v>
      </c>
      <c r="S52" s="780">
        <v>43337</v>
      </c>
      <c r="T52" s="48"/>
      <c r="W52" s="788"/>
      <c r="X52" s="788"/>
      <c r="Y52" s="760"/>
      <c r="Z52" s="760"/>
    </row>
    <row r="53" spans="1:33" ht="21.95" customHeight="1" x14ac:dyDescent="0.25">
      <c r="A53" s="50"/>
      <c r="B53" s="50"/>
      <c r="C53" s="51"/>
      <c r="D53" s="708"/>
      <c r="E53" s="22" t="s">
        <v>1297</v>
      </c>
      <c r="F53" s="2">
        <v>92.52</v>
      </c>
      <c r="G53" s="78">
        <v>92.52</v>
      </c>
      <c r="H53">
        <v>0</v>
      </c>
      <c r="I53" s="2">
        <v>0</v>
      </c>
      <c r="J53" s="2">
        <v>0</v>
      </c>
      <c r="K53" s="2">
        <v>74.930000000000291</v>
      </c>
      <c r="L53" s="660">
        <v>0</v>
      </c>
      <c r="M53" s="2">
        <v>74.930000000000291</v>
      </c>
      <c r="N53">
        <v>0</v>
      </c>
      <c r="O53" s="30" t="s">
        <v>1358</v>
      </c>
      <c r="P53" s="660">
        <v>1.9455252918287938E-2</v>
      </c>
      <c r="Q53" s="876">
        <v>-6.9999999999999999E-4</v>
      </c>
      <c r="R53" s="2"/>
      <c r="V53" s="2"/>
      <c r="W53" s="787"/>
      <c r="X53" s="787"/>
      <c r="Y53" s="2"/>
      <c r="Z53" s="788"/>
    </row>
    <row r="54" spans="1:33" ht="21.95" customHeight="1" x14ac:dyDescent="0.25">
      <c r="A54" s="50"/>
      <c r="B54" s="50"/>
      <c r="C54" s="51"/>
      <c r="D54" s="708"/>
      <c r="E54" s="22" t="s">
        <v>1325</v>
      </c>
      <c r="F54" s="2">
        <v>47.8</v>
      </c>
      <c r="G54" s="78">
        <v>47.8</v>
      </c>
      <c r="H54">
        <v>0</v>
      </c>
      <c r="I54" s="2">
        <v>0</v>
      </c>
      <c r="J54" s="2">
        <v>0</v>
      </c>
      <c r="K54" s="2">
        <v>229.9399999999996</v>
      </c>
      <c r="L54" s="660">
        <v>0</v>
      </c>
      <c r="M54" s="2">
        <v>229.9399999999996</v>
      </c>
      <c r="N54">
        <v>0</v>
      </c>
      <c r="O54" s="30" t="s">
        <v>1347</v>
      </c>
      <c r="P54" s="660">
        <v>2.4167364016736404E-2</v>
      </c>
      <c r="Q54" s="876">
        <v>2.4500000000000001E-2</v>
      </c>
      <c r="R54" s="2"/>
      <c r="T54" s="48"/>
      <c r="V54" s="48"/>
      <c r="W54" s="788"/>
      <c r="X54" s="788"/>
      <c r="Y54" s="760"/>
      <c r="Z54" s="760"/>
    </row>
    <row r="55" spans="1:33" ht="21.95" customHeight="1" x14ac:dyDescent="0.25">
      <c r="A55" s="50"/>
      <c r="B55" s="50"/>
      <c r="C55" s="51"/>
      <c r="D55" s="708"/>
      <c r="E55" s="22" t="s">
        <v>1328</v>
      </c>
      <c r="F55" s="2">
        <v>147.80000000000001</v>
      </c>
      <c r="G55" s="78">
        <v>147.80000000000001</v>
      </c>
      <c r="H55">
        <v>0</v>
      </c>
      <c r="I55" s="2">
        <v>0</v>
      </c>
      <c r="J55" s="2">
        <v>0</v>
      </c>
      <c r="K55" s="2">
        <v>257.45000000000027</v>
      </c>
      <c r="L55" s="660">
        <v>0</v>
      </c>
      <c r="M55" s="2">
        <v>257.45000000000027</v>
      </c>
      <c r="N55">
        <v>0</v>
      </c>
      <c r="O55" s="30"/>
      <c r="P55" s="660">
        <v>7.8159675236806492E-3</v>
      </c>
      <c r="Q55" s="876">
        <v>9.1000000000000004E-3</v>
      </c>
      <c r="R55" s="2"/>
      <c r="T55" s="48"/>
      <c r="U55" s="788"/>
      <c r="V55" s="2"/>
      <c r="W55" s="787"/>
      <c r="X55" s="787"/>
      <c r="Y55" s="760"/>
      <c r="Z55" s="760"/>
      <c r="AA55" s="2"/>
      <c r="AB55"/>
      <c r="AC55"/>
      <c r="AD55"/>
      <c r="AE55"/>
      <c r="AF55"/>
      <c r="AG55"/>
    </row>
    <row r="56" spans="1:33" ht="21.95" customHeight="1" x14ac:dyDescent="0.25">
      <c r="A56" s="50"/>
      <c r="B56" s="50"/>
      <c r="C56" s="51"/>
      <c r="D56" s="708"/>
      <c r="E56" s="22" t="s">
        <v>1324</v>
      </c>
      <c r="F56" s="2">
        <v>147.15</v>
      </c>
      <c r="G56" s="78">
        <v>147.15</v>
      </c>
      <c r="H56">
        <v>0</v>
      </c>
      <c r="I56" s="2">
        <v>0</v>
      </c>
      <c r="J56" s="2">
        <v>0</v>
      </c>
      <c r="K56" s="2">
        <v>1147.83</v>
      </c>
      <c r="L56" s="660">
        <v>0</v>
      </c>
      <c r="M56" s="2">
        <v>1147.83</v>
      </c>
      <c r="N56">
        <v>0</v>
      </c>
      <c r="O56" s="30" t="s">
        <v>1375</v>
      </c>
      <c r="P56" s="660">
        <v>7.8504926945293912E-3</v>
      </c>
      <c r="Q56" s="876">
        <v>7.2099999999999997E-2</v>
      </c>
      <c r="R56" s="2"/>
      <c r="T56" s="48"/>
      <c r="W56" s="788"/>
      <c r="X56" s="788"/>
      <c r="Y56" s="760"/>
      <c r="Z56" s="660"/>
    </row>
    <row r="57" spans="1:33" ht="21.95" customHeight="1" x14ac:dyDescent="0.25">
      <c r="A57" s="51"/>
      <c r="B57" s="51"/>
      <c r="C57" s="51"/>
      <c r="D57" s="708"/>
      <c r="E57" s="22" t="s">
        <v>46</v>
      </c>
      <c r="F57" s="2">
        <v>13.54</v>
      </c>
      <c r="G57" s="78">
        <v>13.54</v>
      </c>
      <c r="H57">
        <v>0</v>
      </c>
      <c r="I57" s="2">
        <v>0</v>
      </c>
      <c r="J57" s="2">
        <v>0</v>
      </c>
      <c r="K57" s="2">
        <v>470.39999999999964</v>
      </c>
      <c r="L57" s="660">
        <v>0</v>
      </c>
      <c r="M57" s="2">
        <v>470.39999999999964</v>
      </c>
      <c r="N57">
        <v>0</v>
      </c>
      <c r="O57" s="30" t="s">
        <v>1383</v>
      </c>
      <c r="P57" s="660">
        <v>1.8463810930576072E-2</v>
      </c>
      <c r="Q57" s="876">
        <v>4.7E-2</v>
      </c>
      <c r="R57" s="2">
        <v>10.029629629629628</v>
      </c>
      <c r="S57" s="780">
        <v>43461</v>
      </c>
      <c r="T57" s="48"/>
      <c r="Z57" s="760"/>
    </row>
    <row r="58" spans="1:33" ht="21.95" customHeight="1" x14ac:dyDescent="0.25">
      <c r="A58" s="50"/>
      <c r="B58" s="50"/>
      <c r="C58" s="51"/>
      <c r="D58" s="708"/>
      <c r="E58" s="22" t="s">
        <v>1016</v>
      </c>
      <c r="F58" s="2">
        <v>52.42</v>
      </c>
      <c r="G58" s="78">
        <v>52.42</v>
      </c>
      <c r="H58">
        <v>0</v>
      </c>
      <c r="I58" s="2">
        <v>0</v>
      </c>
      <c r="J58" s="2">
        <v>0</v>
      </c>
      <c r="K58" s="2">
        <v>458.44000000000051</v>
      </c>
      <c r="L58" s="660">
        <v>0</v>
      </c>
      <c r="M58" s="2">
        <v>458.44000000000051</v>
      </c>
      <c r="N58">
        <v>0</v>
      </c>
      <c r="O58" s="30"/>
      <c r="P58" s="660">
        <v>2.8615032430370085E-2</v>
      </c>
      <c r="Q58" s="876">
        <v>4.1999999999999997E-3</v>
      </c>
      <c r="R58" s="2"/>
      <c r="W58" s="788"/>
      <c r="X58" s="788"/>
      <c r="Y58" s="760"/>
      <c r="Z58" s="760"/>
    </row>
    <row r="59" spans="1:33" ht="21.95" customHeight="1" x14ac:dyDescent="0.25">
      <c r="A59" s="50"/>
      <c r="B59" s="51"/>
      <c r="C59" s="51"/>
      <c r="E59" s="22" t="s">
        <v>193</v>
      </c>
      <c r="F59" s="2">
        <v>28.26</v>
      </c>
      <c r="G59" s="78">
        <v>28.26</v>
      </c>
      <c r="H59">
        <v>0</v>
      </c>
      <c r="I59" s="2">
        <v>0</v>
      </c>
      <c r="J59" s="2">
        <v>0</v>
      </c>
      <c r="K59" s="2">
        <v>5325.3000000001048</v>
      </c>
      <c r="L59" s="660">
        <v>0</v>
      </c>
      <c r="M59" s="2">
        <v>7073.2700000000987</v>
      </c>
      <c r="N59">
        <v>0</v>
      </c>
      <c r="O59" s="30" t="s">
        <v>1285</v>
      </c>
      <c r="P59" s="660">
        <v>1.9815994338287332E-2</v>
      </c>
      <c r="Q59" s="876">
        <v>-3.3E-3</v>
      </c>
      <c r="R59" s="2">
        <v>13.619277108433735</v>
      </c>
      <c r="S59" s="780">
        <v>43358</v>
      </c>
      <c r="T59" s="48"/>
      <c r="W59" s="788"/>
      <c r="X59" s="788"/>
      <c r="Y59" s="760"/>
      <c r="Z59" s="760"/>
    </row>
    <row r="60" spans="1:33" ht="21.95" customHeight="1" x14ac:dyDescent="0.25">
      <c r="A60" s="51"/>
      <c r="B60" s="51"/>
      <c r="C60" s="51"/>
      <c r="D60" s="708"/>
      <c r="E60" s="22" t="s">
        <v>194</v>
      </c>
      <c r="F60" s="2">
        <v>8.7100000000000009</v>
      </c>
      <c r="G60" s="78">
        <v>8.7100000000000009</v>
      </c>
      <c r="H60">
        <v>0</v>
      </c>
      <c r="I60" s="2">
        <v>0</v>
      </c>
      <c r="J60" s="2">
        <v>0</v>
      </c>
      <c r="K60" s="2">
        <v>0</v>
      </c>
      <c r="L60" s="660">
        <v>0</v>
      </c>
      <c r="M60" s="2">
        <v>495.20999999999913</v>
      </c>
      <c r="N60">
        <v>0</v>
      </c>
      <c r="O60" s="30"/>
      <c r="P60" s="660">
        <v>5.1499999999999997E-2</v>
      </c>
      <c r="Q60" s="876">
        <v>-2.0500000000000001E-2</v>
      </c>
      <c r="R60" s="2"/>
      <c r="V60" s="788"/>
      <c r="W60" s="788"/>
      <c r="X60" s="788"/>
      <c r="Y60" s="760"/>
      <c r="Z60" s="760"/>
    </row>
    <row r="61" spans="1:33" ht="21.95" customHeight="1" x14ac:dyDescent="0.25">
      <c r="A61" s="51"/>
      <c r="B61" s="152"/>
      <c r="C61" s="272"/>
      <c r="D61" s="708"/>
      <c r="E61" s="22" t="s">
        <v>264</v>
      </c>
      <c r="F61" s="2">
        <v>131.63999999999999</v>
      </c>
      <c r="G61" s="78">
        <v>131.63999999999999</v>
      </c>
      <c r="H61">
        <v>0</v>
      </c>
      <c r="I61" s="2">
        <v>0</v>
      </c>
      <c r="J61" s="2">
        <v>0</v>
      </c>
      <c r="K61" s="2">
        <v>765.82999999999993</v>
      </c>
      <c r="L61" s="660">
        <v>0</v>
      </c>
      <c r="M61" s="2">
        <v>920.60999999999967</v>
      </c>
      <c r="N61">
        <v>0</v>
      </c>
      <c r="O61" s="30"/>
      <c r="P61" s="660">
        <v>2.5700000000000001E-2</v>
      </c>
      <c r="Q61" s="876">
        <v>1.49E-2</v>
      </c>
      <c r="R61" s="2">
        <v>16.211822660098523</v>
      </c>
      <c r="T61" s="48"/>
      <c r="U61" s="788"/>
      <c r="V61" s="2"/>
      <c r="W61" s="787"/>
      <c r="X61" s="787"/>
      <c r="Y61" s="2"/>
      <c r="Z61" s="760"/>
      <c r="AA61" s="2"/>
      <c r="AB61"/>
      <c r="AC61"/>
      <c r="AD61"/>
      <c r="AE61" s="2"/>
      <c r="AF61"/>
      <c r="AG61"/>
    </row>
    <row r="62" spans="1:33" ht="21.95" customHeight="1" x14ac:dyDescent="0.25">
      <c r="A62" s="50"/>
      <c r="B62" s="50"/>
      <c r="C62" s="51"/>
      <c r="D62" s="708"/>
      <c r="E62" s="22" t="s">
        <v>671</v>
      </c>
      <c r="F62" s="2">
        <v>288.60000000000002</v>
      </c>
      <c r="G62" s="78">
        <v>288.60000000000002</v>
      </c>
      <c r="H62">
        <v>0</v>
      </c>
      <c r="I62" s="2">
        <v>0</v>
      </c>
      <c r="J62" s="2">
        <v>0</v>
      </c>
      <c r="K62" s="2">
        <v>4854.3499999999767</v>
      </c>
      <c r="L62" s="660">
        <v>0</v>
      </c>
      <c r="M62" s="2">
        <v>5079.1199999999772</v>
      </c>
      <c r="N62">
        <v>0</v>
      </c>
      <c r="O62" s="30" t="s">
        <v>1132</v>
      </c>
      <c r="P62" s="660">
        <v>0</v>
      </c>
      <c r="Q62" s="876">
        <v>2.2499999999999999E-2</v>
      </c>
      <c r="R62" s="2">
        <v>29.473039215686278</v>
      </c>
      <c r="S62" s="780">
        <v>43324</v>
      </c>
      <c r="T62" s="48"/>
      <c r="V62" s="788"/>
      <c r="W62" s="788"/>
      <c r="X62" s="788"/>
      <c r="Y62" s="760"/>
      <c r="Z62" s="760"/>
    </row>
    <row r="63" spans="1:33" ht="21.95" customHeight="1" x14ac:dyDescent="0.25">
      <c r="A63" s="50"/>
      <c r="B63" s="51"/>
      <c r="C63" s="51"/>
      <c r="E63" s="22" t="s">
        <v>803</v>
      </c>
      <c r="F63" s="2">
        <v>101.63</v>
      </c>
      <c r="G63" s="78">
        <v>101.63</v>
      </c>
      <c r="H63">
        <v>0</v>
      </c>
      <c r="I63" s="2">
        <v>0</v>
      </c>
      <c r="J63" s="2">
        <v>0</v>
      </c>
      <c r="K63" s="2">
        <v>977.16999999999825</v>
      </c>
      <c r="L63" s="660">
        <v>0</v>
      </c>
      <c r="M63" s="2">
        <v>977.16999999999825</v>
      </c>
      <c r="N63">
        <v>0</v>
      </c>
      <c r="O63" s="30" t="s">
        <v>1356</v>
      </c>
      <c r="P63" s="660">
        <v>6.6909377152415631E-3</v>
      </c>
      <c r="Q63" s="876">
        <v>2.1000000000000001E-2</v>
      </c>
      <c r="R63" s="2">
        <v>21.395789473684211</v>
      </c>
      <c r="T63" s="48"/>
      <c r="W63" s="788"/>
      <c r="X63" s="788"/>
      <c r="Y63" s="760"/>
      <c r="Z63" s="760"/>
    </row>
    <row r="64" spans="1:33" ht="21.95" customHeight="1" x14ac:dyDescent="0.25">
      <c r="A64" s="60"/>
      <c r="B64" s="61"/>
      <c r="C64" s="60"/>
      <c r="D64" s="708"/>
      <c r="E64" s="22" t="s">
        <v>656</v>
      </c>
      <c r="F64" s="2">
        <v>159.04</v>
      </c>
      <c r="G64" s="78">
        <v>159.04</v>
      </c>
      <c r="H64">
        <v>0</v>
      </c>
      <c r="I64" s="2">
        <v>0</v>
      </c>
      <c r="J64" s="2">
        <v>0</v>
      </c>
      <c r="K64" s="2">
        <v>2714.0600000000013</v>
      </c>
      <c r="L64" s="660">
        <v>0</v>
      </c>
      <c r="M64" s="2">
        <v>2714.0600000000013</v>
      </c>
      <c r="N64">
        <v>0</v>
      </c>
      <c r="O64" s="30"/>
      <c r="P64" s="660">
        <v>2.8E-3</v>
      </c>
      <c r="Q64" s="876">
        <v>1.29E-2</v>
      </c>
      <c r="R64" s="2">
        <v>23.772795216741404</v>
      </c>
      <c r="V64" s="760"/>
      <c r="W64" s="788"/>
      <c r="X64" s="788"/>
      <c r="Y64" s="760"/>
      <c r="Z64" s="760"/>
    </row>
    <row r="65" spans="1:33" ht="21.95" customHeight="1" x14ac:dyDescent="0.25">
      <c r="A65" s="50"/>
      <c r="B65" s="50"/>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V65" s="2"/>
      <c r="W65" s="787"/>
      <c r="X65" s="787"/>
      <c r="Y65" s="2"/>
      <c r="Z65" s="760"/>
      <c r="AA65" s="2"/>
      <c r="AB65"/>
      <c r="AC65"/>
      <c r="AD65"/>
      <c r="AE65"/>
      <c r="AF65"/>
      <c r="AG65"/>
    </row>
    <row r="66" spans="1:33" ht="21.95" customHeight="1" x14ac:dyDescent="0.25">
      <c r="A66" s="51"/>
      <c r="B66" s="51"/>
      <c r="C66" s="51"/>
      <c r="D66" s="708"/>
      <c r="E66" s="22" t="s">
        <v>658</v>
      </c>
      <c r="F66" s="2">
        <v>216.4699</v>
      </c>
      <c r="G66" s="78">
        <v>216.4699</v>
      </c>
      <c r="H66">
        <v>0</v>
      </c>
      <c r="I66" s="2">
        <v>0</v>
      </c>
      <c r="J66" s="2">
        <v>0</v>
      </c>
      <c r="K66" s="2">
        <v>1550.08</v>
      </c>
      <c r="L66" s="660">
        <v>0</v>
      </c>
      <c r="M66" s="2">
        <v>1693.1100000000001</v>
      </c>
      <c r="N66">
        <v>0</v>
      </c>
      <c r="O66" s="30" t="s">
        <v>1348</v>
      </c>
      <c r="P66" s="660">
        <v>2.309789952321316E-3</v>
      </c>
      <c r="Q66" s="876">
        <v>1.23E-2</v>
      </c>
      <c r="R66" s="2">
        <v>31.555379008746353</v>
      </c>
      <c r="T66" s="48"/>
      <c r="V66" s="760"/>
      <c r="W66" s="788"/>
      <c r="X66" s="788"/>
      <c r="Y66" s="760"/>
      <c r="Z66" s="760"/>
      <c r="AA66" s="2"/>
      <c r="AB66"/>
      <c r="AC66"/>
      <c r="AD66"/>
      <c r="AE66"/>
      <c r="AF66"/>
      <c r="AG66"/>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V67" s="788"/>
      <c r="W67" s="788"/>
      <c r="X67" s="788"/>
      <c r="Y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U68" s="788"/>
      <c r="W68" s="788"/>
      <c r="X68" s="788"/>
      <c r="Y68" s="760"/>
      <c r="Z68" s="760"/>
    </row>
    <row r="69" spans="1:33" ht="21.95" customHeight="1" x14ac:dyDescent="0.25">
      <c r="A69" s="51"/>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W69" s="788"/>
      <c r="X69" s="788"/>
      <c r="Y69" s="760"/>
      <c r="Z69" s="760"/>
    </row>
    <row r="70" spans="1:33" ht="21.95" customHeight="1" x14ac:dyDescent="0.25">
      <c r="A70" s="50"/>
      <c r="B70" s="51"/>
      <c r="C70" s="51"/>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U70" s="48"/>
      <c r="W70" s="788"/>
      <c r="X70" s="788"/>
      <c r="Y70" s="760"/>
      <c r="Z70" s="76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U71" s="48"/>
      <c r="V71" s="788"/>
      <c r="W71" s="788"/>
      <c r="X71" s="788"/>
      <c r="Y71" s="760"/>
      <c r="Z71" s="7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V72" s="788"/>
      <c r="W72" s="788"/>
      <c r="X72" s="788"/>
      <c r="Y72" s="760"/>
      <c r="Z72" s="760"/>
      <c r="AA72" s="2"/>
      <c r="AB72"/>
      <c r="AC72"/>
      <c r="AD72"/>
      <c r="AE72" s="2"/>
      <c r="AF72"/>
      <c r="AG72"/>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W73" s="788"/>
      <c r="X73" s="788"/>
      <c r="Y73" s="760"/>
      <c r="Z73" s="760"/>
      <c r="AA73" s="2"/>
      <c r="AB73"/>
      <c r="AC73"/>
      <c r="AD73"/>
      <c r="AE73"/>
      <c r="AF73"/>
      <c r="AG73"/>
    </row>
    <row r="74" spans="1:33" ht="21.95" customHeight="1" x14ac:dyDescent="0.25">
      <c r="A74" s="51"/>
      <c r="B74" s="51"/>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s="788"/>
      <c r="V74" s="2"/>
      <c r="W74" s="787"/>
      <c r="X74" s="787"/>
      <c r="Y74" s="2"/>
      <c r="Z74" s="760"/>
    </row>
    <row r="75" spans="1:33" ht="21.95" customHeight="1" x14ac:dyDescent="0.25">
      <c r="A75" s="152"/>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U75" s="787"/>
      <c r="W75" s="788"/>
      <c r="X75" s="788"/>
      <c r="Y75" s="760"/>
      <c r="Z75" s="760"/>
      <c r="AA75" s="2"/>
      <c r="AB75"/>
      <c r="AC75"/>
      <c r="AD75"/>
      <c r="AE75"/>
      <c r="AF75"/>
      <c r="AG75"/>
    </row>
    <row r="76" spans="1:33" ht="21.95" customHeight="1" x14ac:dyDescent="0.25">
      <c r="A76" s="50"/>
      <c r="B76" s="50"/>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W76" s="788"/>
      <c r="X76" s="788"/>
      <c r="Y76" s="760"/>
      <c r="Z76" s="660"/>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U77" s="788"/>
      <c r="V77" s="2"/>
      <c r="W77" s="787"/>
      <c r="X77" s="787"/>
      <c r="Y77" s="2"/>
      <c r="Z77" s="760"/>
    </row>
    <row r="78" spans="1:33" ht="21.95" customHeight="1" x14ac:dyDescent="0.25">
      <c r="A78" s="50"/>
      <c r="B78" s="51"/>
      <c r="C78" s="51"/>
      <c r="E78" s="22" t="s">
        <v>219</v>
      </c>
      <c r="F78" s="2">
        <v>51.93</v>
      </c>
      <c r="G78" s="78">
        <v>51.93</v>
      </c>
      <c r="H78">
        <v>0</v>
      </c>
      <c r="I78" s="2">
        <v>0</v>
      </c>
      <c r="J78" s="2">
        <v>0</v>
      </c>
      <c r="K78" s="2">
        <v>0</v>
      </c>
      <c r="L78" s="660">
        <v>0</v>
      </c>
      <c r="M78" s="2">
        <v>257.64999999999964</v>
      </c>
      <c r="N78">
        <v>0</v>
      </c>
      <c r="O78" s="30"/>
      <c r="P78" s="660">
        <v>0</v>
      </c>
      <c r="Q78" s="876">
        <v>4.4999999999999997E-3</v>
      </c>
      <c r="R78" s="2"/>
      <c r="W78" s="788"/>
      <c r="X78" s="788"/>
      <c r="Y78" s="760"/>
      <c r="Z78" s="760"/>
    </row>
    <row r="79" spans="1:33" ht="21.95" customHeight="1" x14ac:dyDescent="0.25">
      <c r="A79" s="152"/>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W79" s="788"/>
      <c r="X79" s="788"/>
      <c r="Y79" s="760"/>
      <c r="Z79" s="7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V80" s="760"/>
      <c r="W80" s="788"/>
      <c r="X80" s="788"/>
      <c r="Y80" s="760"/>
      <c r="Z80" s="7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V81" s="2"/>
      <c r="W81" s="787"/>
      <c r="X81" s="787"/>
      <c r="Y81" s="2"/>
      <c r="Z81" s="788"/>
      <c r="AA81" s="2"/>
      <c r="AB81"/>
      <c r="AC81"/>
      <c r="AD81"/>
      <c r="AE81"/>
      <c r="AF81"/>
      <c r="AG81"/>
    </row>
    <row r="82" spans="1:33" ht="21.95" customHeight="1" x14ac:dyDescent="0.25">
      <c r="A82" s="50"/>
      <c r="B82" s="51"/>
      <c r="C82" s="51"/>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W82" s="788"/>
      <c r="X82" s="788"/>
      <c r="Y82" s="760"/>
    </row>
    <row r="83" spans="1:33" ht="21.95" customHeight="1" x14ac:dyDescent="0.25">
      <c r="A83" s="51"/>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U83" s="787"/>
      <c r="W83" s="788"/>
      <c r="X83" s="788"/>
      <c r="Y83" s="760"/>
      <c r="Z83" s="760"/>
    </row>
    <row r="84" spans="1:33" ht="21.95" customHeight="1" x14ac:dyDescent="0.25">
      <c r="A84" s="50"/>
      <c r="B84" s="51"/>
      <c r="C84" s="51"/>
      <c r="E84" s="22" t="s">
        <v>42</v>
      </c>
      <c r="F84" s="2">
        <v>160.82</v>
      </c>
      <c r="G84" s="78">
        <v>160.82</v>
      </c>
      <c r="H84">
        <v>0</v>
      </c>
      <c r="I84" s="2">
        <v>0</v>
      </c>
      <c r="J84" s="2">
        <v>0</v>
      </c>
      <c r="K84" s="2">
        <v>0</v>
      </c>
      <c r="L84" s="660">
        <v>0</v>
      </c>
      <c r="M84" s="2">
        <v>128.08999999999833</v>
      </c>
      <c r="N84">
        <v>0</v>
      </c>
      <c r="O84" s="30"/>
      <c r="P84" s="660">
        <v>2.18E-2</v>
      </c>
      <c r="Q84" s="876">
        <v>1.0500000000000001E-2</v>
      </c>
      <c r="R84" s="2"/>
      <c r="V84" s="48"/>
      <c r="W84" s="788"/>
      <c r="X84" s="788"/>
      <c r="Y84" s="760"/>
      <c r="Z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V85" s="788"/>
      <c r="W85" s="788"/>
      <c r="X85" s="788"/>
      <c r="Y85" s="760"/>
      <c r="Z85" s="760"/>
    </row>
    <row r="86" spans="1:33" ht="21.95" customHeight="1" x14ac:dyDescent="0.25">
      <c r="A86" s="50"/>
      <c r="B86" s="50"/>
      <c r="C86" s="51"/>
      <c r="E86" s="22" t="s">
        <v>174</v>
      </c>
      <c r="F86" s="2">
        <v>269.92989999999998</v>
      </c>
      <c r="G86" s="78">
        <v>269.92989999999998</v>
      </c>
      <c r="H86">
        <v>0</v>
      </c>
      <c r="I86" s="2">
        <v>0</v>
      </c>
      <c r="J86" s="2">
        <v>0</v>
      </c>
      <c r="K86" s="2">
        <v>1100.2300000000032</v>
      </c>
      <c r="L86" s="660">
        <v>0</v>
      </c>
      <c r="M86" s="2">
        <v>1261.0600000000031</v>
      </c>
      <c r="N86">
        <v>0</v>
      </c>
      <c r="O86" s="30"/>
      <c r="P86" s="660">
        <v>1.84E-2</v>
      </c>
      <c r="Q86" s="877">
        <v>8.8000000000000005E-3</v>
      </c>
      <c r="R86" s="2">
        <v>20.763838461538459</v>
      </c>
      <c r="W86" s="788"/>
      <c r="X86" s="788"/>
      <c r="Y86" s="760"/>
      <c r="Z86" s="660"/>
    </row>
    <row r="87" spans="1:33" ht="21.95" customHeight="1" x14ac:dyDescent="0.25">
      <c r="A87" s="50"/>
      <c r="B87" s="50"/>
      <c r="C87" s="50"/>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U87"/>
      <c r="V87" s="760"/>
      <c r="W87" s="788"/>
      <c r="X87" s="788"/>
      <c r="Y87" s="760"/>
      <c r="Z87" s="760"/>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V88" s="760"/>
      <c r="W88" s="788"/>
      <c r="X88" s="788"/>
      <c r="Y88" s="760"/>
    </row>
    <row r="89" spans="1:33" ht="21.95" customHeight="1" x14ac:dyDescent="0.25">
      <c r="A89" s="50"/>
      <c r="B89" s="51"/>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88"/>
      <c r="Y89" s="760"/>
      <c r="Z89" s="660"/>
      <c r="AA89" s="2"/>
      <c r="AB89"/>
      <c r="AC89"/>
      <c r="AD89"/>
      <c r="AE89"/>
      <c r="AF89"/>
      <c r="AG89"/>
    </row>
    <row r="90" spans="1:33" ht="21.95" customHeight="1" x14ac:dyDescent="0.25">
      <c r="A90" s="50"/>
      <c r="B90" s="51"/>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U90" s="788"/>
      <c r="V90" s="760"/>
      <c r="W90" s="788"/>
      <c r="X90" s="788"/>
      <c r="Y90" s="760"/>
      <c r="Z90" s="660"/>
    </row>
    <row r="91" spans="1:33" ht="21.95" customHeight="1" x14ac:dyDescent="0.25">
      <c r="A91" s="50"/>
      <c r="B91" s="50"/>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U91" s="788"/>
      <c r="V91" s="788"/>
      <c r="W91" s="788"/>
      <c r="X91" s="788"/>
      <c r="Y91" s="760"/>
      <c r="Z91" s="787"/>
    </row>
    <row r="92" spans="1:33" ht="21.95" customHeight="1" x14ac:dyDescent="0.25">
      <c r="A92" s="50"/>
      <c r="B92" s="50"/>
      <c r="C92" s="51"/>
      <c r="E92" s="22" t="s">
        <v>1382</v>
      </c>
      <c r="F92" s="2">
        <v>0</v>
      </c>
      <c r="G92" s="78">
        <v>0</v>
      </c>
      <c r="H92">
        <v>0</v>
      </c>
      <c r="I92" s="2">
        <v>0</v>
      </c>
      <c r="J92" s="2">
        <v>0</v>
      </c>
      <c r="K92" s="2">
        <v>0</v>
      </c>
      <c r="L92" s="660"/>
      <c r="M92" s="2">
        <v>937.36999999999534</v>
      </c>
      <c r="N92">
        <v>0</v>
      </c>
      <c r="O92" s="30"/>
      <c r="P92" s="660">
        <v>0</v>
      </c>
      <c r="Q92" s="876">
        <v>1.9099999999999999E-2</v>
      </c>
      <c r="R92" s="2"/>
      <c r="W92" s="788"/>
      <c r="X92" s="788"/>
      <c r="Y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V93" s="760"/>
      <c r="W93" s="788"/>
      <c r="X93" s="788"/>
      <c r="Y93" s="760"/>
      <c r="Z93" s="660"/>
    </row>
    <row r="94" spans="1:33" ht="21.95" customHeight="1" x14ac:dyDescent="0.25">
      <c r="A94" s="50"/>
      <c r="B94" s="50"/>
      <c r="C94" s="51"/>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60"/>
    </row>
    <row r="95" spans="1:33" ht="21.95" customHeight="1" x14ac:dyDescent="0.25">
      <c r="A95" s="50"/>
      <c r="B95" s="51"/>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Z95" s="760"/>
    </row>
    <row r="96" spans="1:33" ht="21.95" customHeight="1" x14ac:dyDescent="0.25">
      <c r="A96" s="51"/>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Z96" s="760"/>
    </row>
    <row r="97" spans="1:26"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row>
    <row r="98" spans="1:26"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Z98" s="760"/>
    </row>
    <row r="99" spans="1:26"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6"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26"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26"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Z102" s="760"/>
    </row>
    <row r="103" spans="1:26"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6"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6"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6"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6"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6"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6" ht="21.95" customHeight="1" x14ac:dyDescent="0.25">
      <c r="A109" s="50"/>
      <c r="B109" s="51"/>
      <c r="C109" s="51"/>
    </row>
    <row r="110" spans="1:26" ht="21.95" customHeight="1" x14ac:dyDescent="0.25">
      <c r="A110" s="50"/>
      <c r="B110" s="50"/>
      <c r="C110" s="51"/>
    </row>
    <row r="111" spans="1:26" ht="21.95" customHeight="1" x14ac:dyDescent="0.25">
      <c r="A111" s="50"/>
      <c r="B111" s="51"/>
      <c r="C111" s="51"/>
    </row>
    <row r="112" spans="1:26"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E2:T27">
    <sortCondition ref="E1"/>
  </sortState>
  <dataConsolidate/>
  <conditionalFormatting sqref="O109:O1048576 O1">
    <cfRule type="expression" dxfId="394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42" priority="760">
      <formula>$H2=0</formula>
    </cfRule>
  </conditionalFormatting>
  <conditionalFormatting sqref="K109:K200">
    <cfRule type="expression" dxfId="3941" priority="761">
      <formula>$J109=0</formula>
    </cfRule>
  </conditionalFormatting>
  <conditionalFormatting sqref="K109:K458">
    <cfRule type="expression" dxfId="3940" priority="802">
      <formula>$J109&lt;0</formula>
    </cfRule>
  </conditionalFormatting>
  <conditionalFormatting sqref="E59">
    <cfRule type="expression" dxfId="3939" priority="731">
      <formula>$H59=0</formula>
    </cfRule>
  </conditionalFormatting>
  <conditionalFormatting sqref="E5">
    <cfRule type="expression" dxfId="3938" priority="709">
      <formula>$H5=0</formula>
    </cfRule>
  </conditionalFormatting>
  <conditionalFormatting sqref="E60">
    <cfRule type="expression" dxfId="3937" priority="687">
      <formula>$H60=0</formula>
    </cfRule>
  </conditionalFormatting>
  <conditionalFormatting sqref="E62">
    <cfRule type="expression" dxfId="3936" priority="676">
      <formula>$H62=0</formula>
    </cfRule>
  </conditionalFormatting>
  <conditionalFormatting sqref="E61">
    <cfRule type="expression" dxfId="3935" priority="665">
      <formula>$H61=0</formula>
    </cfRule>
  </conditionalFormatting>
  <conditionalFormatting sqref="E8">
    <cfRule type="expression" dxfId="3934" priority="650">
      <formula>$H8=0</formula>
    </cfRule>
  </conditionalFormatting>
  <conditionalFormatting sqref="E63">
    <cfRule type="expression" dxfId="3933" priority="640">
      <formula>$H63=0</formula>
    </cfRule>
  </conditionalFormatting>
  <conditionalFormatting sqref="E20">
    <cfRule type="expression" dxfId="3932" priority="630">
      <formula>$H20=0</formula>
    </cfRule>
  </conditionalFormatting>
  <conditionalFormatting sqref="E64">
    <cfRule type="expression" dxfId="3931" priority="621">
      <formula>$H64=0</formula>
    </cfRule>
  </conditionalFormatting>
  <conditionalFormatting sqref="E65">
    <cfRule type="expression" dxfId="3930" priority="614">
      <formula>$H65=0</formula>
    </cfRule>
  </conditionalFormatting>
  <conditionalFormatting sqref="E11">
    <cfRule type="expression" dxfId="3929" priority="605">
      <formula>$H11=0</formula>
    </cfRule>
  </conditionalFormatting>
  <conditionalFormatting sqref="E9">
    <cfRule type="expression" dxfId="3928" priority="598">
      <formula>$H9=0</formula>
    </cfRule>
  </conditionalFormatting>
  <conditionalFormatting sqref="E66">
    <cfRule type="expression" dxfId="3927" priority="589">
      <formula>$H66=0</formula>
    </cfRule>
  </conditionalFormatting>
  <conditionalFormatting sqref="E10">
    <cfRule type="expression" dxfId="3926" priority="580">
      <formula>$H10=0</formula>
    </cfRule>
  </conditionalFormatting>
  <conditionalFormatting sqref="E26:E28 E30 E45:E49 E36:E43">
    <cfRule type="expression" dxfId="3925" priority="576">
      <formula>$H26=0</formula>
    </cfRule>
  </conditionalFormatting>
  <conditionalFormatting sqref="E29">
    <cfRule type="expression" dxfId="3924" priority="575">
      <formula>$H29=0</formula>
    </cfRule>
  </conditionalFormatting>
  <conditionalFormatting sqref="E31">
    <cfRule type="expression" dxfId="3923" priority="574">
      <formula>$H31=0</formula>
    </cfRule>
  </conditionalFormatting>
  <conditionalFormatting sqref="E32">
    <cfRule type="expression" dxfId="3922" priority="573">
      <formula>$H32=0</formula>
    </cfRule>
  </conditionalFormatting>
  <conditionalFormatting sqref="E44">
    <cfRule type="expression" dxfId="3921" priority="572">
      <formula>$H44=0</formula>
    </cfRule>
  </conditionalFormatting>
  <conditionalFormatting sqref="E35">
    <cfRule type="expression" dxfId="3920" priority="571">
      <formula>$H35=0</formula>
    </cfRule>
  </conditionalFormatting>
  <conditionalFormatting sqref="E33">
    <cfRule type="expression" dxfId="3919" priority="570">
      <formula>$H33=0</formula>
    </cfRule>
  </conditionalFormatting>
  <conditionalFormatting sqref="E34">
    <cfRule type="expression" dxfId="3918" priority="569">
      <formula>$H34=0</formula>
    </cfRule>
  </conditionalFormatting>
  <conditionalFormatting sqref="E67">
    <cfRule type="expression" dxfId="3917" priority="565">
      <formula>$H67=0</formula>
    </cfRule>
  </conditionalFormatting>
  <conditionalFormatting sqref="E69:E70">
    <cfRule type="expression" dxfId="3916" priority="558">
      <formula>$H69=0</formula>
    </cfRule>
  </conditionalFormatting>
  <conditionalFormatting sqref="E68">
    <cfRule type="expression" dxfId="3915" priority="551">
      <formula>$H68=0</formula>
    </cfRule>
  </conditionalFormatting>
  <conditionalFormatting sqref="E69:E70">
    <cfRule type="expression" dxfId="3914" priority="543">
      <formula>$H69=0</formula>
    </cfRule>
  </conditionalFormatting>
  <conditionalFormatting sqref="E71">
    <cfRule type="expression" dxfId="3913" priority="536">
      <formula>$H71=0</formula>
    </cfRule>
  </conditionalFormatting>
  <conditionalFormatting sqref="E72">
    <cfRule type="expression" dxfId="3912" priority="513">
      <formula>$H72=0</formula>
    </cfRule>
  </conditionalFormatting>
  <conditionalFormatting sqref="E72">
    <cfRule type="expression" dxfId="3911" priority="505">
      <formula>$H72=0</formula>
    </cfRule>
  </conditionalFormatting>
  <conditionalFormatting sqref="E74">
    <cfRule type="expression" dxfId="3910" priority="498">
      <formula>$H74=0</formula>
    </cfRule>
  </conditionalFormatting>
  <conditionalFormatting sqref="E73">
    <cfRule type="expression" dxfId="3909" priority="491">
      <formula>$H73=0</formula>
    </cfRule>
  </conditionalFormatting>
  <conditionalFormatting sqref="E75">
    <cfRule type="expression" dxfId="3908" priority="474">
      <formula>$H75=0</formula>
    </cfRule>
  </conditionalFormatting>
  <conditionalFormatting sqref="E7">
    <cfRule type="expression" dxfId="3907" priority="466">
      <formula>$H7=0</formula>
    </cfRule>
  </conditionalFormatting>
  <conditionalFormatting sqref="E76">
    <cfRule type="expression" dxfId="3906" priority="450">
      <formula>$H76=0</formula>
    </cfRule>
  </conditionalFormatting>
  <conditionalFormatting sqref="E77">
    <cfRule type="expression" dxfId="3905" priority="437">
      <formula>$H77=0</formula>
    </cfRule>
  </conditionalFormatting>
  <conditionalFormatting sqref="E78">
    <cfRule type="expression" dxfId="3904" priority="423">
      <formula>$H78=0</formula>
    </cfRule>
  </conditionalFormatting>
  <conditionalFormatting sqref="E79">
    <cfRule type="expression" dxfId="3903" priority="411">
      <formula>$H79=0</formula>
    </cfRule>
  </conditionalFormatting>
  <conditionalFormatting sqref="E80">
    <cfRule type="expression" dxfId="3902" priority="401">
      <formula>$H80=0</formula>
    </cfRule>
  </conditionalFormatting>
  <conditionalFormatting sqref="E81">
    <cfRule type="expression" dxfId="3901" priority="391">
      <formula>$H81=0</formula>
    </cfRule>
  </conditionalFormatting>
  <conditionalFormatting sqref="E82">
    <cfRule type="expression" dxfId="3900" priority="381">
      <formula>$H82=0</formula>
    </cfRule>
  </conditionalFormatting>
  <conditionalFormatting sqref="E83">
    <cfRule type="expression" dxfId="3899" priority="371">
      <formula>$H83=0</formula>
    </cfRule>
  </conditionalFormatting>
  <conditionalFormatting sqref="E84">
    <cfRule type="expression" dxfId="3898" priority="361">
      <formula>$H84=0</formula>
    </cfRule>
  </conditionalFormatting>
  <conditionalFormatting sqref="E85">
    <cfRule type="expression" dxfId="3897" priority="350">
      <formula>$H85=0</formula>
    </cfRule>
  </conditionalFormatting>
  <conditionalFormatting sqref="R109:R1048576">
    <cfRule type="expression" dxfId="389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89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894" priority="315">
      <formula>K3&gt;0</formula>
    </cfRule>
    <cfRule type="expression" dxfId="3893" priority="316">
      <formula>K3&lt;0</formula>
    </cfRule>
  </conditionalFormatting>
  <conditionalFormatting sqref="K2 K4 K6 K8 K10 K12 K14 K16 K18 K20 K22 K24 K26 K28 K30">
    <cfRule type="expression" dxfId="3892" priority="313">
      <formula>K2&gt;0</formula>
    </cfRule>
    <cfRule type="expression" dxfId="3891" priority="314">
      <formula>K2&lt;0</formula>
    </cfRule>
  </conditionalFormatting>
  <conditionalFormatting sqref="K23 K25 K27 K29">
    <cfRule type="expression" dxfId="3890" priority="311">
      <formula>K23&gt;0</formula>
    </cfRule>
    <cfRule type="expression" dxfId="3889" priority="312">
      <formula>K23&lt;0</formula>
    </cfRule>
  </conditionalFormatting>
  <conditionalFormatting sqref="K31 K33 K40 K35 K42 K37:K38">
    <cfRule type="expression" dxfId="3888" priority="309">
      <formula>K31&gt;0</formula>
    </cfRule>
    <cfRule type="expression" dxfId="3887" priority="310">
      <formula>K31&lt;0</formula>
    </cfRule>
  </conditionalFormatting>
  <conditionalFormatting sqref="K32 K39 K34 K41 K36 K43">
    <cfRule type="expression" dxfId="3886" priority="307">
      <formula>K32&gt;0</formula>
    </cfRule>
    <cfRule type="expression" dxfId="3885" priority="308">
      <formula>K32&lt;0</formula>
    </cfRule>
  </conditionalFormatting>
  <conditionalFormatting sqref="K45 K47 K49 K51 K53">
    <cfRule type="expression" dxfId="3884" priority="305">
      <formula>K45&gt;0</formula>
    </cfRule>
    <cfRule type="expression" dxfId="3883" priority="306">
      <formula>K45&lt;0</formula>
    </cfRule>
  </conditionalFormatting>
  <conditionalFormatting sqref="K46 K48 K50 K52">
    <cfRule type="expression" dxfId="3882" priority="303">
      <formula>K46&gt;0</formula>
    </cfRule>
    <cfRule type="expression" dxfId="3881" priority="304">
      <formula>K46&lt;0</formula>
    </cfRule>
  </conditionalFormatting>
  <conditionalFormatting sqref="K54 K56 K58 K60">
    <cfRule type="expression" dxfId="3880" priority="301">
      <formula>K54&gt;0</formula>
    </cfRule>
    <cfRule type="expression" dxfId="3879" priority="302">
      <formula>K54&lt;0</formula>
    </cfRule>
  </conditionalFormatting>
  <conditionalFormatting sqref="K55 K57 K59">
    <cfRule type="expression" dxfId="3878" priority="299">
      <formula>K55&gt;0</formula>
    </cfRule>
    <cfRule type="expression" dxfId="3877" priority="300">
      <formula>K55&lt;0</formula>
    </cfRule>
  </conditionalFormatting>
  <conditionalFormatting sqref="K68 K70 K72 K74">
    <cfRule type="expression" dxfId="3876" priority="297">
      <formula>K68&gt;0</formula>
    </cfRule>
    <cfRule type="expression" dxfId="3875" priority="298">
      <formula>K68&lt;0</formula>
    </cfRule>
  </conditionalFormatting>
  <conditionalFormatting sqref="K69 K71 K73">
    <cfRule type="expression" dxfId="3874" priority="295">
      <formula>K69&gt;0</formula>
    </cfRule>
    <cfRule type="expression" dxfId="3873" priority="296">
      <formula>K69&lt;0</formula>
    </cfRule>
  </conditionalFormatting>
  <conditionalFormatting sqref="K75 K77 K79 K81 K83">
    <cfRule type="expression" dxfId="3872" priority="293">
      <formula>K75&gt;0</formula>
    </cfRule>
    <cfRule type="expression" dxfId="3871" priority="294">
      <formula>K75&lt;0</formula>
    </cfRule>
  </conditionalFormatting>
  <conditionalFormatting sqref="K76 K78 K80 K82">
    <cfRule type="expression" dxfId="3870" priority="291">
      <formula>K76&gt;0</formula>
    </cfRule>
    <cfRule type="expression" dxfId="3869" priority="292">
      <formula>K76&lt;0</formula>
    </cfRule>
  </conditionalFormatting>
  <conditionalFormatting sqref="K82 K84 K88">
    <cfRule type="expression" dxfId="3868" priority="289">
      <formula>K82&gt;0</formula>
    </cfRule>
    <cfRule type="expression" dxfId="3867" priority="290">
      <formula>K82&lt;0</formula>
    </cfRule>
  </conditionalFormatting>
  <conditionalFormatting sqref="K83 K85">
    <cfRule type="expression" dxfId="3866" priority="287">
      <formula>K83&gt;0</formula>
    </cfRule>
    <cfRule type="expression" dxfId="3865" priority="288">
      <formula>K83&lt;0</formula>
    </cfRule>
  </conditionalFormatting>
  <conditionalFormatting sqref="M109:M200">
    <cfRule type="expression" dxfId="3864" priority="285">
      <formula>$J109=0</formula>
    </cfRule>
  </conditionalFormatting>
  <conditionalFormatting sqref="M109:M458">
    <cfRule type="expression" dxfId="3863" priority="286">
      <formula>$J109&lt;0</formula>
    </cfRule>
  </conditionalFormatting>
  <conditionalFormatting sqref="M3 M5 M7 M9 M11 M13 M15 M17 M19 M21">
    <cfRule type="expression" dxfId="3862" priority="283">
      <formula>M3&gt;0</formula>
    </cfRule>
    <cfRule type="expression" dxfId="3861" priority="284">
      <formula>M3&lt;0</formula>
    </cfRule>
  </conditionalFormatting>
  <conditionalFormatting sqref="M2 M4 M6 M8 M10 M12 M14 M16 M18 M20 M22 M24 M26 M28 M30">
    <cfRule type="expression" dxfId="3860" priority="281">
      <formula>M2&gt;0</formula>
    </cfRule>
    <cfRule type="expression" dxfId="3859" priority="282">
      <formula>M2&lt;0</formula>
    </cfRule>
  </conditionalFormatting>
  <conditionalFormatting sqref="M23 M25 M27 M29">
    <cfRule type="expression" dxfId="3858" priority="279">
      <formula>M23&gt;0</formula>
    </cfRule>
    <cfRule type="expression" dxfId="3857" priority="280">
      <formula>M23&lt;0</formula>
    </cfRule>
  </conditionalFormatting>
  <conditionalFormatting sqref="M31 M33 M40 M35 M42 M37:M38">
    <cfRule type="expression" dxfId="3856" priority="277">
      <formula>M31&gt;0</formula>
    </cfRule>
    <cfRule type="expression" dxfId="3855" priority="278">
      <formula>M31&lt;0</formula>
    </cfRule>
  </conditionalFormatting>
  <conditionalFormatting sqref="M32 M39 M34 M41 M36 M43">
    <cfRule type="expression" dxfId="3854" priority="275">
      <formula>M32&gt;0</formula>
    </cfRule>
    <cfRule type="expression" dxfId="3853" priority="276">
      <formula>M32&lt;0</formula>
    </cfRule>
  </conditionalFormatting>
  <conditionalFormatting sqref="M45 M47 M49 M51 M53">
    <cfRule type="expression" dxfId="3852" priority="273">
      <formula>M45&gt;0</formula>
    </cfRule>
    <cfRule type="expression" dxfId="3851" priority="274">
      <formula>M45&lt;0</formula>
    </cfRule>
  </conditionalFormatting>
  <conditionalFormatting sqref="M46 M48 M50 M52">
    <cfRule type="expression" dxfId="3850" priority="271">
      <formula>M46&gt;0</formula>
    </cfRule>
    <cfRule type="expression" dxfId="3849" priority="272">
      <formula>M46&lt;0</formula>
    </cfRule>
  </conditionalFormatting>
  <conditionalFormatting sqref="M54 M56 M58 M60">
    <cfRule type="expression" dxfId="3848" priority="269">
      <formula>M54&gt;0</formula>
    </cfRule>
    <cfRule type="expression" dxfId="3847" priority="270">
      <formula>M54&lt;0</formula>
    </cfRule>
  </conditionalFormatting>
  <conditionalFormatting sqref="M55 M57 M59 M61">
    <cfRule type="expression" dxfId="3846" priority="267">
      <formula>M55&gt;0</formula>
    </cfRule>
    <cfRule type="expression" dxfId="3845" priority="268">
      <formula>M55&lt;0</formula>
    </cfRule>
  </conditionalFormatting>
  <conditionalFormatting sqref="M68 M70 M72 M74">
    <cfRule type="expression" dxfId="3844" priority="265">
      <formula>M68&gt;0</formula>
    </cfRule>
    <cfRule type="expression" dxfId="3843" priority="266">
      <formula>M68&lt;0</formula>
    </cfRule>
  </conditionalFormatting>
  <conditionalFormatting sqref="M67 M69 M71 M73">
    <cfRule type="expression" dxfId="3842" priority="263">
      <formula>M67&gt;0</formula>
    </cfRule>
    <cfRule type="expression" dxfId="3841" priority="264">
      <formula>M67&lt;0</formula>
    </cfRule>
  </conditionalFormatting>
  <conditionalFormatting sqref="M75 M77 M79 M81 M83">
    <cfRule type="expression" dxfId="3840" priority="261">
      <formula>M75&gt;0</formula>
    </cfRule>
    <cfRule type="expression" dxfId="3839" priority="262">
      <formula>M75&lt;0</formula>
    </cfRule>
  </conditionalFormatting>
  <conditionalFormatting sqref="M76 M78 M80 M82">
    <cfRule type="expression" dxfId="3838" priority="259">
      <formula>M76&gt;0</formula>
    </cfRule>
    <cfRule type="expression" dxfId="3837" priority="260">
      <formula>M76&lt;0</formula>
    </cfRule>
  </conditionalFormatting>
  <conditionalFormatting sqref="M82 M84 M88">
    <cfRule type="expression" dxfId="3836" priority="257">
      <formula>M82&gt;0</formula>
    </cfRule>
    <cfRule type="expression" dxfId="3835" priority="258">
      <formula>M82&lt;0</formula>
    </cfRule>
  </conditionalFormatting>
  <conditionalFormatting sqref="M83 M85">
    <cfRule type="expression" dxfId="3834" priority="255">
      <formula>M83&gt;0</formula>
    </cfRule>
    <cfRule type="expression" dxfId="3833" priority="256">
      <formula>M83&lt;0</formula>
    </cfRule>
  </conditionalFormatting>
  <conditionalFormatting sqref="L109:L200">
    <cfRule type="expression" dxfId="3832" priority="253">
      <formula>$J109=0</formula>
    </cfRule>
  </conditionalFormatting>
  <conditionalFormatting sqref="L109:L458">
    <cfRule type="expression" dxfId="3831" priority="254">
      <formula>$J109&lt;0</formula>
    </cfRule>
  </conditionalFormatting>
  <conditionalFormatting sqref="L3 L5 L7 L9 L11 L13 L15 L17 L19 L21">
    <cfRule type="expression" dxfId="3830" priority="251">
      <formula>L3&gt;0</formula>
    </cfRule>
    <cfRule type="expression" dxfId="3829" priority="252">
      <formula>L3&lt;0</formula>
    </cfRule>
  </conditionalFormatting>
  <conditionalFormatting sqref="L2 L4 L6 L8 L10 L12 L14 L16 L18 L20 L22 L24 L26 L28 L30">
    <cfRule type="expression" dxfId="3828" priority="249">
      <formula>L2&gt;0</formula>
    </cfRule>
    <cfRule type="expression" dxfId="3827" priority="250">
      <formula>L2&lt;0</formula>
    </cfRule>
  </conditionalFormatting>
  <conditionalFormatting sqref="L23 L25 L27 L29">
    <cfRule type="expression" dxfId="3826" priority="247">
      <formula>L23&gt;0</formula>
    </cfRule>
    <cfRule type="expression" dxfId="3825" priority="248">
      <formula>L23&lt;0</formula>
    </cfRule>
  </conditionalFormatting>
  <conditionalFormatting sqref="L31 L33 L40 L35 L42 L37:L38">
    <cfRule type="expression" dxfId="3824" priority="245">
      <formula>L31&gt;0</formula>
    </cfRule>
    <cfRule type="expression" dxfId="3823" priority="246">
      <formula>L31&lt;0</formula>
    </cfRule>
  </conditionalFormatting>
  <conditionalFormatting sqref="L32 L39 L34 L41 L36 L43">
    <cfRule type="expression" dxfId="3822" priority="243">
      <formula>L32&gt;0</formula>
    </cfRule>
    <cfRule type="expression" dxfId="3821" priority="244">
      <formula>L32&lt;0</formula>
    </cfRule>
  </conditionalFormatting>
  <conditionalFormatting sqref="L45 L47 L49 L51 L53">
    <cfRule type="expression" dxfId="3820" priority="241">
      <formula>L45&gt;0</formula>
    </cfRule>
    <cfRule type="expression" dxfId="3819" priority="242">
      <formula>L45&lt;0</formula>
    </cfRule>
  </conditionalFormatting>
  <conditionalFormatting sqref="L46 L48 L50 L52">
    <cfRule type="expression" dxfId="3818" priority="239">
      <formula>L46&gt;0</formula>
    </cfRule>
    <cfRule type="expression" dxfId="3817" priority="240">
      <formula>L46&lt;0</formula>
    </cfRule>
  </conditionalFormatting>
  <conditionalFormatting sqref="L54 L56 L58 L60 L62">
    <cfRule type="expression" dxfId="3816" priority="237">
      <formula>L54&gt;0</formula>
    </cfRule>
    <cfRule type="expression" dxfId="3815" priority="238">
      <formula>L54&lt;0</formula>
    </cfRule>
  </conditionalFormatting>
  <conditionalFormatting sqref="L55 L57 L59 L61">
    <cfRule type="expression" dxfId="3814" priority="235">
      <formula>L55&gt;0</formula>
    </cfRule>
    <cfRule type="expression" dxfId="3813" priority="236">
      <formula>L55&lt;0</formula>
    </cfRule>
  </conditionalFormatting>
  <conditionalFormatting sqref="L66 L68 L70 L72 L74">
    <cfRule type="expression" dxfId="3812" priority="233">
      <formula>L66&gt;0</formula>
    </cfRule>
    <cfRule type="expression" dxfId="3811" priority="234">
      <formula>L66&lt;0</formula>
    </cfRule>
  </conditionalFormatting>
  <conditionalFormatting sqref="L58:L79">
    <cfRule type="expression" dxfId="3810" priority="231">
      <formula>L58&gt;0</formula>
    </cfRule>
    <cfRule type="expression" dxfId="3809" priority="232">
      <formula>L58&lt;0</formula>
    </cfRule>
  </conditionalFormatting>
  <conditionalFormatting sqref="L75 L77 L79 L81 L83">
    <cfRule type="expression" dxfId="3808" priority="229">
      <formula>L75&gt;0</formula>
    </cfRule>
    <cfRule type="expression" dxfId="3807" priority="230">
      <formula>L75&lt;0</formula>
    </cfRule>
  </conditionalFormatting>
  <conditionalFormatting sqref="L76 L78 L80 L82">
    <cfRule type="expression" dxfId="3806" priority="227">
      <formula>L76&gt;0</formula>
    </cfRule>
    <cfRule type="expression" dxfId="3805" priority="228">
      <formula>L76&lt;0</formula>
    </cfRule>
  </conditionalFormatting>
  <conditionalFormatting sqref="L82 L84 L88">
    <cfRule type="expression" dxfId="3804" priority="225">
      <formula>L82&gt;0</formula>
    </cfRule>
    <cfRule type="expression" dxfId="3803" priority="226">
      <formula>L82&lt;0</formula>
    </cfRule>
  </conditionalFormatting>
  <conditionalFormatting sqref="L83 L85">
    <cfRule type="expression" dxfId="3802" priority="223">
      <formula>L83&gt;0</formula>
    </cfRule>
    <cfRule type="expression" dxfId="380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00" priority="220">
      <formula>M44&gt;0</formula>
    </cfRule>
    <cfRule type="expression" dxfId="3799" priority="221">
      <formula>M44&lt;0</formula>
    </cfRule>
  </conditionalFormatting>
  <conditionalFormatting sqref="M62:M66">
    <cfRule type="expression" dxfId="3798" priority="218">
      <formula>M62&gt;0</formula>
    </cfRule>
    <cfRule type="expression" dxfId="3797" priority="219">
      <formula>M62&lt;0</formula>
    </cfRule>
  </conditionalFormatting>
  <conditionalFormatting sqref="E86">
    <cfRule type="expression" dxfId="3796" priority="217">
      <formula>$H86=0</formula>
    </cfRule>
  </conditionalFormatting>
  <conditionalFormatting sqref="K86">
    <cfRule type="expression" dxfId="3795" priority="215">
      <formula>K86&gt;0</formula>
    </cfRule>
    <cfRule type="expression" dxfId="3794" priority="216">
      <formula>K86&lt;0</formula>
    </cfRule>
  </conditionalFormatting>
  <conditionalFormatting sqref="M86">
    <cfRule type="expression" dxfId="3793" priority="213">
      <formula>M86&gt;0</formula>
    </cfRule>
    <cfRule type="expression" dxfId="3792" priority="214">
      <formula>M86&lt;0</formula>
    </cfRule>
  </conditionalFormatting>
  <conditionalFormatting sqref="L86">
    <cfRule type="expression" dxfId="3791" priority="211">
      <formula>L86&gt;0</formula>
    </cfRule>
    <cfRule type="expression" dxfId="379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89" priority="205">
      <formula>K61&gt;0</formula>
    </cfRule>
    <cfRule type="expression" dxfId="3788" priority="206">
      <formula>K61&lt;0</formula>
    </cfRule>
  </conditionalFormatting>
  <conditionalFormatting sqref="K44">
    <cfRule type="expression" dxfId="3787" priority="203">
      <formula>K44&gt;0</formula>
    </cfRule>
    <cfRule type="expression" dxfId="3786" priority="204">
      <formula>K44&lt;0</formula>
    </cfRule>
  </conditionalFormatting>
  <conditionalFormatting sqref="E87">
    <cfRule type="expression" dxfId="3785" priority="202">
      <formula>$H87=0</formula>
    </cfRule>
  </conditionalFormatting>
  <conditionalFormatting sqref="K87">
    <cfRule type="expression" dxfId="3784" priority="200">
      <formula>K87&gt;0</formula>
    </cfRule>
    <cfRule type="expression" dxfId="3783" priority="201">
      <formula>K87&lt;0</formula>
    </cfRule>
  </conditionalFormatting>
  <conditionalFormatting sqref="M87">
    <cfRule type="expression" dxfId="3782" priority="198">
      <formula>M87&gt;0</formula>
    </cfRule>
    <cfRule type="expression" dxfId="3781" priority="199">
      <formula>M87&lt;0</formula>
    </cfRule>
  </conditionalFormatting>
  <conditionalFormatting sqref="L87">
    <cfRule type="expression" dxfId="3780" priority="196">
      <formula>L87&gt;0</formula>
    </cfRule>
    <cfRule type="expression" dxfId="3779" priority="197">
      <formula>L87&lt;0</formula>
    </cfRule>
  </conditionalFormatting>
  <conditionalFormatting sqref="E88">
    <cfRule type="expression" dxfId="377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77" priority="183">
      <formula>$H89=0</formula>
    </cfRule>
  </conditionalFormatting>
  <conditionalFormatting sqref="E90">
    <cfRule type="expression" dxfId="3776" priority="182">
      <formula>$H90=0</formula>
    </cfRule>
  </conditionalFormatting>
  <conditionalFormatting sqref="E91">
    <cfRule type="expression" dxfId="3775" priority="181">
      <formula>$H91=0</formula>
    </cfRule>
  </conditionalFormatting>
  <conditionalFormatting sqref="K89">
    <cfRule type="expression" dxfId="3774" priority="179">
      <formula>K89&gt;0</formula>
    </cfRule>
    <cfRule type="expression" dxfId="3773" priority="180">
      <formula>K89&lt;0</formula>
    </cfRule>
  </conditionalFormatting>
  <conditionalFormatting sqref="K90">
    <cfRule type="expression" dxfId="3772" priority="177">
      <formula>K90&gt;0</formula>
    </cfRule>
    <cfRule type="expression" dxfId="3771" priority="178">
      <formula>K90&lt;0</formula>
    </cfRule>
  </conditionalFormatting>
  <conditionalFormatting sqref="K89 K91">
    <cfRule type="expression" dxfId="3770" priority="175">
      <formula>K89&gt;0</formula>
    </cfRule>
    <cfRule type="expression" dxfId="3769" priority="176">
      <formula>K89&lt;0</formula>
    </cfRule>
  </conditionalFormatting>
  <conditionalFormatting sqref="M89">
    <cfRule type="expression" dxfId="3768" priority="173">
      <formula>M89&gt;0</formula>
    </cfRule>
    <cfRule type="expression" dxfId="3767" priority="174">
      <formula>M89&lt;0</formula>
    </cfRule>
  </conditionalFormatting>
  <conditionalFormatting sqref="M90">
    <cfRule type="expression" dxfId="3766" priority="171">
      <formula>M90&gt;0</formula>
    </cfRule>
    <cfRule type="expression" dxfId="3765" priority="172">
      <formula>M90&lt;0</formula>
    </cfRule>
  </conditionalFormatting>
  <conditionalFormatting sqref="M89 M91">
    <cfRule type="expression" dxfId="3764" priority="169">
      <formula>M89&gt;0</formula>
    </cfRule>
    <cfRule type="expression" dxfId="3763" priority="170">
      <formula>M89&lt;0</formula>
    </cfRule>
  </conditionalFormatting>
  <conditionalFormatting sqref="L89">
    <cfRule type="expression" dxfId="3762" priority="167">
      <formula>L89&gt;0</formula>
    </cfRule>
    <cfRule type="expression" dxfId="3761" priority="168">
      <formula>L89&lt;0</formula>
    </cfRule>
  </conditionalFormatting>
  <conditionalFormatting sqref="L90">
    <cfRule type="expression" dxfId="3760" priority="165">
      <formula>L90&gt;0</formula>
    </cfRule>
    <cfRule type="expression" dxfId="3759" priority="166">
      <formula>L90&lt;0</formula>
    </cfRule>
  </conditionalFormatting>
  <conditionalFormatting sqref="L89 L91">
    <cfRule type="expression" dxfId="3758" priority="163">
      <formula>L89&gt;0</formula>
    </cfRule>
    <cfRule type="expression" dxfId="375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56" priority="161">
      <formula>$H92=0</formula>
    </cfRule>
  </conditionalFormatting>
  <conditionalFormatting sqref="K92">
    <cfRule type="expression" dxfId="3755" priority="159">
      <formula>K92&gt;0</formula>
    </cfRule>
    <cfRule type="expression" dxfId="3754" priority="160">
      <formula>K92&lt;0</formula>
    </cfRule>
  </conditionalFormatting>
  <conditionalFormatting sqref="M92">
    <cfRule type="expression" dxfId="3753" priority="157">
      <formula>M92&gt;0</formula>
    </cfRule>
    <cfRule type="expression" dxfId="3752" priority="158">
      <formula>M92&lt;0</formula>
    </cfRule>
  </conditionalFormatting>
  <conditionalFormatting sqref="L92">
    <cfRule type="expression" dxfId="3751" priority="155">
      <formula>L92&gt;0</formula>
    </cfRule>
    <cfRule type="expression" dxfId="375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49" priority="152">
      <formula>$H93=0</formula>
    </cfRule>
  </conditionalFormatting>
  <conditionalFormatting sqref="K93">
    <cfRule type="expression" dxfId="3748" priority="150">
      <formula>K93&gt;0</formula>
    </cfRule>
    <cfRule type="expression" dxfId="3747" priority="151">
      <formula>K93&lt;0</formula>
    </cfRule>
  </conditionalFormatting>
  <conditionalFormatting sqref="M93">
    <cfRule type="expression" dxfId="3746" priority="148">
      <formula>M93&gt;0</formula>
    </cfRule>
    <cfRule type="expression" dxfId="3745" priority="149">
      <formula>M93&lt;0</formula>
    </cfRule>
  </conditionalFormatting>
  <conditionalFormatting sqref="L93">
    <cfRule type="expression" dxfId="3744" priority="146">
      <formula>L93&gt;0</formula>
    </cfRule>
    <cfRule type="expression" dxfId="374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42" priority="142">
      <formula>$H92=0</formula>
    </cfRule>
  </conditionalFormatting>
  <conditionalFormatting sqref="E93">
    <cfRule type="expression" dxfId="3741" priority="141">
      <formula>$H93=0</formula>
    </cfRule>
  </conditionalFormatting>
  <conditionalFormatting sqref="E94">
    <cfRule type="expression" dxfId="3740" priority="140">
      <formula>$H94=0</formula>
    </cfRule>
  </conditionalFormatting>
  <conditionalFormatting sqref="K92">
    <cfRule type="expression" dxfId="3739" priority="138">
      <formula>K92&gt;0</formula>
    </cfRule>
    <cfRule type="expression" dxfId="3738" priority="139">
      <formula>K92&lt;0</formula>
    </cfRule>
  </conditionalFormatting>
  <conditionalFormatting sqref="K93">
    <cfRule type="expression" dxfId="3737" priority="136">
      <formula>K93&gt;0</formula>
    </cfRule>
    <cfRule type="expression" dxfId="3736" priority="137">
      <formula>K93&lt;0</formula>
    </cfRule>
  </conditionalFormatting>
  <conditionalFormatting sqref="K92 K94">
    <cfRule type="expression" dxfId="3735" priority="134">
      <formula>K92&gt;0</formula>
    </cfRule>
    <cfRule type="expression" dxfId="3734" priority="135">
      <formula>K92&lt;0</formula>
    </cfRule>
  </conditionalFormatting>
  <conditionalFormatting sqref="M92">
    <cfRule type="expression" dxfId="3733" priority="132">
      <formula>M92&gt;0</formula>
    </cfRule>
    <cfRule type="expression" dxfId="3732" priority="133">
      <formula>M92&lt;0</formula>
    </cfRule>
  </conditionalFormatting>
  <conditionalFormatting sqref="M93">
    <cfRule type="expression" dxfId="3731" priority="130">
      <formula>M93&gt;0</formula>
    </cfRule>
    <cfRule type="expression" dxfId="3730" priority="131">
      <formula>M93&lt;0</formula>
    </cfRule>
  </conditionalFormatting>
  <conditionalFormatting sqref="M92 M94">
    <cfRule type="expression" dxfId="3729" priority="128">
      <formula>M92&gt;0</formula>
    </cfRule>
    <cfRule type="expression" dxfId="3728" priority="129">
      <formula>M92&lt;0</formula>
    </cfRule>
  </conditionalFormatting>
  <conditionalFormatting sqref="L92">
    <cfRule type="expression" dxfId="3727" priority="126">
      <formula>L92&gt;0</formula>
    </cfRule>
    <cfRule type="expression" dxfId="3726" priority="127">
      <formula>L92&lt;0</formula>
    </cfRule>
  </conditionalFormatting>
  <conditionalFormatting sqref="L93">
    <cfRule type="expression" dxfId="3725" priority="124">
      <formula>L93&gt;0</formula>
    </cfRule>
    <cfRule type="expression" dxfId="3724" priority="125">
      <formula>L93&lt;0</formula>
    </cfRule>
  </conditionalFormatting>
  <conditionalFormatting sqref="L92 L94">
    <cfRule type="expression" dxfId="3723" priority="122">
      <formula>L92&gt;0</formula>
    </cfRule>
    <cfRule type="expression" dxfId="372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21" priority="120">
      <formula>$H95=0</formula>
    </cfRule>
  </conditionalFormatting>
  <conditionalFormatting sqref="K95">
    <cfRule type="expression" dxfId="3720" priority="118">
      <formula>K95&gt;0</formula>
    </cfRule>
    <cfRule type="expression" dxfId="3719" priority="119">
      <formula>K95&lt;0</formula>
    </cfRule>
  </conditionalFormatting>
  <conditionalFormatting sqref="M95">
    <cfRule type="expression" dxfId="3718" priority="116">
      <formula>M95&gt;0</formula>
    </cfRule>
    <cfRule type="expression" dxfId="3717" priority="117">
      <formula>M95&lt;0</formula>
    </cfRule>
  </conditionalFormatting>
  <conditionalFormatting sqref="L95">
    <cfRule type="expression" dxfId="3716" priority="114">
      <formula>L95&gt;0</formula>
    </cfRule>
    <cfRule type="expression" dxfId="371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14" priority="111">
      <formula>$H96=0</formula>
    </cfRule>
  </conditionalFormatting>
  <conditionalFormatting sqref="K96">
    <cfRule type="expression" dxfId="3713" priority="109">
      <formula>K96&gt;0</formula>
    </cfRule>
    <cfRule type="expression" dxfId="3712" priority="110">
      <formula>K96&lt;0</formula>
    </cfRule>
  </conditionalFormatting>
  <conditionalFormatting sqref="M96">
    <cfRule type="expression" dxfId="3711" priority="107">
      <formula>M96&gt;0</formula>
    </cfRule>
    <cfRule type="expression" dxfId="3710" priority="108">
      <formula>M96&lt;0</formula>
    </cfRule>
  </conditionalFormatting>
  <conditionalFormatting sqref="L96">
    <cfRule type="expression" dxfId="3709" priority="105">
      <formula>L96&gt;0</formula>
    </cfRule>
    <cfRule type="expression" dxfId="370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07" priority="98">
      <formula>$H97=0</formula>
    </cfRule>
  </conditionalFormatting>
  <conditionalFormatting sqref="E98">
    <cfRule type="expression" dxfId="370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05" priority="92">
      <formula>M97&gt;0</formula>
    </cfRule>
    <cfRule type="expression" dxfId="3704" priority="93">
      <formula>M97&lt;0</formula>
    </cfRule>
  </conditionalFormatting>
  <conditionalFormatting sqref="M98">
    <cfRule type="expression" dxfId="3703" priority="90">
      <formula>M98&gt;0</formula>
    </cfRule>
    <cfRule type="expression" dxfId="370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01" priority="84">
      <formula>$H99=0</formula>
    </cfRule>
  </conditionalFormatting>
  <conditionalFormatting sqref="E100">
    <cfRule type="expression" dxfId="370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699" priority="78">
      <formula>M99&gt;0</formula>
    </cfRule>
    <cfRule type="expression" dxfId="3698" priority="79">
      <formula>M99&lt;0</formula>
    </cfRule>
  </conditionalFormatting>
  <conditionalFormatting sqref="M100">
    <cfRule type="expression" dxfId="3697" priority="76">
      <formula>M100&gt;0</formula>
    </cfRule>
    <cfRule type="expression" dxfId="369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695" priority="70">
      <formula>$H101=0</formula>
    </cfRule>
  </conditionalFormatting>
  <conditionalFormatting sqref="E102">
    <cfRule type="expression" dxfId="369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693" priority="64">
      <formula>M101&gt;0</formula>
    </cfRule>
    <cfRule type="expression" dxfId="3692" priority="65">
      <formula>M101&lt;0</formula>
    </cfRule>
  </conditionalFormatting>
  <conditionalFormatting sqref="M102">
    <cfRule type="expression" dxfId="3691" priority="62">
      <formula>M102&gt;0</formula>
    </cfRule>
    <cfRule type="expression" dxfId="369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8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88" priority="51">
      <formula>M103&gt;0</formula>
    </cfRule>
    <cfRule type="expression" dxfId="368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8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85" priority="38">
      <formula>M104&gt;0</formula>
    </cfRule>
    <cfRule type="expression" dxfId="368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83" priority="34">
      <formula>$H105=0</formula>
    </cfRule>
  </conditionalFormatting>
  <conditionalFormatting sqref="E106">
    <cfRule type="expression" dxfId="368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81" priority="28">
      <formula>M105&gt;0</formula>
    </cfRule>
    <cfRule type="expression" dxfId="3680" priority="29">
      <formula>M105&lt;0</formula>
    </cfRule>
  </conditionalFormatting>
  <conditionalFormatting sqref="M106">
    <cfRule type="expression" dxfId="3679" priority="26">
      <formula>M106&gt;0</formula>
    </cfRule>
    <cfRule type="expression" dxfId="367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77" priority="20">
      <formula>$H107=0</formula>
    </cfRule>
  </conditionalFormatting>
  <conditionalFormatting sqref="E108">
    <cfRule type="expression" dxfId="367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75" priority="14">
      <formula>M107&gt;0</formula>
    </cfRule>
    <cfRule type="expression" dxfId="3674" priority="15">
      <formula>M107&lt;0</formula>
    </cfRule>
  </conditionalFormatting>
  <conditionalFormatting sqref="M108">
    <cfRule type="expression" dxfId="3673" priority="12">
      <formula>M108&gt;0</formula>
    </cfRule>
    <cfRule type="expression" dxfId="367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71" priority="8">
      <formula>L44&gt;0</formula>
    </cfRule>
    <cfRule type="expression" dxfId="3670" priority="9">
      <formula>L44&lt;0</formula>
    </cfRule>
  </conditionalFormatting>
  <conditionalFormatting sqref="K98">
    <cfRule type="expression" dxfId="3669" priority="6">
      <formula>K98&gt;0</formula>
    </cfRule>
    <cfRule type="expression" dxfId="3668" priority="7">
      <formula>K98&lt;0</formula>
    </cfRule>
  </conditionalFormatting>
  <conditionalFormatting sqref="K100">
    <cfRule type="expression" dxfId="3667" priority="4">
      <formula>K100&gt;0</formula>
    </cfRule>
    <cfRule type="expression" dxfId="3666" priority="5">
      <formula>K100&lt;0</formula>
    </cfRule>
  </conditionalFormatting>
  <conditionalFormatting sqref="K101">
    <cfRule type="expression" dxfId="3665" priority="2">
      <formula>K101&gt;0</formula>
    </cfRule>
    <cfRule type="expression" dxfId="3664" priority="3">
      <formula>K101&lt;0</formula>
    </cfRule>
  </conditionalFormatting>
  <hyperlinks>
    <hyperlink ref="E28" location="BIIB!A1" display="BIIB"/>
    <hyperlink ref="E29" location="MYL!A1" display="MYL"/>
    <hyperlink ref="E30" location="SIG!A1" display="SIG"/>
    <hyperlink ref="E2" location="ABC!A1" display="ABC"/>
    <hyperlink ref="E19" location="NVR!A1" display="NVR"/>
    <hyperlink ref="E31" location="AAPL!A1" display="AAPL"/>
    <hyperlink ref="E32" location="AXP!A1" display="AXP"/>
    <hyperlink ref="E33" location="DG!A1" display="DG"/>
    <hyperlink ref="E34" location="PINC!A1" display="PINC"/>
    <hyperlink ref="E35" location="FOXA!A1" display="FOXA"/>
    <hyperlink ref="E36" location="AOBC!A1" display="AOBC"/>
    <hyperlink ref="E37" location="LUV!A1" display="LUV"/>
    <hyperlink ref="E38" location="CCEP!A1" display="CCEP"/>
    <hyperlink ref="E39" location="BMY!A1" display="BMY"/>
    <hyperlink ref="E40" location="TIF!A1" display="TIF"/>
    <hyperlink ref="E8" location="DWDP!A1" display="DWDP"/>
    <hyperlink ref="E41" location="GPS!A1" display="GPS"/>
    <hyperlink ref="E42" location="AKAM!A1" display="AKAM"/>
    <hyperlink ref="E43" location="ARNC!A1" display="ARNC"/>
    <hyperlink ref="E13" location="IEMG!A1" display="IEMG"/>
    <hyperlink ref="E6" location="CVS!A1" display="CVS"/>
    <hyperlink ref="E44" location="ADBE!A1" display="ADBE"/>
    <hyperlink ref="E10" location="FDX!A1" display="FDX"/>
    <hyperlink ref="E45" location="PPC!A1" display="PPC"/>
    <hyperlink ref="E46" location="SKX!A1" display="SKX"/>
    <hyperlink ref="E47" location="XLB!A1" display="XLB"/>
    <hyperlink ref="E9" location="EOG!A1" display="EOG"/>
    <hyperlink ref="E48" location="TCEHY!A1" display="TCEHY"/>
    <hyperlink ref="E49" location="CCL!A1" display="CCL"/>
    <hyperlink ref="E7" location="DVN!A1" display="DVN"/>
    <hyperlink ref="E50" location="ET!A1" display="ET"/>
    <hyperlink ref="E51" location="KWEB!A1" display="KWEB"/>
    <hyperlink ref="E18" location="MRO!A1" display="MRO"/>
    <hyperlink ref="E52" location="GE!A1" display="GE"/>
    <hyperlink ref="E27" location="XRAY!A1" display="XRAY"/>
    <hyperlink ref="E3" location="ATVI!A1" display="ATVI"/>
    <hyperlink ref="E53" location="CRI!A1" display="CRI"/>
    <hyperlink ref="E54" location="AOS!A1" display="AOS"/>
    <hyperlink ref="E55" location="IWM!A1" display="IWM"/>
    <hyperlink ref="E22"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5" location="CMCSA!A1" display="CMCSA"/>
    <hyperlink ref="E65" location="XEC!A1" display="XEC"/>
    <hyperlink ref="E26" location="WRK!A1" display="WRK"/>
    <hyperlink ref="E16" location="MO!A1" display="MO"/>
    <hyperlink ref="E23"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5" location="MLM!A1" display="MLM"/>
    <hyperlink ref="E14" location="KHC!A1" display="KHC"/>
    <hyperlink ref="E74" location="KBWY!A1" display="KBWY"/>
    <hyperlink ref="E4" location="AYI!A1" display="AYI"/>
    <hyperlink ref="E75" location="DIA!A1" display="DIA"/>
    <hyperlink ref="E76" location="ICE!A1" display="ICE"/>
    <hyperlink ref="E77" location="NKE!A1" display="NKE"/>
    <hyperlink ref="E17" location="MOS!A1" display="MOS"/>
    <hyperlink ref="E78" location="VGK!A1" display="VGK"/>
    <hyperlink ref="E79" location="CMG!A1" display="CMG"/>
    <hyperlink ref="E11" location="HAS!A1" display="HAS"/>
    <hyperlink ref="E12" location="HSIC!A1" display="HSIC"/>
    <hyperlink ref="E21"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25" location="WFC!A1" display="WFC"/>
    <hyperlink ref="E89" location="AA!A1" display="AA"/>
    <hyperlink ref="E90" location="CF!A1" display="CF"/>
    <hyperlink ref="E91" location="TGT!A1" display="TGT"/>
    <hyperlink ref="E20"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2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42"/>
  <sheetViews>
    <sheetView tabSelected="1" topLeftCell="V1" zoomScaleNormal="100" workbookViewId="0">
      <pane ySplit="1" topLeftCell="A113" activePane="bottomLeft" state="frozen"/>
      <selection pane="bottomLeft" activeCell="V846" sqref="V846:W846"/>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108143.39000000001</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 si="407">B786-$B$2</f>
        <v>1204</v>
      </c>
      <c r="B786" s="817">
        <v>43437</v>
      </c>
      <c r="C786" s="842">
        <v>2790.37</v>
      </c>
      <c r="D786" s="814">
        <f t="shared" ref="D786" si="408">(C786-C785)/C785</f>
        <v>1.0941355061463539E-2</v>
      </c>
      <c r="E786" s="841">
        <f t="shared" ref="E786" si="409">(C786-$C$2)/$C$2</f>
        <v>0.32720553261924235</v>
      </c>
      <c r="F786" s="838">
        <v>7441.51</v>
      </c>
      <c r="G786" s="814">
        <f t="shared" ref="G786" si="410">(F786-F785)/F785</f>
        <v>1.5139423752443613E-2</v>
      </c>
      <c r="H786" s="819">
        <f t="shared" ref="H786" si="411">(F786-F$2)/F$2</f>
        <v>0.46149812439853105</v>
      </c>
      <c r="I786" s="863">
        <v>421570.64</v>
      </c>
      <c r="J786" s="822">
        <v>300000</v>
      </c>
      <c r="K786" s="822">
        <f t="shared" ref="K786" si="412">I786-I785-J786+J785</f>
        <v>6754.5100000000093</v>
      </c>
      <c r="L786" s="814">
        <f t="shared" ref="L786" si="413">K786/I785</f>
        <v>1.6283142123716378E-2</v>
      </c>
      <c r="M786" s="839">
        <f t="shared" ref="M786" si="414">I786-J786</f>
        <v>121570.64000000001</v>
      </c>
      <c r="N786" s="824">
        <f t="shared" ref="N786" si="415">M786/J786</f>
        <v>0.40523546666666671</v>
      </c>
      <c r="O786" s="808">
        <f t="shared" ref="O786" si="416">N786/(A786/365.25)</f>
        <v>0.12293376594684387</v>
      </c>
      <c r="P786" s="839" t="b">
        <f t="shared" ref="P786" si="417">L786&gt;D786</f>
        <v>1</v>
      </c>
      <c r="Q786" s="824">
        <f>COUNTIF(P$2:P786, TRUE)/(COUNTIF(P$2:P786,FALSE) + COUNTIF(P$2:P786, TRUE))</f>
        <v>0.49681528662420382</v>
      </c>
      <c r="R786" s="866">
        <v>335205</v>
      </c>
      <c r="S786" s="868">
        <f t="shared" ref="S786" si="418">I786-R786</f>
        <v>86365.640000000014</v>
      </c>
      <c r="T786" s="822">
        <v>-31163</v>
      </c>
      <c r="U786" s="822">
        <f t="shared" ref="U786" si="419">M786-T786</f>
        <v>152733.64000000001</v>
      </c>
      <c r="V786" s="824">
        <f>STDEV(D$2:D786)*SQRT(252)</f>
        <v>0.14125293018736088</v>
      </c>
      <c r="W786" s="824">
        <f>STDEV(L$2:L786)*SQRT(252)</f>
        <v>0.25608623353884191</v>
      </c>
      <c r="X786" s="823">
        <f t="shared" ref="X786" si="420">E786/(A786/365.25)/V786</f>
        <v>0.70272743718590269</v>
      </c>
      <c r="Y786" s="823">
        <f t="shared" ref="Y786" si="421">O786/W786</f>
        <v>0.48004831906826367</v>
      </c>
      <c r="Z786" s="829">
        <f t="shared" si="406"/>
        <v>7.8029934047424365E-2</v>
      </c>
    </row>
    <row r="787" spans="1:26" ht="20.100000000000001" customHeight="1" x14ac:dyDescent="0.2">
      <c r="A787" s="798">
        <f t="shared" ref="A787" si="422">B787-$B$2</f>
        <v>1205</v>
      </c>
      <c r="B787" s="817">
        <v>43438</v>
      </c>
      <c r="C787" s="842">
        <v>2700.06</v>
      </c>
      <c r="D787" s="814">
        <f t="shared" ref="D787" si="423">(C787-C786)/C786</f>
        <v>-3.236488351007212E-2</v>
      </c>
      <c r="E787" s="841">
        <f t="shared" ref="E787" si="424">(C787-$C$2)/$C$2</f>
        <v>0.28425068016209731</v>
      </c>
      <c r="F787" s="838">
        <v>7158.42</v>
      </c>
      <c r="G787" s="814">
        <f t="shared" ref="G787" si="425">(F787-F786)/F786</f>
        <v>-3.8042010290922156E-2</v>
      </c>
      <c r="H787" s="819">
        <f t="shared" ref="H787" si="426">(F787-F$2)/F$2</f>
        <v>0.40589979770999868</v>
      </c>
      <c r="I787" s="863">
        <v>410018.82</v>
      </c>
      <c r="J787" s="822">
        <v>300000</v>
      </c>
      <c r="K787" s="822">
        <f t="shared" ref="K787" si="427">I787-I786-J787+J786</f>
        <v>-11551.820000000007</v>
      </c>
      <c r="L787" s="814">
        <f t="shared" ref="L787" si="428">K787/I786</f>
        <v>-2.7401860812697978E-2</v>
      </c>
      <c r="M787" s="839">
        <f t="shared" ref="M787" si="429">I787-J787</f>
        <v>110018.82</v>
      </c>
      <c r="N787" s="824">
        <f t="shared" ref="N787" si="430">M787/J787</f>
        <v>0.36672940000000004</v>
      </c>
      <c r="O787" s="808">
        <f t="shared" ref="O787" si="431">N787/(A787/365.25)</f>
        <v>0.11116009406639005</v>
      </c>
      <c r="P787" s="839" t="b">
        <f t="shared" ref="P787" si="432">L787&gt;D787</f>
        <v>1</v>
      </c>
      <c r="Q787" s="824">
        <f>COUNTIF(P$2:P787, TRUE)/(COUNTIF(P$2:P787,FALSE) + COUNTIF(P$2:P787, TRUE))</f>
        <v>0.49745547073791346</v>
      </c>
      <c r="R787" s="866">
        <v>330837.59000000003</v>
      </c>
      <c r="S787" s="868">
        <f t="shared" ref="S787" si="433">I787-R787</f>
        <v>79181.229999999981</v>
      </c>
      <c r="T787" s="822">
        <v>-31883</v>
      </c>
      <c r="U787" s="822">
        <f t="shared" ref="U787" si="434">M787-T787</f>
        <v>141901.82</v>
      </c>
      <c r="V787" s="824">
        <f>STDEV(D$2:D787)*SQRT(252)</f>
        <v>0.14237830466833196</v>
      </c>
      <c r="W787" s="824">
        <f>STDEV(L$2:L787)*SQRT(252)</f>
        <v>0.25641602783691181</v>
      </c>
      <c r="X787" s="823">
        <f t="shared" ref="X787" si="435">E787/(A787/365.25)/V787</f>
        <v>0.60514698360616659</v>
      </c>
      <c r="Y787" s="823">
        <f t="shared" ref="Y787" si="436">O787/W787</f>
        <v>0.43351460906761713</v>
      </c>
      <c r="Z787" s="829">
        <f t="shared" si="406"/>
        <v>8.2478719837902725E-2</v>
      </c>
    </row>
    <row r="788" spans="1:26" ht="20.100000000000001" customHeight="1" x14ac:dyDescent="0.2">
      <c r="A788" s="798">
        <f t="shared" ref="A788" si="437">B788-$B$2</f>
        <v>1207</v>
      </c>
      <c r="B788" s="817">
        <v>43440</v>
      </c>
      <c r="C788" s="842">
        <v>2695.95</v>
      </c>
      <c r="D788" s="814">
        <f t="shared" ref="D788" si="438">(C788-C787)/C787</f>
        <v>-1.5221883958134736E-3</v>
      </c>
      <c r="E788" s="841">
        <f t="shared" ref="E788" si="439">(C788-$C$2)/$C$2</f>
        <v>0.28229580867943899</v>
      </c>
      <c r="F788" s="838">
        <v>7188.25</v>
      </c>
      <c r="G788" s="814">
        <f t="shared" ref="G788" si="440">(F788-F787)/F787</f>
        <v>4.1671206774679228E-3</v>
      </c>
      <c r="H788" s="819">
        <f t="shared" ref="H788" si="441">(F788-F$2)/F$2</f>
        <v>0.41175835182748399</v>
      </c>
      <c r="I788" s="863">
        <v>407546.45</v>
      </c>
      <c r="J788" s="822">
        <v>300000</v>
      </c>
      <c r="K788" s="822">
        <f t="shared" ref="K788" si="442">I788-I787-J788+J787</f>
        <v>-2472.3699999999953</v>
      </c>
      <c r="L788" s="814">
        <f t="shared" ref="L788" si="443">K788/I787</f>
        <v>-6.0298939448681773E-3</v>
      </c>
      <c r="M788" s="839">
        <f t="shared" ref="M788" si="444">I788-J788</f>
        <v>107546.45000000001</v>
      </c>
      <c r="N788" s="824">
        <f t="shared" ref="N788" si="445">M788/J788</f>
        <v>0.35848816666666672</v>
      </c>
      <c r="O788" s="808">
        <f t="shared" ref="O788" si="446">N788/(A788/365.25)</f>
        <v>0.10848202392294948</v>
      </c>
      <c r="P788" s="839" t="b">
        <f t="shared" ref="P788" si="447">L788&gt;D788</f>
        <v>0</v>
      </c>
      <c r="Q788" s="824">
        <f>COUNTIF(P$2:P788, TRUE)/(COUNTIF(P$2:P788,FALSE) + COUNTIF(P$2:P788, TRUE))</f>
        <v>0.49682337992376113</v>
      </c>
      <c r="R788" s="866">
        <v>373437.24</v>
      </c>
      <c r="S788" s="868">
        <f t="shared" ref="S788" si="448">I788-R788</f>
        <v>34109.210000000021</v>
      </c>
      <c r="T788" s="822">
        <v>-32113</v>
      </c>
      <c r="U788" s="822">
        <f t="shared" ref="U788" si="449">M788-T788</f>
        <v>139659.45000000001</v>
      </c>
      <c r="V788" s="824">
        <f>STDEV(D$2:D788)*SQRT(252)</f>
        <v>0.14229157572570017</v>
      </c>
      <c r="W788" s="824">
        <f>STDEV(L$2:L788)*SQRT(252)</f>
        <v>0.25628029389269719</v>
      </c>
      <c r="X788" s="823">
        <f t="shared" ref="X788" si="450">E788/(A788/365.25)/V788</f>
        <v>0.60035508835020446</v>
      </c>
      <c r="Y788" s="823">
        <f t="shared" ref="Y788" si="451">O788/W788</f>
        <v>0.42329444170362224</v>
      </c>
      <c r="Z788" s="829">
        <f t="shared" si="406"/>
        <v>7.6192357987227732E-2</v>
      </c>
    </row>
    <row r="789" spans="1:26" ht="20.100000000000001" customHeight="1" x14ac:dyDescent="0.2">
      <c r="A789" s="798">
        <f t="shared" ref="A789" si="452">B789-$B$2</f>
        <v>1208</v>
      </c>
      <c r="B789" s="817">
        <v>43441</v>
      </c>
      <c r="C789" s="842">
        <v>2633.08</v>
      </c>
      <c r="D789" s="814">
        <f t="shared" ref="D789" si="453">(C789-C788)/C788</f>
        <v>-2.3320165433335149E-2</v>
      </c>
      <c r="E789" s="841">
        <f t="shared" ref="E789" si="454">(C789-$C$2)/$C$2</f>
        <v>0.2523924582865622</v>
      </c>
      <c r="F789" s="838">
        <v>6969.25</v>
      </c>
      <c r="G789" s="814">
        <f t="shared" ref="G789" si="455">(F789-F788)/F788</f>
        <v>-3.0466386116231349E-2</v>
      </c>
      <c r="H789" s="819">
        <f t="shared" ref="H789" si="456">(F789-F$2)/F$2</f>
        <v>0.36874717677789348</v>
      </c>
      <c r="I789" s="863">
        <v>400207.22</v>
      </c>
      <c r="J789" s="822">
        <v>300000</v>
      </c>
      <c r="K789" s="822">
        <f t="shared" ref="K789" si="457">I789-I788-J789+J788</f>
        <v>-7339.2300000000396</v>
      </c>
      <c r="L789" s="814">
        <f t="shared" ref="L789" si="458">K789/I788</f>
        <v>-1.8008327639708405E-2</v>
      </c>
      <c r="M789" s="839">
        <f t="shared" ref="M789" si="459">I789-J789</f>
        <v>100207.21999999997</v>
      </c>
      <c r="N789" s="824">
        <f t="shared" ref="N789" si="460">M789/J789</f>
        <v>0.33402406666666656</v>
      </c>
      <c r="O789" s="808">
        <f t="shared" ref="O789" si="461">N789/(A789/365.25)</f>
        <v>0.10099527346854302</v>
      </c>
      <c r="P789" s="839" t="b">
        <f t="shared" ref="P789" si="462">L789&gt;D789</f>
        <v>1</v>
      </c>
      <c r="Q789" s="824">
        <f>COUNTIF(P$2:P789, TRUE)/(COUNTIF(P$2:P789,FALSE) + COUNTIF(P$2:P789, TRUE))</f>
        <v>0.49746192893401014</v>
      </c>
      <c r="R789" s="866">
        <v>376330.48</v>
      </c>
      <c r="S789" s="868">
        <f t="shared" ref="S789" si="463">I789-R789</f>
        <v>23876.739999999991</v>
      </c>
      <c r="T789" s="822">
        <v>-32518</v>
      </c>
      <c r="U789" s="822">
        <f t="shared" ref="U789" si="464">M789-T789</f>
        <v>132725.21999999997</v>
      </c>
      <c r="V789" s="824">
        <f>STDEV(D$2:D789)*SQRT(252)</f>
        <v>0.14283079204781629</v>
      </c>
      <c r="W789" s="824">
        <f>STDEV(L$2:L789)*SQRT(252)</f>
        <v>0.25633378715539085</v>
      </c>
      <c r="X789" s="823">
        <f t="shared" ref="X789" si="465">E789/(A789/365.25)/V789</f>
        <v>0.53429095177124997</v>
      </c>
      <c r="Y789" s="823">
        <f t="shared" ref="Y789" si="466">O789/W789</f>
        <v>0.39399906890666414</v>
      </c>
      <c r="Z789" s="829">
        <f t="shared" si="406"/>
        <v>8.1631608380104359E-2</v>
      </c>
    </row>
    <row r="790" spans="1:26" ht="20.100000000000001" customHeight="1" x14ac:dyDescent="0.2">
      <c r="A790" s="798">
        <f t="shared" ref="A790" si="467">B790-$B$2</f>
        <v>1211</v>
      </c>
      <c r="B790" s="817">
        <v>43444</v>
      </c>
      <c r="C790" s="842">
        <v>2637.72</v>
      </c>
      <c r="D790" s="814">
        <f t="shared" ref="D790" si="468">(C790-C789)/C789</f>
        <v>1.7621948440608994E-3</v>
      </c>
      <c r="E790" s="841">
        <f t="shared" ref="E790" si="469">(C790-$C$2)/$C$2</f>
        <v>0.25459941781929557</v>
      </c>
      <c r="F790" s="838">
        <v>7020.52</v>
      </c>
      <c r="G790" s="814">
        <f t="shared" ref="G790" si="470">(F790-F789)/F789</f>
        <v>7.356602216881363E-3</v>
      </c>
      <c r="H790" s="819">
        <f t="shared" ref="H790" si="471">(F790-F$2)/F$2</f>
        <v>0.37881650529292782</v>
      </c>
      <c r="I790" s="863">
        <v>394920</v>
      </c>
      <c r="J790" s="822">
        <v>300000</v>
      </c>
      <c r="K790" s="822">
        <f t="shared" ref="K790" si="472">I790-I789-J790+J789</f>
        <v>-5287.2199999999721</v>
      </c>
      <c r="L790" s="814">
        <f t="shared" ref="L790" si="473">K790/I789</f>
        <v>-1.3211205934765427E-2</v>
      </c>
      <c r="M790" s="839">
        <f t="shared" ref="M790" si="474">I790-J790</f>
        <v>94920</v>
      </c>
      <c r="N790" s="824">
        <f t="shared" ref="N790" si="475">M790/J790</f>
        <v>0.31640000000000001</v>
      </c>
      <c r="O790" s="808">
        <f t="shared" ref="O790" si="476">N790/(A790/365.25)</f>
        <v>9.542947976878613E-2</v>
      </c>
      <c r="P790" s="839" t="b">
        <f t="shared" ref="P790" si="477">L790&gt;D790</f>
        <v>0</v>
      </c>
      <c r="Q790" s="824">
        <f>COUNTIF(P$2:P790, TRUE)/(COUNTIF(P$2:P790,FALSE) + COUNTIF(P$2:P790, TRUE))</f>
        <v>0.49683143219264891</v>
      </c>
      <c r="R790" s="866">
        <v>380977.24</v>
      </c>
      <c r="S790" s="868">
        <f t="shared" ref="S790" si="478">I790-R790</f>
        <v>13942.760000000009</v>
      </c>
      <c r="T790" s="822">
        <v>-32738</v>
      </c>
      <c r="U790" s="822">
        <f t="shared" ref="U790" si="479">M790-T790</f>
        <v>127658</v>
      </c>
      <c r="V790" s="824">
        <f>STDEV(D$2:D790)*SQRT(252)</f>
        <v>0.14274232840004178</v>
      </c>
      <c r="W790" s="824">
        <f>STDEV(L$2:L790)*SQRT(252)</f>
        <v>0.25628966236844403</v>
      </c>
      <c r="X790" s="823">
        <f t="shared" ref="X790" si="480">E790/(A790/365.25)/V790</f>
        <v>0.53796089946479109</v>
      </c>
      <c r="Y790" s="823">
        <f t="shared" ref="Y790" si="481">O790/W790</f>
        <v>0.37235009358901089</v>
      </c>
      <c r="Z790" s="829">
        <f t="shared" ref="Z790" si="482">-(E790-N790)</f>
        <v>6.1800582180704444E-2</v>
      </c>
    </row>
    <row r="791" spans="1:26" ht="20.100000000000001" customHeight="1" x14ac:dyDescent="0.2">
      <c r="A791" s="798">
        <f t="shared" ref="A791" si="483">B791-$B$2</f>
        <v>1212</v>
      </c>
      <c r="B791" s="817">
        <v>43445</v>
      </c>
      <c r="C791" s="842">
        <v>2636.78</v>
      </c>
      <c r="D791" s="814">
        <f t="shared" ref="D791" si="484">(C791-C790)/C790</f>
        <v>-3.5636837875119417E-4</v>
      </c>
      <c r="E791" s="841">
        <f t="shared" ref="E791" si="485">(C791-$C$2)/$C$2</f>
        <v>0.25415231825878509</v>
      </c>
      <c r="F791" s="838">
        <v>7031.83</v>
      </c>
      <c r="G791" s="814">
        <f t="shared" ref="G791" si="486">(F791-F790)/F790</f>
        <v>1.6109917783867136E-3</v>
      </c>
      <c r="H791" s="819">
        <f t="shared" ref="H791" si="487">(F791-F$2)/F$2</f>
        <v>0.38103776734685862</v>
      </c>
      <c r="I791" s="863">
        <v>394934.34</v>
      </c>
      <c r="J791" s="822">
        <v>300000</v>
      </c>
      <c r="K791" s="822">
        <f t="shared" ref="K791" si="488">I791-I790-J791+J790</f>
        <v>14.340000000025611</v>
      </c>
      <c r="L791" s="814">
        <f t="shared" ref="L791" si="489">K791/I790</f>
        <v>3.6311151625710555E-5</v>
      </c>
      <c r="M791" s="839">
        <f t="shared" ref="M791" si="490">I791-J791</f>
        <v>94934.340000000026</v>
      </c>
      <c r="N791" s="824">
        <f t="shared" ref="N791" si="491">M791/J791</f>
        <v>0.31644780000000011</v>
      </c>
      <c r="O791" s="808">
        <f t="shared" ref="O791" si="492">N791/(A791/365.25)</f>
        <v>9.5365147648514892E-2</v>
      </c>
      <c r="P791" s="839" t="b">
        <f t="shared" ref="P791" si="493">L791&gt;D791</f>
        <v>1</v>
      </c>
      <c r="Q791" s="824">
        <f>COUNTIF(P$2:P791, TRUE)/(COUNTIF(P$2:P791,FALSE) + COUNTIF(P$2:P791, TRUE))</f>
        <v>0.49746835443037973</v>
      </c>
      <c r="R791" s="866">
        <v>371237.75</v>
      </c>
      <c r="S791" s="868">
        <f t="shared" ref="S791" si="494">I791-R791</f>
        <v>23696.590000000026</v>
      </c>
      <c r="T791" s="822">
        <v>-32863</v>
      </c>
      <c r="U791" s="822">
        <f t="shared" ref="U791:U794" si="495">M791-T791</f>
        <v>127797.34000000003</v>
      </c>
      <c r="V791" s="824">
        <f>STDEV(D$2:D791)*SQRT(252)</f>
        <v>0.14265225189057229</v>
      </c>
      <c r="W791" s="824">
        <f>STDEV(L$2:L791)*SQRT(252)</f>
        <v>0.25612716650451428</v>
      </c>
      <c r="X791" s="823">
        <f t="shared" ref="X791" si="496">E791/(A791/365.25)/V791</f>
        <v>0.53691192326611614</v>
      </c>
      <c r="Y791" s="823">
        <f t="shared" ref="Y791" si="497">O791/W791</f>
        <v>0.37233515268999812</v>
      </c>
      <c r="Z791" s="829">
        <f t="shared" ref="Z791" si="498">-(E791-N791)</f>
        <v>6.229548174121502E-2</v>
      </c>
    </row>
    <row r="792" spans="1:26" ht="20.100000000000001" customHeight="1" x14ac:dyDescent="0.2">
      <c r="A792" s="798">
        <f t="shared" ref="A792" si="499">B792-$B$2</f>
        <v>1213</v>
      </c>
      <c r="B792" s="817">
        <v>43446</v>
      </c>
      <c r="C792" s="842">
        <v>2651.07</v>
      </c>
      <c r="D792" s="814">
        <f t="shared" ref="D792" si="500">(C792-C791)/C791</f>
        <v>5.4194889220943584E-3</v>
      </c>
      <c r="E792" s="841">
        <f t="shared" ref="E792" si="501">(C792-$C$2)/$C$2</f>
        <v>0.26094918285420754</v>
      </c>
      <c r="F792" s="838">
        <v>7098.33</v>
      </c>
      <c r="G792" s="814">
        <f t="shared" ref="G792" si="502">(F792-F791)/F791</f>
        <v>9.4569976805468844E-3</v>
      </c>
      <c r="H792" s="819">
        <f t="shared" ref="H792" si="503">(F792-F$2)/F$2</f>
        <v>0.39409823830940555</v>
      </c>
      <c r="I792" s="863">
        <v>397418.44</v>
      </c>
      <c r="J792" s="822">
        <v>300000</v>
      </c>
      <c r="K792" s="822">
        <f t="shared" ref="K792" si="504">I792-I791-J792+J791</f>
        <v>2484.0999999999767</v>
      </c>
      <c r="L792" s="814">
        <f t="shared" ref="L792" si="505">K792/I791</f>
        <v>6.2899063170854591E-3</v>
      </c>
      <c r="M792" s="839">
        <f t="shared" ref="M792" si="506">I792-J792</f>
        <v>97418.44</v>
      </c>
      <c r="N792" s="824">
        <f t="shared" ref="N792" si="507">M792/J792</f>
        <v>0.32472813333333334</v>
      </c>
      <c r="O792" s="808">
        <f t="shared" ref="O792" si="508">N792/(A792/365.25)</f>
        <v>9.7779843940643041E-2</v>
      </c>
      <c r="P792" s="839" t="b">
        <f t="shared" ref="P792" si="509">L792&gt;D792</f>
        <v>1</v>
      </c>
      <c r="Q792" s="824">
        <f>COUNTIF(P$2:P792, TRUE)/(COUNTIF(P$2:P792,FALSE) + COUNTIF(P$2:P792, TRUE))</f>
        <v>0.49810366624525915</v>
      </c>
      <c r="R792" s="866">
        <v>372992.36</v>
      </c>
      <c r="S792" s="868">
        <f t="shared" ref="S792" si="510">I792-R792</f>
        <v>24426.080000000016</v>
      </c>
      <c r="T792" s="822"/>
      <c r="U792" s="822"/>
      <c r="V792" s="824">
        <f>STDEV(D$2:D792)*SQRT(252)</f>
        <v>0.14259082814261542</v>
      </c>
      <c r="W792" s="824">
        <f>STDEV(L$2:L792)*SQRT(252)</f>
        <v>0.25598521011278219</v>
      </c>
      <c r="X792" s="823">
        <f t="shared" ref="X792" si="511">E792/(A792/365.25)/V792</f>
        <v>0.55105351077994846</v>
      </c>
      <c r="Y792" s="823">
        <f t="shared" ref="Y792" si="512">O792/W792</f>
        <v>0.38197458320956557</v>
      </c>
      <c r="Z792" s="829">
        <f t="shared" ref="Z792" si="513">-(E792-N792)</f>
        <v>6.3778950479125796E-2</v>
      </c>
    </row>
    <row r="793" spans="1:26" ht="20.100000000000001" customHeight="1" x14ac:dyDescent="0.2">
      <c r="A793" s="798">
        <f t="shared" ref="A793:A794" si="514">B793-$B$2</f>
        <v>1214</v>
      </c>
      <c r="B793" s="817">
        <v>43447</v>
      </c>
      <c r="C793" s="842">
        <v>2650.54</v>
      </c>
      <c r="D793" s="814">
        <f t="shared" ref="D793" si="515">(C793-C792)/C792</f>
        <v>-1.9991927787655551E-4</v>
      </c>
      <c r="E793" s="841">
        <f t="shared" ref="E793" si="516">(C793-$C$2)/$C$2</f>
        <v>0.26069709480413228</v>
      </c>
      <c r="F793" s="838">
        <v>7070.33</v>
      </c>
      <c r="G793" s="814">
        <f t="shared" ref="G793" si="517">(F793-F792)/F792</f>
        <v>-3.9445897837942162E-3</v>
      </c>
      <c r="H793" s="819">
        <f t="shared" ref="H793" si="518">(F793-F$2)/F$2</f>
        <v>0.38859909264096476</v>
      </c>
      <c r="I793" s="863">
        <v>395222.97</v>
      </c>
      <c r="J793" s="822">
        <v>300000</v>
      </c>
      <c r="K793" s="822">
        <f t="shared" ref="K793" si="519">I793-I792-J793+J792</f>
        <v>-2195.4700000000303</v>
      </c>
      <c r="L793" s="814">
        <f t="shared" ref="L793" si="520">K793/I792</f>
        <v>-5.524328463470468E-3</v>
      </c>
      <c r="M793" s="839">
        <f t="shared" ref="M793" si="521">I793-J793</f>
        <v>95222.969999999972</v>
      </c>
      <c r="N793" s="824">
        <f t="shared" ref="N793" si="522">M793/J793</f>
        <v>0.31740989999999991</v>
      </c>
      <c r="O793" s="808">
        <f t="shared" ref="O793" si="523">N793/(A793/365.25)</f>
        <v>9.5497500803130131E-2</v>
      </c>
      <c r="P793" s="839" t="b">
        <f t="shared" ref="P793" si="524">L793&gt;D793</f>
        <v>0</v>
      </c>
      <c r="Q793" s="824">
        <f>COUNTIF(P$2:P793, TRUE)/(COUNTIF(P$2:P793,FALSE) + COUNTIF(P$2:P793, TRUE))</f>
        <v>0.49747474747474746</v>
      </c>
      <c r="R793" s="866">
        <v>374886.39</v>
      </c>
      <c r="S793" s="868">
        <f t="shared" ref="S793" si="525">I793-R793</f>
        <v>20336.579999999958</v>
      </c>
      <c r="T793" s="822">
        <v>-32638</v>
      </c>
      <c r="U793" s="822">
        <f t="shared" si="495"/>
        <v>127860.96999999997</v>
      </c>
      <c r="V793" s="824">
        <f>STDEV(D$2:D793)*SQRT(252)</f>
        <v>0.14250087072688253</v>
      </c>
      <c r="W793" s="824">
        <f>STDEV(L$2:L793)*SQRT(252)</f>
        <v>0.25584630103004341</v>
      </c>
      <c r="X793" s="823">
        <f t="shared" ref="X793" si="526">E793/(A793/365.25)/V793</f>
        <v>0.55041493716150969</v>
      </c>
      <c r="Y793" s="823">
        <f t="shared" ref="Y793" si="527">O793/W793</f>
        <v>0.37326121354365838</v>
      </c>
      <c r="Z793" s="829">
        <f t="shared" ref="Z793" si="528">-(E793-N793)</f>
        <v>5.6712805195867633E-2</v>
      </c>
    </row>
    <row r="794" spans="1:26" ht="20.100000000000001" customHeight="1" x14ac:dyDescent="0.2">
      <c r="A794" s="798">
        <f t="shared" si="514"/>
        <v>1215</v>
      </c>
      <c r="B794" s="817">
        <v>43448</v>
      </c>
      <c r="C794" s="842">
        <v>2599.9499999999998</v>
      </c>
      <c r="D794" s="814">
        <f t="shared" ref="D794" si="529">(C794-C793)/C793</f>
        <v>-1.9086676677205455E-2</v>
      </c>
      <c r="E794" s="841">
        <f t="shared" ref="E794" si="530">(C794-$C$2)/$C$2</f>
        <v>0.23663457696771359</v>
      </c>
      <c r="F794" s="838">
        <v>6910.66</v>
      </c>
      <c r="G794" s="814">
        <f t="shared" ref="G794" si="531">(F794-F793)/F793</f>
        <v>-2.2583104324692068E-2</v>
      </c>
      <c r="H794" s="819">
        <f t="shared" ref="H794" si="532">(F794-F$2)/F$2</f>
        <v>0.35724021446668108</v>
      </c>
      <c r="I794" s="863">
        <v>390251.59</v>
      </c>
      <c r="J794" s="822">
        <v>300000</v>
      </c>
      <c r="K794" s="822">
        <f t="shared" ref="K794" si="533">I794-I793-J794+J793</f>
        <v>-4971.3799999999464</v>
      </c>
      <c r="L794" s="814">
        <f t="shared" ref="L794" si="534">K794/I793</f>
        <v>-1.2578671730542248E-2</v>
      </c>
      <c r="M794" s="839">
        <f t="shared" ref="M794" si="535">I794-J794</f>
        <v>90251.590000000026</v>
      </c>
      <c r="N794" s="824">
        <f t="shared" ref="N794" si="536">M794/J794</f>
        <v>0.30083863333333344</v>
      </c>
      <c r="O794" s="808">
        <f t="shared" ref="O794:O799" si="537">N794/(A794/365.25)</f>
        <v>9.0437292860082341E-2</v>
      </c>
      <c r="P794" s="839" t="b">
        <f t="shared" ref="P794" si="538">L794&gt;D794</f>
        <v>1</v>
      </c>
      <c r="Q794" s="824">
        <f>COUNTIF(P$2:P794, TRUE)/(COUNTIF(P$2:P794,FALSE) + COUNTIF(P$2:P794, TRUE))</f>
        <v>0.49810844892812106</v>
      </c>
      <c r="R794" s="866">
        <v>381932.95</v>
      </c>
      <c r="S794" s="868">
        <f t="shared" ref="S794" si="539">I794-R794</f>
        <v>8318.640000000014</v>
      </c>
      <c r="T794" s="822">
        <v>-32893</v>
      </c>
      <c r="U794" s="822">
        <f t="shared" si="495"/>
        <v>123144.59000000003</v>
      </c>
      <c r="V794" s="824">
        <f>STDEV(D$2:D794)*SQRT(252)</f>
        <v>0.14283144875016193</v>
      </c>
      <c r="W794" s="824">
        <f>STDEV(L$2:L794)*SQRT(252)</f>
        <v>0.25579202214238894</v>
      </c>
      <c r="X794" s="823">
        <f t="shared" ref="X794" si="540">E794/(A794/365.25)/V794</f>
        <v>0.49804468441167937</v>
      </c>
      <c r="Y794" s="823">
        <f t="shared" ref="Y794" si="541">O794/W794</f>
        <v>0.35355791045640822</v>
      </c>
      <c r="Z794" s="829">
        <f t="shared" ref="Z794" si="542">-(E794-N794)</f>
        <v>6.4204056365619849E-2</v>
      </c>
    </row>
    <row r="795" spans="1:26" ht="20.100000000000001" customHeight="1" x14ac:dyDescent="0.2">
      <c r="A795" s="798">
        <f t="shared" ref="A795" si="543">B795-$B$2</f>
        <v>1218</v>
      </c>
      <c r="B795" s="817">
        <v>43451</v>
      </c>
      <c r="C795" s="842">
        <v>2545.94</v>
      </c>
      <c r="D795" s="814">
        <f t="shared" ref="D795" si="544">(C795-C794)/C794</f>
        <v>-2.0773476413007853E-2</v>
      </c>
      <c r="E795" s="841">
        <f t="shared" ref="E795" si="545">(C795-$C$2)/$C$2</f>
        <v>0.21094537775156486</v>
      </c>
      <c r="F795" s="838">
        <v>6753.73</v>
      </c>
      <c r="G795" s="814">
        <f t="shared" ref="G795" si="546">(F795-F794)/F794</f>
        <v>-2.2708395435457728E-2</v>
      </c>
      <c r="H795" s="819">
        <f t="shared" ref="H795" si="547">(F795-F$2)/F$2</f>
        <v>0.32641946697566626</v>
      </c>
      <c r="I795" s="863">
        <v>403520.73</v>
      </c>
      <c r="J795" s="822">
        <v>320000</v>
      </c>
      <c r="K795" s="822">
        <f t="shared" ref="K795" si="548">I795-I794-J795+J794</f>
        <v>-6730.8600000000442</v>
      </c>
      <c r="L795" s="814">
        <f t="shared" ref="L795" si="549">K795/I794</f>
        <v>-1.7247488985246782E-2</v>
      </c>
      <c r="M795" s="839">
        <f t="shared" ref="M795" si="550">I795-J795</f>
        <v>83520.729999999981</v>
      </c>
      <c r="N795" s="824">
        <f t="shared" ref="N795" si="551">M795/J795</f>
        <v>0.26100228124999997</v>
      </c>
      <c r="O795" s="808">
        <f t="shared" si="537"/>
        <v>7.8268541236915012E-2</v>
      </c>
      <c r="P795" s="839" t="b">
        <f t="shared" ref="P795" si="552">L795&gt;D795</f>
        <v>1</v>
      </c>
      <c r="Q795" s="824">
        <f>COUNTIF(P$2:P795, TRUE)/(COUNTIF(P$2:P795,FALSE) + COUNTIF(P$2:P795, TRUE))</f>
        <v>0.4987405541561713</v>
      </c>
      <c r="R795" s="866">
        <v>384343.14</v>
      </c>
      <c r="S795" s="868">
        <f t="shared" ref="S795" si="553">I795-R795</f>
        <v>19177.589999999967</v>
      </c>
      <c r="T795" s="822">
        <v>-33213</v>
      </c>
      <c r="U795" s="822">
        <f t="shared" ref="U795" si="554">M795-T795</f>
        <v>116733.72999999998</v>
      </c>
      <c r="V795" s="824">
        <f>STDEV(D$2:D795)*SQRT(252)</f>
        <v>0.14323513589501158</v>
      </c>
      <c r="W795" s="824">
        <f>STDEV(L$2:L795)*SQRT(252)</f>
        <v>0.25582729145072775</v>
      </c>
      <c r="X795" s="823">
        <f t="shared" ref="X795" si="555">E795/(A795/365.25)/V795</f>
        <v>0.4416348993939519</v>
      </c>
      <c r="Y795" s="823">
        <f t="shared" ref="Y795" si="556">O795/W795</f>
        <v>0.3059428913665746</v>
      </c>
      <c r="Z795" s="829">
        <f t="shared" ref="Z795" si="557">-(E795-N795)</f>
        <v>5.0056903498435112E-2</v>
      </c>
    </row>
    <row r="796" spans="1:26" ht="20.100000000000001" customHeight="1" x14ac:dyDescent="0.2">
      <c r="A796" s="798">
        <f t="shared" ref="A796" si="558">B796-$B$2</f>
        <v>1219</v>
      </c>
      <c r="B796" s="817">
        <v>43452</v>
      </c>
      <c r="C796" s="842">
        <v>2546.16</v>
      </c>
      <c r="D796" s="814">
        <f t="shared" ref="D796" si="559">(C796-C795)/C795</f>
        <v>8.6412091408202824E-5</v>
      </c>
      <c r="E796" s="841">
        <f t="shared" ref="E796" si="560">(C796-$C$2)/$C$2</f>
        <v>0.21105001807423746</v>
      </c>
      <c r="F796" s="838">
        <v>6783.91</v>
      </c>
      <c r="G796" s="814">
        <f t="shared" ref="G796" si="561">(F796-F795)/F795</f>
        <v>4.4686417727685728E-3</v>
      </c>
      <c r="H796" s="819">
        <f t="shared" ref="H796" si="562">(F796-F$2)/F$2</f>
        <v>0.33234676041400713</v>
      </c>
      <c r="I796" s="863">
        <v>400572.75</v>
      </c>
      <c r="J796" s="822">
        <v>320000</v>
      </c>
      <c r="K796" s="822">
        <f t="shared" ref="K796" si="563">I796-I795-J796+J795</f>
        <v>-2947.9799999999814</v>
      </c>
      <c r="L796" s="814">
        <f t="shared" ref="L796" si="564">K796/I795</f>
        <v>-7.3056469738245703E-3</v>
      </c>
      <c r="M796" s="839">
        <f t="shared" ref="M796" si="565">I796-J796</f>
        <v>80572.75</v>
      </c>
      <c r="N796" s="824">
        <f t="shared" ref="N796" si="566">M796/J796</f>
        <v>0.25178984375000002</v>
      </c>
      <c r="O796" s="808">
        <f t="shared" si="537"/>
        <v>7.544400363386998E-2</v>
      </c>
      <c r="P796" s="839" t="b">
        <f t="shared" ref="P796" si="567">L796&gt;D796</f>
        <v>0</v>
      </c>
      <c r="Q796" s="824">
        <f>COUNTIF(P$2:P796, TRUE)/(COUNTIF(P$2:P796,FALSE) + COUNTIF(P$2:P796, TRUE))</f>
        <v>0.49811320754716981</v>
      </c>
      <c r="R796" s="866">
        <v>387695.17</v>
      </c>
      <c r="S796" s="868">
        <f t="shared" ref="S796" si="568">I796-R796</f>
        <v>12877.580000000016</v>
      </c>
      <c r="T796" s="822">
        <v>-33548</v>
      </c>
      <c r="U796" s="822">
        <f t="shared" ref="U796" si="569">M796-T796</f>
        <v>114120.75</v>
      </c>
      <c r="V796" s="824">
        <f>STDEV(D$2:D796)*SQRT(252)</f>
        <v>0.14314483766750083</v>
      </c>
      <c r="W796" s="824">
        <f>STDEV(L$2:L796)*SQRT(252)</f>
        <v>0.25570401974375362</v>
      </c>
      <c r="X796" s="823">
        <f t="shared" ref="X796" si="570">E796/(A796/365.25)/V796</f>
        <v>0.44177000214436546</v>
      </c>
      <c r="Y796" s="823">
        <f t="shared" ref="Y796" si="571">O796/W796</f>
        <v>0.29504426136700551</v>
      </c>
      <c r="Z796" s="829">
        <f t="shared" ref="Z796" si="572">-(E796-N796)</f>
        <v>4.0739825675762564E-2</v>
      </c>
    </row>
    <row r="797" spans="1:26" ht="20.100000000000001" customHeight="1" x14ac:dyDescent="0.2">
      <c r="A797" s="798">
        <f t="shared" ref="A797" si="573">B797-$B$2</f>
        <v>1220</v>
      </c>
      <c r="B797" s="817">
        <v>43453</v>
      </c>
      <c r="C797" s="842">
        <v>2506.96</v>
      </c>
      <c r="D797" s="814">
        <f t="shared" ref="D797" si="574">(C797-C796)/C796</f>
        <v>-1.5395733182517917E-2</v>
      </c>
      <c r="E797" s="841">
        <f t="shared" ref="E797" si="575">(C797-$C$2)/$C$2</f>
        <v>0.19240501512528299</v>
      </c>
      <c r="F797" s="838">
        <v>6636.82</v>
      </c>
      <c r="G797" s="814">
        <f t="shared" ref="G797" si="576">(F797-F796)/F796</f>
        <v>-2.1682186231833874E-2</v>
      </c>
      <c r="H797" s="819">
        <f t="shared" ref="H797" si="577">(F797-F$2)/F$2</f>
        <v>0.30345856982933006</v>
      </c>
      <c r="I797" s="863">
        <v>393811.15</v>
      </c>
      <c r="J797" s="822">
        <v>320000</v>
      </c>
      <c r="K797" s="822">
        <f t="shared" ref="K797" si="578">I797-I796-J797+J796</f>
        <v>-6761.5999999999767</v>
      </c>
      <c r="L797" s="814">
        <f t="shared" ref="L797" si="579">K797/I796</f>
        <v>-1.6879830193142136E-2</v>
      </c>
      <c r="M797" s="839">
        <f t="shared" ref="M797" si="580">I797-J797</f>
        <v>73811.150000000023</v>
      </c>
      <c r="N797" s="824">
        <f t="shared" ref="N797" si="581">M797/J797</f>
        <v>0.23065984375000007</v>
      </c>
      <c r="O797" s="808">
        <f t="shared" si="537"/>
        <v>6.9056154040727472E-2</v>
      </c>
      <c r="P797" s="839" t="b">
        <f t="shared" ref="P797" si="582">L797&gt;D797</f>
        <v>0</v>
      </c>
      <c r="Q797" s="824">
        <f>COUNTIF(P$2:P797, TRUE)/(COUNTIF(P$2:P797,FALSE) + COUNTIF(P$2:P797, TRUE))</f>
        <v>0.49748743718592964</v>
      </c>
      <c r="R797" s="866">
        <v>388696.71</v>
      </c>
      <c r="S797" s="868">
        <f t="shared" ref="S797" si="583">I797-R797</f>
        <v>5114.4400000000023</v>
      </c>
      <c r="T797" s="822">
        <v>-34078</v>
      </c>
      <c r="U797" s="822">
        <f t="shared" ref="U797" si="584">M797-T797</f>
        <v>107889.15000000002</v>
      </c>
      <c r="V797" s="824">
        <f>STDEV(D$2:D797)*SQRT(252)</f>
        <v>0.14332671673748226</v>
      </c>
      <c r="W797" s="824">
        <f>STDEV(L$2:L797)*SQRT(252)</f>
        <v>0.2557305996993815</v>
      </c>
      <c r="X797" s="823">
        <f t="shared" ref="X797" si="585">E797/(A797/365.25)/V797</f>
        <v>0.40190150222653709</v>
      </c>
      <c r="Y797" s="823">
        <f t="shared" ref="Y797" si="586">O797/W797</f>
        <v>0.27003477144270149</v>
      </c>
      <c r="Z797" s="829">
        <f t="shared" ref="Z797" si="587">-(E797-N797)</f>
        <v>3.8254828624717074E-2</v>
      </c>
    </row>
    <row r="798" spans="1:26" ht="20.100000000000001" customHeight="1" x14ac:dyDescent="0.2">
      <c r="A798" s="798">
        <f t="shared" ref="A798" si="588">B798-$B$2</f>
        <v>1221</v>
      </c>
      <c r="B798" s="817">
        <v>43454</v>
      </c>
      <c r="C798" s="842">
        <v>2467.42</v>
      </c>
      <c r="D798" s="814">
        <f t="shared" ref="D798" si="589">(C798-C797)/C797</f>
        <v>-1.5772090500047853E-2</v>
      </c>
      <c r="E798" s="841">
        <f t="shared" ref="E798" si="590">(C798-$C$2)/$C$2</f>
        <v>0.1735982953140161</v>
      </c>
      <c r="F798" s="838">
        <v>6528.4</v>
      </c>
      <c r="G798" s="814">
        <f t="shared" ref="G798" si="591">(F798-F797)/F797</f>
        <v>-1.6336136884833413E-2</v>
      </c>
      <c r="H798" s="819">
        <f t="shared" ref="H798" si="592">(F798-F$2)/F$2</f>
        <v>0.28216509220888897</v>
      </c>
      <c r="I798" s="863">
        <v>391645.45</v>
      </c>
      <c r="J798" s="822">
        <v>324000</v>
      </c>
      <c r="K798" s="822">
        <f t="shared" ref="K798" si="593">I798-I797-J798+J797</f>
        <v>-6165.7000000000116</v>
      </c>
      <c r="L798" s="814">
        <f t="shared" ref="L798" si="594">K798/I797</f>
        <v>-1.5656489157302965E-2</v>
      </c>
      <c r="M798" s="839">
        <f t="shared" ref="M798" si="595">I798-J798</f>
        <v>67645.450000000012</v>
      </c>
      <c r="N798" s="824">
        <f t="shared" ref="N798" si="596">M798/J798</f>
        <v>0.20878225308641979</v>
      </c>
      <c r="O798" s="808">
        <f t="shared" si="537"/>
        <v>6.2455133447841794E-2</v>
      </c>
      <c r="P798" s="839" t="b">
        <f t="shared" ref="P798" si="597">L798&gt;D798</f>
        <v>1</v>
      </c>
      <c r="Q798" s="824">
        <f>COUNTIF(P$2:P798, TRUE)/(COUNTIF(P$2:P798,FALSE) + COUNTIF(P$2:P798, TRUE))</f>
        <v>0.49811794228356338</v>
      </c>
      <c r="R798" s="866">
        <v>381731.15</v>
      </c>
      <c r="S798" s="868">
        <f t="shared" ref="S798" si="598">I798-R798</f>
        <v>9914.2999999999884</v>
      </c>
      <c r="T798" s="822">
        <v>-34198</v>
      </c>
      <c r="U798" s="822">
        <f t="shared" ref="U798" si="599">M798-T798</f>
        <v>101843.45000000001</v>
      </c>
      <c r="V798" s="824">
        <f>STDEV(D$2:D798)*SQRT(252)</f>
        <v>0.1435203831717361</v>
      </c>
      <c r="W798" s="824">
        <f>STDEV(L$2:L798)*SQRT(252)</f>
        <v>0.25573125260044621</v>
      </c>
      <c r="X798" s="823">
        <f t="shared" ref="X798" si="600">E798/(A798/365.25)/V798</f>
        <v>0.36183154924220068</v>
      </c>
      <c r="Y798" s="823">
        <f t="shared" ref="Y798" si="601">O798/W798</f>
        <v>0.24422174768533872</v>
      </c>
      <c r="Z798" s="829">
        <f t="shared" ref="Z798" si="602">-(E798-N798)</f>
        <v>3.5183957772403684E-2</v>
      </c>
    </row>
    <row r="799" spans="1:26" ht="20.100000000000001" customHeight="1" x14ac:dyDescent="0.2">
      <c r="A799" s="798">
        <f t="shared" ref="A799" si="603">B799-$B$2</f>
        <v>1222</v>
      </c>
      <c r="B799" s="817">
        <v>43455</v>
      </c>
      <c r="C799" s="842">
        <v>2416.62</v>
      </c>
      <c r="D799" s="814">
        <f t="shared" ref="D799" si="604">(C799-C798)/C798</f>
        <v>-2.0588306814405405E-2</v>
      </c>
      <c r="E799" s="841">
        <f t="shared" ref="E799" si="605">(C799-$C$2)/$C$2</f>
        <v>0.14943589353322798</v>
      </c>
      <c r="F799" s="838">
        <v>6332.99</v>
      </c>
      <c r="G799" s="814">
        <f t="shared" ref="G799" si="606">(F799-F798)/F798</f>
        <v>-2.9932295815207382E-2</v>
      </c>
      <c r="H799" s="819">
        <f t="shared" ref="H799" si="607">(F799-F$2)/F$2</f>
        <v>0.24378694738495985</v>
      </c>
      <c r="I799" s="863">
        <v>379670.04</v>
      </c>
      <c r="J799" s="822">
        <v>320000</v>
      </c>
      <c r="K799" s="822">
        <f t="shared" ref="K799" si="608">I799-I798-J799+J798</f>
        <v>-7975.4100000000326</v>
      </c>
      <c r="L799" s="814">
        <f t="shared" ref="L799" si="609">K799/I798</f>
        <v>-2.03638520503686E-2</v>
      </c>
      <c r="M799" s="839">
        <f t="shared" ref="M799" si="610">I799-J799</f>
        <v>59670.039999999979</v>
      </c>
      <c r="N799" s="824">
        <f t="shared" ref="N799" si="611">M799/J799</f>
        <v>0.18646887499999992</v>
      </c>
      <c r="O799" s="808">
        <f t="shared" si="537"/>
        <v>5.573466169701307E-2</v>
      </c>
      <c r="P799" s="839" t="b">
        <f t="shared" ref="P799" si="612">L799&gt;D799</f>
        <v>1</v>
      </c>
      <c r="Q799" s="824">
        <f>COUNTIF(P$2:P799, TRUE)/(COUNTIF(P$2:P799,FALSE) + COUNTIF(P$2:P799, TRUE))</f>
        <v>0.49874686716791977</v>
      </c>
      <c r="R799" s="866">
        <v>373594.77</v>
      </c>
      <c r="S799" s="868">
        <f t="shared" ref="S799" si="613">I799-R799</f>
        <v>6075.2699999999604</v>
      </c>
      <c r="T799" s="822">
        <v>-34598</v>
      </c>
      <c r="U799" s="822">
        <f t="shared" ref="U799" si="614">M799-T799</f>
        <v>94268.039999999979</v>
      </c>
      <c r="V799" s="824">
        <f>STDEV(D$2:D799)*SQRT(252)</f>
        <v>0.14390766757524359</v>
      </c>
      <c r="W799" s="824">
        <f>STDEV(L$2:L799)*SQRT(252)</f>
        <v>0.25583906651797655</v>
      </c>
      <c r="X799" s="823">
        <f t="shared" ref="X799" si="615">E799/(A799/365.25)/V799</f>
        <v>0.31037734166269837</v>
      </c>
      <c r="Y799" s="823">
        <f t="shared" ref="Y799" si="616">O799/W799</f>
        <v>0.21785047317273912</v>
      </c>
      <c r="Z799" s="829">
        <f t="shared" ref="Z799" si="617">-(E799-N799)</f>
        <v>3.7032981466771947E-2</v>
      </c>
    </row>
    <row r="800" spans="1:26" ht="20.100000000000001" customHeight="1" x14ac:dyDescent="0.2">
      <c r="A800" s="798">
        <f t="shared" ref="A800" si="618">B800-$B$2</f>
        <v>1225</v>
      </c>
      <c r="B800" s="817">
        <v>43458</v>
      </c>
      <c r="C800" s="842">
        <v>2351.1</v>
      </c>
      <c r="D800" s="814">
        <f t="shared" ref="D800" si="619">(C800-C799)/C799</f>
        <v>-2.7112247684782872E-2</v>
      </c>
      <c r="E800" s="841">
        <f t="shared" ref="E800" si="620">(C800-$C$2)/$C$2</f>
        <v>0.11827210288997539</v>
      </c>
      <c r="F800" s="838">
        <v>6192.91</v>
      </c>
      <c r="G800" s="814">
        <f t="shared" ref="G800" si="621">(F800-F799)/F799</f>
        <v>-2.2119093824559951E-2</v>
      </c>
      <c r="H800" s="819">
        <f t="shared" ref="H800" si="622">(F800-F$2)/F$2</f>
        <v>0.21627550719798891</v>
      </c>
      <c r="I800" s="863">
        <v>369856.13</v>
      </c>
      <c r="J800" s="822">
        <v>320000</v>
      </c>
      <c r="K800" s="822">
        <f t="shared" ref="K800" si="623">I800-I799-J800+J799</f>
        <v>-9813.9099999999744</v>
      </c>
      <c r="L800" s="814">
        <f t="shared" ref="L800" si="624">K800/I799</f>
        <v>-2.5848523628569625E-2</v>
      </c>
      <c r="M800" s="839">
        <f t="shared" ref="M800" si="625">I800-J800</f>
        <v>49856.130000000005</v>
      </c>
      <c r="N800" s="824">
        <f t="shared" ref="N800" si="626">M800/J800</f>
        <v>0.15580040625000002</v>
      </c>
      <c r="O800" s="808">
        <f t="shared" ref="O800" si="627">N800/(A800/365.25)</f>
        <v>4.6453957863520419E-2</v>
      </c>
      <c r="P800" s="839" t="b">
        <f t="shared" ref="P800" si="628">L800&gt;D800</f>
        <v>1</v>
      </c>
      <c r="Q800" s="824">
        <f>COUNTIF(P$2:P800, TRUE)/(COUNTIF(P$2:P800,FALSE) + COUNTIF(P$2:P800, TRUE))</f>
        <v>0.49937421777221525</v>
      </c>
      <c r="R800" s="866">
        <v>365993.41</v>
      </c>
      <c r="S800" s="868">
        <f t="shared" ref="S800" si="629">I800-R800</f>
        <v>3862.7200000000303</v>
      </c>
      <c r="T800" s="822">
        <v>-35353</v>
      </c>
      <c r="U800" s="822">
        <f t="shared" ref="U800" si="630">M800-T800</f>
        <v>85209.13</v>
      </c>
      <c r="V800" s="824">
        <f>STDEV(D$2:D800)*SQRT(252)</f>
        <v>0.14463496169790896</v>
      </c>
      <c r="W800" s="824">
        <f>STDEV(L$2:L800)*SQRT(252)</f>
        <v>0.25610524568081611</v>
      </c>
      <c r="X800" s="823">
        <f t="shared" ref="X800" si="631">E800/(A800/365.25)/V800</f>
        <v>0.24381654323628571</v>
      </c>
      <c r="Y800" s="823">
        <f t="shared" ref="Y800" si="632">O800/W800</f>
        <v>0.18138620214525389</v>
      </c>
      <c r="Z800" s="829">
        <f t="shared" ref="Z800" si="633">-(E800-N800)</f>
        <v>3.7528303360024634E-2</v>
      </c>
    </row>
    <row r="801" spans="1:26" ht="20.100000000000001" customHeight="1" x14ac:dyDescent="0.2">
      <c r="A801" s="798">
        <f t="shared" ref="A801" si="634">B801-$B$2</f>
        <v>1226</v>
      </c>
      <c r="B801" s="817">
        <v>43459</v>
      </c>
      <c r="C801" s="842">
        <v>2467.6999999999998</v>
      </c>
      <c r="D801" s="814">
        <f t="shared" ref="D801" si="635">(C801-C800)/C800</f>
        <v>4.9593807154098044E-2</v>
      </c>
      <c r="E801" s="841">
        <f t="shared" ref="E801" si="636">(C801-$C$2)/$C$2</f>
        <v>0.1737314739065085</v>
      </c>
      <c r="F801" s="838">
        <v>6554.35</v>
      </c>
      <c r="G801" s="814">
        <f t="shared" ref="G801" si="637">(F801-F800)/F800</f>
        <v>5.8363515697789976E-2</v>
      </c>
      <c r="H801" s="819">
        <f t="shared" ref="H801" si="638">(F801-F$2)/F$2</f>
        <v>0.28726162185517617</v>
      </c>
      <c r="I801" s="863">
        <v>397720.93</v>
      </c>
      <c r="J801" s="822">
        <v>330000</v>
      </c>
      <c r="K801" s="822">
        <f t="shared" ref="K801" si="639">I801-I800-J801+J800</f>
        <v>17864.799999999988</v>
      </c>
      <c r="L801" s="814">
        <f t="shared" ref="L801" si="640">K801/I800</f>
        <v>4.8302024898167803E-2</v>
      </c>
      <c r="M801" s="839">
        <f t="shared" ref="M801" si="641">I801-J801</f>
        <v>67720.929999999993</v>
      </c>
      <c r="N801" s="824">
        <f t="shared" ref="N801" si="642">M801/J801</f>
        <v>0.20521493939393937</v>
      </c>
      <c r="O801" s="808">
        <f t="shared" ref="O801" si="643">N801/(A801/365.25)</f>
        <v>6.1137648135103063E-2</v>
      </c>
      <c r="P801" s="839" t="b">
        <f t="shared" ref="P801" si="644">L801&gt;D801</f>
        <v>0</v>
      </c>
      <c r="Q801" s="824">
        <f>COUNTIF(P$2:P801, TRUE)/(COUNTIF(P$2:P801,FALSE) + COUNTIF(P$2:P801, TRUE))</f>
        <v>0.49875000000000003</v>
      </c>
      <c r="R801" s="866">
        <v>381222.18</v>
      </c>
      <c r="S801" s="868">
        <f t="shared" ref="S801" si="645">I801-R801</f>
        <v>16498.75</v>
      </c>
      <c r="T801" s="822">
        <v>-34978</v>
      </c>
      <c r="U801" s="822">
        <f t="shared" ref="U801" si="646">M801-T801</f>
        <v>102698.93</v>
      </c>
      <c r="V801" s="824">
        <f>STDEV(D$2:D801)*SQRT(252)</f>
        <v>0.1471839430636058</v>
      </c>
      <c r="W801" s="824">
        <f>STDEV(L$2:L801)*SQRT(252)</f>
        <v>0.25735367126463243</v>
      </c>
      <c r="X801" s="823">
        <f t="shared" ref="X801" si="647">E801/(A801/365.25)/V801</f>
        <v>0.35165583259536887</v>
      </c>
      <c r="Y801" s="823">
        <f t="shared" ref="Y801" si="648">O801/W801</f>
        <v>0.23756275880842692</v>
      </c>
      <c r="Z801" s="829">
        <f t="shared" ref="Z801" si="649">-(E801-N801)</f>
        <v>3.1483465487430862E-2</v>
      </c>
    </row>
    <row r="802" spans="1:26" ht="20.100000000000001" customHeight="1" x14ac:dyDescent="0.2">
      <c r="A802" s="798">
        <f t="shared" ref="A802" si="650">B802-$B$2</f>
        <v>1227</v>
      </c>
      <c r="B802" s="817">
        <v>43460</v>
      </c>
      <c r="C802" s="842">
        <v>2488.83</v>
      </c>
      <c r="D802" s="814">
        <f t="shared" ref="D802" si="651">(C802-C801)/C801</f>
        <v>8.5626291688617375E-3</v>
      </c>
      <c r="E802" s="841">
        <f t="shared" ref="E802" si="652">(C802-$C$2)/$C$2</f>
        <v>0.18378170126139146</v>
      </c>
      <c r="F802" s="838">
        <v>6579.49</v>
      </c>
      <c r="G802" s="814">
        <f t="shared" ref="G802" si="653">(F802-F801)/F801</f>
        <v>3.8356206183678652E-3</v>
      </c>
      <c r="H802" s="819">
        <f t="shared" ref="H802" si="654">(F802-F$2)/F$2</f>
        <v>0.29219906907319754</v>
      </c>
      <c r="I802" s="863">
        <v>400089.72</v>
      </c>
      <c r="J802" s="822">
        <v>330000</v>
      </c>
      <c r="K802" s="822">
        <f t="shared" ref="K802" si="655">I802-I801-J802+J801</f>
        <v>2368.789999999979</v>
      </c>
      <c r="L802" s="814">
        <f t="shared" ref="L802" si="656">K802/I801</f>
        <v>5.9559098385895334E-3</v>
      </c>
      <c r="M802" s="839">
        <f t="shared" ref="M802" si="657">I802-J802</f>
        <v>70089.719999999972</v>
      </c>
      <c r="N802" s="824">
        <f t="shared" ref="N802" si="658">M802/J802</f>
        <v>0.21239309090909084</v>
      </c>
      <c r="O802" s="808">
        <f t="shared" ref="O802" si="659">N802/(A802/365.25)</f>
        <v>6.3224593687486091E-2</v>
      </c>
      <c r="P802" s="839" t="b">
        <f t="shared" ref="P802" si="660">L802&gt;D802</f>
        <v>0</v>
      </c>
      <c r="Q802" s="824">
        <f>COUNTIF(P$2:P802, TRUE)/(COUNTIF(P$2:P802,FALSE) + COUNTIF(P$2:P802, TRUE))</f>
        <v>0.49812734082397003</v>
      </c>
      <c r="R802" s="866">
        <v>381319.2</v>
      </c>
      <c r="S802" s="868">
        <f t="shared" ref="S802" si="661">I802-R802</f>
        <v>18770.51999999996</v>
      </c>
      <c r="T802" s="822">
        <v>-34743</v>
      </c>
      <c r="U802" s="822">
        <f t="shared" ref="U802" si="662">M802-T802</f>
        <v>104832.71999999997</v>
      </c>
      <c r="V802" s="824">
        <f>STDEV(D$2:D802)*SQRT(252)</f>
        <v>0.14716589634566396</v>
      </c>
      <c r="W802" s="824">
        <f>STDEV(L$2:L802)*SQRT(252)</f>
        <v>0.25721095976864045</v>
      </c>
      <c r="X802" s="823">
        <f t="shared" ref="X802" si="663">E802/(A802/365.25)/V802</f>
        <v>0.37174124525222235</v>
      </c>
      <c r="Y802" s="823">
        <f t="shared" ref="Y802" si="664">O802/W802</f>
        <v>0.24580831914921586</v>
      </c>
      <c r="Z802" s="829">
        <f t="shared" ref="Z802" si="665">-(E802-N802)</f>
        <v>2.8611389647699381E-2</v>
      </c>
    </row>
    <row r="803" spans="1:26" ht="20.100000000000001" customHeight="1" x14ac:dyDescent="0.2">
      <c r="A803" s="798">
        <f t="shared" ref="A803" si="666">B803-$B$2</f>
        <v>1228</v>
      </c>
      <c r="B803" s="817">
        <v>43461</v>
      </c>
      <c r="C803" s="842">
        <v>2485.7399999999998</v>
      </c>
      <c r="D803" s="814">
        <f t="shared" ref="D803" si="667">(C803-C802)/C802</f>
        <v>-1.2415472330372687E-3</v>
      </c>
      <c r="E803" s="841">
        <f t="shared" ref="E803" si="668">(C803-$C$2)/$C$2</f>
        <v>0.18231198036567023</v>
      </c>
      <c r="F803" s="838">
        <v>6584.52</v>
      </c>
      <c r="G803" s="814">
        <f t="shared" ref="G803" si="669">(F803-F802)/F802</f>
        <v>7.6449694429213432E-4</v>
      </c>
      <c r="H803" s="819">
        <f t="shared" ref="H803" si="670">(F803-F$2)/F$2</f>
        <v>0.29318695131292116</v>
      </c>
      <c r="I803" s="863">
        <v>399683.68</v>
      </c>
      <c r="J803" s="822">
        <v>330000</v>
      </c>
      <c r="K803" s="822">
        <f t="shared" ref="K803" si="671">I803-I802-J803+J802</f>
        <v>-406.03999999997905</v>
      </c>
      <c r="L803" s="814">
        <f t="shared" ref="L803" si="672">K803/I802</f>
        <v>-1.0148723641286736E-3</v>
      </c>
      <c r="M803" s="839">
        <f t="shared" ref="M803" si="673">I803-J803</f>
        <v>69683.679999999993</v>
      </c>
      <c r="N803" s="824">
        <f t="shared" ref="N803" si="674">M803/J803</f>
        <v>0.21116266666666664</v>
      </c>
      <c r="O803" s="808">
        <f t="shared" ref="O803" si="675">N803/(A803/365.25)</f>
        <v>6.280713680781759E-2</v>
      </c>
      <c r="P803" s="839" t="b">
        <f t="shared" ref="P803" si="676">L803&gt;D803</f>
        <v>1</v>
      </c>
      <c r="Q803" s="824">
        <f>COUNTIF(P$2:P803, TRUE)/(COUNTIF(P$2:P803,FALSE) + COUNTIF(P$2:P803, TRUE))</f>
        <v>0.49875311720698257</v>
      </c>
      <c r="R803" s="866">
        <v>377532.65</v>
      </c>
      <c r="S803" s="868">
        <f t="shared" ref="S803" si="677">I803-R803</f>
        <v>22151.02999999997</v>
      </c>
      <c r="T803" s="822">
        <v>-34838</v>
      </c>
      <c r="U803" s="822">
        <f t="shared" ref="U803" si="678">M803-T803</f>
        <v>104521.68</v>
      </c>
      <c r="V803" s="824">
        <f>STDEV(D$2:D803)*SQRT(252)</f>
        <v>0.14707628063753114</v>
      </c>
      <c r="W803" s="824">
        <f>STDEV(L$2:L803)*SQRT(252)</f>
        <v>0.25705152605780235</v>
      </c>
      <c r="X803" s="823">
        <f t="shared" ref="X803" si="679">E803/(A803/365.25)/V803</f>
        <v>0.36869260578086188</v>
      </c>
      <c r="Y803" s="823">
        <f t="shared" ref="Y803" si="680">O803/W803</f>
        <v>0.2443367591355764</v>
      </c>
      <c r="Z803" s="829">
        <f t="shared" ref="Z803" si="681">-(E803-N803)</f>
        <v>2.8850686300996409E-2</v>
      </c>
    </row>
    <row r="804" spans="1:26" ht="20.100000000000001" customHeight="1" x14ac:dyDescent="0.2">
      <c r="A804" s="798">
        <f t="shared" ref="A804" si="682">B804-$B$2</f>
        <v>1232</v>
      </c>
      <c r="B804" s="817">
        <v>43465</v>
      </c>
      <c r="C804" s="842">
        <v>2506.85</v>
      </c>
      <c r="D804" s="814">
        <f t="shared" ref="D804" si="683">(C804-C803)/C803</f>
        <v>8.4924408827955176E-3</v>
      </c>
      <c r="E804" s="841">
        <f t="shared" ref="E804" si="684">(C804-$C$2)/$C$2</f>
        <v>0.19235269496394658</v>
      </c>
      <c r="F804" s="838">
        <v>6635.27</v>
      </c>
      <c r="G804" s="814">
        <f t="shared" ref="G804" si="685">(F804-F803)/F803</f>
        <v>7.7074714633716653E-3</v>
      </c>
      <c r="H804" s="819">
        <f t="shared" ref="H804" si="686">(F804-F$2)/F$2</f>
        <v>0.30315415283697011</v>
      </c>
      <c r="I804" s="867">
        <v>401403.32</v>
      </c>
      <c r="J804" s="822">
        <v>330000</v>
      </c>
      <c r="K804" s="822">
        <f t="shared" ref="K804" si="687">I804-I803-J804+J803</f>
        <v>1719.640000000014</v>
      </c>
      <c r="L804" s="814">
        <f t="shared" ref="L804" si="688">K804/I803</f>
        <v>4.302502418912911E-3</v>
      </c>
      <c r="M804" s="845">
        <f t="shared" ref="M804" si="689">I804-J804</f>
        <v>71403.320000000007</v>
      </c>
      <c r="N804" s="824">
        <f t="shared" ref="N804" si="690">M804/J804</f>
        <v>0.21637369696969699</v>
      </c>
      <c r="O804" s="808">
        <f t="shared" ref="O804" si="691">N804/(A804/365.25)</f>
        <v>6.4148127287485243E-2</v>
      </c>
      <c r="P804" s="839" t="b">
        <f t="shared" ref="P804" si="692">L804&gt;D804</f>
        <v>0</v>
      </c>
      <c r="Q804" s="824">
        <f>COUNTIF(P$2:P804, TRUE)/(COUNTIF(P$2:P804,FALSE) + COUNTIF(P$2:P804, TRUE))</f>
        <v>0.49813200498132004</v>
      </c>
      <c r="R804" s="866">
        <v>379185.39</v>
      </c>
      <c r="S804" s="868">
        <f t="shared" ref="S804" si="693">I804-R804</f>
        <v>22217.929999999993</v>
      </c>
      <c r="T804" s="822">
        <v>-35103</v>
      </c>
      <c r="U804" s="822">
        <f t="shared" ref="U804" si="694">M804-T804</f>
        <v>106506.32</v>
      </c>
      <c r="V804" s="824">
        <f>STDEV(D$2:D804)*SQRT(252)</f>
        <v>0.14705700784721867</v>
      </c>
      <c r="W804" s="824">
        <f>STDEV(L$2:L804)*SQRT(252)</f>
        <v>0.25689994881657369</v>
      </c>
      <c r="X804" s="823">
        <f t="shared" ref="X804" si="695">E804/(A804/365.25)/V804</f>
        <v>0.38778594733517285</v>
      </c>
      <c r="Y804" s="823">
        <f t="shared" ref="Y804" si="696">O804/W804</f>
        <v>0.24970081770349803</v>
      </c>
      <c r="Z804" s="829">
        <f t="shared" ref="Z804" si="697">-(E804-N804)</f>
        <v>2.4021002005750414E-2</v>
      </c>
    </row>
    <row r="805" spans="1:26" ht="20.100000000000001" customHeight="1" x14ac:dyDescent="0.2">
      <c r="A805" s="798">
        <f t="shared" ref="A805" si="698">B805-$B$2</f>
        <v>1234</v>
      </c>
      <c r="B805" s="817">
        <v>43467</v>
      </c>
      <c r="C805" s="842">
        <v>2510.0300000000002</v>
      </c>
      <c r="D805" s="814">
        <f t="shared" ref="D805" si="699">(C805-C804)/C804</f>
        <v>1.2685242435727271E-3</v>
      </c>
      <c r="E805" s="841">
        <f t="shared" ref="E805" si="700">(C805-$C$2)/$C$2</f>
        <v>0.19386522326439762</v>
      </c>
      <c r="F805" s="838">
        <v>6665.93</v>
      </c>
      <c r="G805" s="814">
        <f t="shared" ref="G805" si="701">(F805-F804)/F804</f>
        <v>4.6207614761720099E-3</v>
      </c>
      <c r="H805" s="819">
        <f t="shared" ref="H805" si="702">(F805-F$2)/F$2</f>
        <v>0.30917571734391275</v>
      </c>
      <c r="I805" s="863">
        <v>406235.48</v>
      </c>
      <c r="J805" s="822">
        <v>330000</v>
      </c>
      <c r="K805" s="822">
        <f t="shared" ref="K805" si="703">I805-I804-J805+J804</f>
        <v>4832.1599999999744</v>
      </c>
      <c r="L805" s="814">
        <f t="shared" ref="L805" si="704">K805/I804</f>
        <v>1.203816650046635E-2</v>
      </c>
      <c r="M805" s="839">
        <f t="shared" ref="M805" si="705">I805-J805</f>
        <v>76235.479999999981</v>
      </c>
      <c r="N805" s="824">
        <f t="shared" ref="N805" si="706">M805/J805</f>
        <v>0.23101660606060601</v>
      </c>
      <c r="O805" s="808">
        <f t="shared" ref="O805" si="707">N805/(A805/365.25)</f>
        <v>6.8378294459997033E-2</v>
      </c>
      <c r="P805" s="839" t="b">
        <f t="shared" ref="P805" si="708">L805&gt;D805</f>
        <v>1</v>
      </c>
      <c r="Q805" s="824">
        <f>COUNTIF(P$2:P805, TRUE)/(COUNTIF(P$2:P805,FALSE) + COUNTIF(P$2:P805, TRUE))</f>
        <v>0.49875621890547261</v>
      </c>
      <c r="R805" s="866">
        <v>374861.96</v>
      </c>
      <c r="S805" s="868">
        <f t="shared" ref="S805" si="709">I805-R805</f>
        <v>31373.51999999996</v>
      </c>
      <c r="T805" s="822">
        <v>-34953</v>
      </c>
      <c r="U805" s="822">
        <f t="shared" ref="U805" si="710">M805-T805</f>
        <v>111188.47999999998</v>
      </c>
      <c r="V805" s="824">
        <f>STDEV(D$2:D805)*SQRT(252)</f>
        <v>0.14696637891454736</v>
      </c>
      <c r="W805" s="824">
        <f>STDEV(L$2:L805)*SQRT(252)</f>
        <v>0.25682128433122575</v>
      </c>
      <c r="X805" s="823">
        <f t="shared" ref="X805" si="711">E805/(A805/365.25)/V805</f>
        <v>0.39044240639724992</v>
      </c>
      <c r="Y805" s="823">
        <f t="shared" ref="Y805" si="712">O805/W805</f>
        <v>0.26624854960155347</v>
      </c>
      <c r="Z805" s="829">
        <f t="shared" ref="Z805" si="713">-(E805-N805)</f>
        <v>3.7151382796208388E-2</v>
      </c>
    </row>
    <row r="806" spans="1:26" ht="20.100000000000001" customHeight="1" x14ac:dyDescent="0.2">
      <c r="A806" s="798">
        <f t="shared" ref="A806" si="714">B806-$B$2</f>
        <v>1235</v>
      </c>
      <c r="B806" s="817">
        <v>43468</v>
      </c>
      <c r="C806" s="842">
        <v>2447.89</v>
      </c>
      <c r="D806" s="814">
        <f t="shared" ref="D806" si="715">(C806-C805)/C805</f>
        <v>-2.4756676215025447E-2</v>
      </c>
      <c r="E806" s="841">
        <f t="shared" ref="E806" si="716">(C806-$C$2)/$C$2</f>
        <v>0.16430908848766188</v>
      </c>
      <c r="F806" s="838">
        <v>6463.6</v>
      </c>
      <c r="G806" s="814">
        <f t="shared" ref="G806" si="717">(F806-F805)/F805</f>
        <v>-3.0352853990365924E-2</v>
      </c>
      <c r="H806" s="819">
        <f t="shared" ref="H806" si="718">(F806-F$2)/F$2</f>
        <v>0.26943849794764041</v>
      </c>
      <c r="I806" s="863">
        <v>401859.19</v>
      </c>
      <c r="J806" s="822">
        <v>330000</v>
      </c>
      <c r="K806" s="822">
        <f t="shared" ref="K806" si="719">I806-I805-J806+J805</f>
        <v>-4376.289999999979</v>
      </c>
      <c r="L806" s="814">
        <f t="shared" ref="L806" si="720">K806/I805</f>
        <v>-1.0772791189976757E-2</v>
      </c>
      <c r="M806" s="839">
        <f t="shared" ref="M806" si="721">I806-J806</f>
        <v>71859.19</v>
      </c>
      <c r="N806" s="824">
        <f t="shared" ref="N806" si="722">M806/J806</f>
        <v>0.21775512121212121</v>
      </c>
      <c r="O806" s="808">
        <f t="shared" ref="O806" si="723">N806/(A806/365.25)</f>
        <v>6.4400856698564587E-2</v>
      </c>
      <c r="P806" s="839" t="b">
        <f t="shared" ref="P806" si="724">L806&gt;D806</f>
        <v>1</v>
      </c>
      <c r="Q806" s="824">
        <f>COUNTIF(P$2:P806, TRUE)/(COUNTIF(P$2:P806,FALSE) + COUNTIF(P$2:P806, TRUE))</f>
        <v>0.49937888198757763</v>
      </c>
      <c r="R806" s="866">
        <v>375753.79</v>
      </c>
      <c r="S806" s="868">
        <f t="shared" ref="S806" si="725">I806-R806</f>
        <v>26105.400000000023</v>
      </c>
      <c r="T806" s="822">
        <v>-34968</v>
      </c>
      <c r="U806" s="822">
        <f t="shared" ref="U806" si="726">M806-T806</f>
        <v>106827.19</v>
      </c>
      <c r="V806" s="824">
        <f>STDEV(D$2:D806)*SQRT(252)</f>
        <v>0.14754128427348881</v>
      </c>
      <c r="W806" s="824">
        <f>STDEV(L$2:L806)*SQRT(252)</f>
        <v>0.25673890812985084</v>
      </c>
      <c r="X806" s="823">
        <f t="shared" ref="X806" si="727">E806/(A806/365.25)/V806</f>
        <v>0.32936033365010031</v>
      </c>
      <c r="Y806" s="823">
        <f t="shared" ref="Y806" si="728">O806/W806</f>
        <v>0.25084182669341482</v>
      </c>
      <c r="Z806" s="829">
        <f t="shared" ref="Z806" si="729">-(E806-N806)</f>
        <v>5.344603272445933E-2</v>
      </c>
    </row>
    <row r="807" spans="1:26" ht="20.100000000000001" customHeight="1" x14ac:dyDescent="0.2">
      <c r="A807" s="798">
        <f t="shared" ref="A807" si="730">B807-$B$2</f>
        <v>1236</v>
      </c>
      <c r="B807" s="817">
        <v>43469</v>
      </c>
      <c r="C807" s="842">
        <v>2531.94</v>
      </c>
      <c r="D807" s="814">
        <f t="shared" ref="D807" si="731">(C807-C806)/C806</f>
        <v>3.4335693188828002E-2</v>
      </c>
      <c r="E807" s="841">
        <f t="shared" ref="E807" si="732">(C807-$C$2)/$C$2</f>
        <v>0.20428644812693822</v>
      </c>
      <c r="F807" s="838">
        <v>6738.85</v>
      </c>
      <c r="G807" s="814">
        <f t="shared" ref="G807" si="733">(F807-F806)/F806</f>
        <v>4.2584627761618907E-2</v>
      </c>
      <c r="H807" s="819">
        <f t="shared" ref="H807" si="734">(F807-F$2)/F$2</f>
        <v>0.32349706384900928</v>
      </c>
      <c r="I807" s="863">
        <v>405483.08</v>
      </c>
      <c r="J807" s="822">
        <v>320000</v>
      </c>
      <c r="K807" s="822">
        <f t="shared" ref="K807" si="735">I807-I806-J807+J806</f>
        <v>13623.890000000014</v>
      </c>
      <c r="L807" s="814">
        <f t="shared" ref="L807" si="736">K807/I806</f>
        <v>3.3902148660579376E-2</v>
      </c>
      <c r="M807" s="839">
        <f t="shared" ref="M807" si="737">I807-J807</f>
        <v>85483.080000000016</v>
      </c>
      <c r="N807" s="824">
        <f t="shared" ref="N807" si="738">M807/J807</f>
        <v>0.26713462500000007</v>
      </c>
      <c r="O807" s="808">
        <f t="shared" ref="O807" si="739">N807/(A807/365.25)</f>
        <v>7.8940875227548571E-2</v>
      </c>
      <c r="P807" s="839" t="b">
        <f t="shared" ref="P807" si="740">L807&gt;D807</f>
        <v>0</v>
      </c>
      <c r="Q807" s="824">
        <f>COUNTIF(P$2:P807, TRUE)/(COUNTIF(P$2:P807,FALSE) + COUNTIF(P$2:P807, TRUE))</f>
        <v>0.4987593052109181</v>
      </c>
      <c r="R807" s="866">
        <v>377879.33</v>
      </c>
      <c r="S807" s="868">
        <f t="shared" ref="S807" si="741">I807-R807</f>
        <v>27603.75</v>
      </c>
      <c r="T807" s="822">
        <v>-34378</v>
      </c>
      <c r="U807" s="822">
        <f t="shared" ref="U807" si="742">M807-T807</f>
        <v>119861.08000000002</v>
      </c>
      <c r="V807" s="824">
        <f>STDEV(D$2:D807)*SQRT(252)</f>
        <v>0.14867896934148553</v>
      </c>
      <c r="W807" s="824">
        <f>STDEV(L$2:L807)*SQRT(252)</f>
        <v>0.25725945989975946</v>
      </c>
      <c r="X807" s="823">
        <f t="shared" ref="X807" si="743">E807/(A807/365.25)/V807</f>
        <v>0.40603340911268865</v>
      </c>
      <c r="Y807" s="823">
        <f t="shared" ref="Y807" si="744">O807/W807</f>
        <v>0.30685314840631206</v>
      </c>
      <c r="Z807" s="829">
        <f t="shared" ref="Z807" si="745">-(E807-N807)</f>
        <v>6.2848176873061851E-2</v>
      </c>
    </row>
    <row r="808" spans="1:26" ht="20.100000000000001" customHeight="1" x14ac:dyDescent="0.2">
      <c r="A808" s="798">
        <f t="shared" ref="A808" si="746">B808-$B$2</f>
        <v>1239</v>
      </c>
      <c r="B808" s="817">
        <v>43472</v>
      </c>
      <c r="C808" s="842">
        <v>2549.69</v>
      </c>
      <c r="D808" s="814">
        <f t="shared" ref="D808" si="747">(C808-C807)/C807</f>
        <v>7.0104346864459663E-3</v>
      </c>
      <c r="E808" s="841">
        <f t="shared" ref="E808" si="748">(C808-$C$2)/$C$2</f>
        <v>0.2127290196153041</v>
      </c>
      <c r="F808" s="838">
        <v>6823.47</v>
      </c>
      <c r="G808" s="814">
        <f t="shared" ref="G808" si="749">(F808-F807)/F807</f>
        <v>1.2557038663866963E-2</v>
      </c>
      <c r="H808" s="819">
        <f t="shared" ref="H808" si="750">(F808-F$2)/F$2</f>
        <v>0.34011626765127573</v>
      </c>
      <c r="I808" s="863">
        <v>390817.23</v>
      </c>
      <c r="J808" s="822">
        <v>300000</v>
      </c>
      <c r="K808" s="822">
        <f t="shared" ref="K808" si="751">I808-I807-J808+J807</f>
        <v>5334.1499999999651</v>
      </c>
      <c r="L808" s="814">
        <f t="shared" ref="L808" si="752">K808/I807</f>
        <v>1.3155049527590558E-2</v>
      </c>
      <c r="M808" s="839">
        <f t="shared" ref="M808" si="753">I808-J808</f>
        <v>90817.229999999981</v>
      </c>
      <c r="N808" s="824">
        <f t="shared" ref="N808" si="754">M808/J808</f>
        <v>0.30272409999999994</v>
      </c>
      <c r="O808" s="808">
        <f t="shared" ref="O808" si="755">N808/(A808/365.25)</f>
        <v>8.9241305508474561E-2</v>
      </c>
      <c r="P808" s="839" t="b">
        <f t="shared" ref="P808" si="756">L808&gt;D808</f>
        <v>1</v>
      </c>
      <c r="Q808" s="824">
        <f>COUNTIF(P$2:P808, TRUE)/(COUNTIF(P$2:P808,FALSE) + COUNTIF(P$2:P808, TRUE))</f>
        <v>0.49938042131350679</v>
      </c>
      <c r="R808" s="866">
        <v>366904.7</v>
      </c>
      <c r="S808" s="868">
        <f t="shared" ref="S808" si="757">I808-R808</f>
        <v>23912.52999999997</v>
      </c>
      <c r="T808" s="822">
        <v>-33958</v>
      </c>
      <c r="U808" s="822">
        <f t="shared" ref="U808" si="758">M808-T808</f>
        <v>124775.22999999998</v>
      </c>
      <c r="V808" s="824">
        <f>STDEV(D$2:D808)*SQRT(252)</f>
        <v>0.14863431874319047</v>
      </c>
      <c r="W808" s="824">
        <f>STDEV(L$2:L808)*SQRT(252)</f>
        <v>0.25719655134931968</v>
      </c>
      <c r="X808" s="823">
        <f t="shared" ref="X808" si="759">E808/(A808/365.25)/V808</f>
        <v>0.42191654871612233</v>
      </c>
      <c r="Y808" s="823">
        <f t="shared" ref="Y808" si="760">O808/W808</f>
        <v>0.34697706886150526</v>
      </c>
      <c r="Z808" s="829">
        <f t="shared" ref="Z808" si="761">-(E808-N808)</f>
        <v>8.9995080384695836E-2</v>
      </c>
    </row>
    <row r="809" spans="1:26" ht="20.100000000000001" customHeight="1" x14ac:dyDescent="0.2">
      <c r="A809" s="798">
        <f t="shared" ref="A809" si="762">B809-$B$2</f>
        <v>1240</v>
      </c>
      <c r="B809" s="817">
        <v>43473</v>
      </c>
      <c r="C809" s="842">
        <v>2574.41</v>
      </c>
      <c r="D809" s="814">
        <f t="shared" ref="D809" si="763">(C809-C808)/C808</f>
        <v>9.695296290921562E-3</v>
      </c>
      <c r="E809" s="841">
        <f t="shared" ref="E809" si="764">(C809-$C$2)/$C$2</f>
        <v>0.22448678678107331</v>
      </c>
      <c r="F809" s="838">
        <v>6896.99</v>
      </c>
      <c r="G809" s="814">
        <f t="shared" ref="G809" si="765">(F809-F808)/F808</f>
        <v>1.0774576571744219E-2</v>
      </c>
      <c r="H809" s="819">
        <f t="shared" ref="H809" si="766">(F809-F$2)/F$2</f>
        <v>0.35455545299212443</v>
      </c>
      <c r="I809" s="863">
        <v>393176.44</v>
      </c>
      <c r="J809" s="822">
        <v>300000</v>
      </c>
      <c r="K809" s="822">
        <f t="shared" ref="K809" si="767">I809-I808-J809+J808</f>
        <v>2359.210000000021</v>
      </c>
      <c r="L809" s="814">
        <f t="shared" ref="L809" si="768">K809/I808</f>
        <v>6.0366069326063775E-3</v>
      </c>
      <c r="M809" s="839">
        <f t="shared" ref="M809" si="769">I809-J809</f>
        <v>93176.44</v>
      </c>
      <c r="N809" s="824">
        <f t="shared" ref="N809" si="770">M809/J809</f>
        <v>0.31058813333333335</v>
      </c>
      <c r="O809" s="808">
        <f t="shared" ref="O809" si="771">N809/(A809/365.25)</f>
        <v>9.1485738467741939E-2</v>
      </c>
      <c r="P809" s="839" t="b">
        <f t="shared" ref="P809" si="772">L809&gt;D809</f>
        <v>0</v>
      </c>
      <c r="Q809" s="824">
        <f>COUNTIF(P$2:P809, TRUE)/(COUNTIF(P$2:P809,FALSE) + COUNTIF(P$2:P809, TRUE))</f>
        <v>0.49876237623762376</v>
      </c>
      <c r="R809" s="866">
        <v>359151.44</v>
      </c>
      <c r="S809" s="868">
        <f t="shared" ref="S809" si="773">I809-R809</f>
        <v>34025</v>
      </c>
      <c r="T809" s="822">
        <v>-33938</v>
      </c>
      <c r="U809" s="822">
        <f t="shared" ref="U809" si="774">M809-T809</f>
        <v>127114.44</v>
      </c>
      <c r="V809" s="824">
        <f>STDEV(D$2:D809)*SQRT(252)</f>
        <v>0.14863517283995908</v>
      </c>
      <c r="W809" s="824">
        <f>STDEV(L$2:L809)*SQRT(252)</f>
        <v>0.25705527784328136</v>
      </c>
      <c r="X809" s="823">
        <f t="shared" ref="X809" si="775">E809/(A809/365.25)/V809</f>
        <v>0.44487472302005865</v>
      </c>
      <c r="Y809" s="823">
        <f t="shared" ref="Y809" si="776">O809/W809</f>
        <v>0.35589908612387239</v>
      </c>
      <c r="Z809" s="829">
        <f t="shared" ref="Z809" si="777">-(E809-N809)</f>
        <v>8.6101346552260039E-2</v>
      </c>
    </row>
    <row r="810" spans="1:26" ht="20.100000000000001" customHeight="1" x14ac:dyDescent="0.2">
      <c r="A810" s="798">
        <f t="shared" ref="A810" si="778">B810-$B$2</f>
        <v>1241</v>
      </c>
      <c r="B810" s="817">
        <v>43474</v>
      </c>
      <c r="C810" s="842">
        <v>2584.96</v>
      </c>
      <c r="D810" s="814">
        <f t="shared" ref="D810" si="779">(C810-C809)/C809</f>
        <v>4.0980263439002263E-3</v>
      </c>
      <c r="E810" s="841">
        <f t="shared" ref="E810" si="780">(C810-$C$2)/$C$2</f>
        <v>0.22950476589105989</v>
      </c>
      <c r="F810" s="838">
        <v>6957.07</v>
      </c>
      <c r="G810" s="814">
        <f t="shared" ref="G810" si="781">(F810-F809)/F809</f>
        <v>8.7110464130004429E-3</v>
      </c>
      <c r="H810" s="819">
        <f t="shared" ref="H810" si="782">(F810-F$2)/F$2</f>
        <v>0.36635504841212169</v>
      </c>
      <c r="I810" s="863">
        <v>395249.1</v>
      </c>
      <c r="J810" s="822">
        <v>300000</v>
      </c>
      <c r="K810" s="822">
        <f t="shared" ref="K810" si="783">I810-I809-J810+J809</f>
        <v>2072.6599999999744</v>
      </c>
      <c r="L810" s="814">
        <f t="shared" ref="L810" si="784">K810/I809</f>
        <v>5.2715773101765055E-3</v>
      </c>
      <c r="M810" s="839">
        <f t="shared" ref="M810" si="785">I810-J810</f>
        <v>95249.099999999977</v>
      </c>
      <c r="N810" s="824">
        <f t="shared" ref="N810" si="786">M810/J810</f>
        <v>0.31749699999999992</v>
      </c>
      <c r="O810" s="808">
        <f>N810/(A810/365.25)</f>
        <v>9.3445430499597082E-2</v>
      </c>
      <c r="P810" s="839" t="b">
        <f t="shared" ref="P810" si="787">L810&gt;D810</f>
        <v>1</v>
      </c>
      <c r="Q810" s="824">
        <f>COUNTIF(P$2:P810, TRUE)/(COUNTIF(P$2:P810,FALSE) + COUNTIF(P$2:P810, TRUE))</f>
        <v>0.49938195302843014</v>
      </c>
      <c r="R810" s="866">
        <v>362133.57</v>
      </c>
      <c r="S810" s="868">
        <f t="shared" ref="S810" si="788">I810-R810</f>
        <v>33115.52999999997</v>
      </c>
      <c r="T810" s="822">
        <v>-34058</v>
      </c>
      <c r="U810" s="822">
        <f t="shared" ref="U810" si="789">M810-T810</f>
        <v>129307.09999999998</v>
      </c>
      <c r="V810" s="824">
        <f>STDEV(D$2:D810)*SQRT(252)</f>
        <v>0.14855823737622129</v>
      </c>
      <c r="W810" s="824">
        <f>STDEV(L$2:L810)*SQRT(252)</f>
        <v>0.25690949190835705</v>
      </c>
      <c r="X810" s="823">
        <f t="shared" ref="X810" si="790">E810/(A810/365.25)/V810</f>
        <v>0.45468791742866871</v>
      </c>
      <c r="Y810" s="823">
        <f t="shared" ref="Y810" si="791">O810/W810</f>
        <v>0.36372899189310715</v>
      </c>
      <c r="Z810" s="829">
        <f t="shared" ref="Z810" si="792">-(E810-N810)</f>
        <v>8.7992234108940026E-2</v>
      </c>
    </row>
    <row r="811" spans="1:26" ht="20.100000000000001" customHeight="1" x14ac:dyDescent="0.2">
      <c r="A811" s="798">
        <f t="shared" ref="A811:A812" si="793">B811-$B$2</f>
        <v>1242</v>
      </c>
      <c r="B811" s="817">
        <v>43475</v>
      </c>
      <c r="C811" s="842">
        <v>2596.64</v>
      </c>
      <c r="D811" s="814">
        <f t="shared" ref="D811" si="794">(C811-C810)/C810</f>
        <v>4.5184451596929302E-3</v>
      </c>
      <c r="E811" s="841">
        <f t="shared" ref="E811" si="795">(C811-$C$2)/$C$2</f>
        <v>0.23506021574931973</v>
      </c>
      <c r="F811" s="838">
        <v>6989.06</v>
      </c>
      <c r="G811" s="814">
        <f t="shared" ref="G811" si="796">(F811-F810)/F810</f>
        <v>4.5982001043543752E-3</v>
      </c>
      <c r="H811" s="819">
        <f t="shared" ref="H811" si="797">(F811-F$2)/F$2</f>
        <v>0.37263782233831544</v>
      </c>
      <c r="I811" s="863">
        <v>398388.83</v>
      </c>
      <c r="J811" s="822">
        <v>300000</v>
      </c>
      <c r="K811" s="822">
        <f t="shared" ref="K811" si="798">I811-I810-J811+J810</f>
        <v>3139.7300000000396</v>
      </c>
      <c r="L811" s="814">
        <f t="shared" ref="L811" si="799">K811/I810</f>
        <v>7.9436740020408392E-3</v>
      </c>
      <c r="M811" s="839">
        <f t="shared" ref="M811" si="800">I811-J811</f>
        <v>98388.830000000016</v>
      </c>
      <c r="N811" s="824">
        <f t="shared" ref="N811" si="801">M811/J811</f>
        <v>0.32796276666666674</v>
      </c>
      <c r="O811" s="808">
        <f t="shared" ref="O811" si="802">N811/(A811/365.25)</f>
        <v>9.6447987540257671E-2</v>
      </c>
      <c r="P811" s="839" t="b">
        <f t="shared" ref="P811" si="803">L811&gt;D811</f>
        <v>1</v>
      </c>
      <c r="Q811" s="824">
        <f>COUNTIF(P$2:P811, TRUE)/(COUNTIF(P$2:P811,FALSE) + COUNTIF(P$2:P811, TRUE))</f>
        <v>0.5</v>
      </c>
      <c r="R811" s="866">
        <v>361794.34</v>
      </c>
      <c r="S811" s="868">
        <f t="shared" ref="S811" si="804">I811-R811</f>
        <v>36594.489999999991</v>
      </c>
      <c r="T811" s="822">
        <v>-33823</v>
      </c>
      <c r="U811" s="822">
        <f t="shared" ref="U811" si="805">M811-T811</f>
        <v>132211.83000000002</v>
      </c>
      <c r="V811" s="824">
        <f>STDEV(D$2:D811)*SQRT(252)</f>
        <v>0.14848495074372062</v>
      </c>
      <c r="W811" s="824">
        <f>STDEV(L$2:L811)*SQRT(252)</f>
        <v>0.25678356661731394</v>
      </c>
      <c r="X811" s="823">
        <f t="shared" ref="X811" si="806">E811/(A811/365.25)/V811</f>
        <v>0.46554891621153965</v>
      </c>
      <c r="Y811" s="823">
        <f t="shared" ref="Y811" si="807">O811/W811</f>
        <v>0.37560031123017568</v>
      </c>
      <c r="Z811" s="829">
        <f t="shared" ref="Z811:Z816" si="808">-(E811-N811)</f>
        <v>9.2902550917347004E-2</v>
      </c>
    </row>
    <row r="812" spans="1:26" ht="20.100000000000001" customHeight="1" x14ac:dyDescent="0.2">
      <c r="A812" s="798">
        <f t="shared" si="793"/>
        <v>1243</v>
      </c>
      <c r="B812" s="817">
        <v>43476</v>
      </c>
      <c r="C812" s="842">
        <v>2596.2600000000002</v>
      </c>
      <c r="D812" s="814">
        <f t="shared" ref="D812" si="809">(C812-C811)/C811</f>
        <v>-1.463429662947711E-4</v>
      </c>
      <c r="E812" s="841">
        <f t="shared" ref="E812" si="810">(C812-$C$2)/$C$2</f>
        <v>0.23487947337379433</v>
      </c>
      <c r="F812" s="838">
        <v>6971.47</v>
      </c>
      <c r="G812" s="814">
        <f t="shared" ref="G812" si="811">(F812-F811)/F811</f>
        <v>-2.5167905269092186E-3</v>
      </c>
      <c r="H812" s="819">
        <f t="shared" ref="H812" si="812">(F812-F$2)/F$2</f>
        <v>0.36918318047017706</v>
      </c>
      <c r="I812" s="863">
        <v>398679.45</v>
      </c>
      <c r="J812" s="822">
        <v>300000</v>
      </c>
      <c r="K812" s="822">
        <f t="shared" ref="K812" si="813">I812-I811-J812+J811</f>
        <v>290.61999999999534</v>
      </c>
      <c r="L812" s="814">
        <f t="shared" ref="L812" si="814">K812/I811</f>
        <v>7.294883242584772E-4</v>
      </c>
      <c r="M812" s="839">
        <f t="shared" ref="M812" si="815">I812-J812</f>
        <v>98679.450000000012</v>
      </c>
      <c r="N812" s="824">
        <f t="shared" ref="N812" si="816">M812/J812</f>
        <v>0.32893150000000004</v>
      </c>
      <c r="O812" s="808">
        <f t="shared" ref="O812:O817" si="817">N812/(A812/365.25)</f>
        <v>9.6655052594529375E-2</v>
      </c>
      <c r="P812" s="839" t="b">
        <f t="shared" ref="P812" si="818">L812&gt;D812</f>
        <v>1</v>
      </c>
      <c r="Q812" s="824">
        <f>COUNTIF(P$2:P812, TRUE)/(COUNTIF(P$2:P812,FALSE) + COUNTIF(P$2:P812, TRUE))</f>
        <v>0.50061652281134406</v>
      </c>
      <c r="R812" s="866">
        <v>353344.44</v>
      </c>
      <c r="S812" s="868">
        <f t="shared" ref="S812" si="819">I812-R812</f>
        <v>45335.010000000009</v>
      </c>
      <c r="T812" s="822">
        <v>-33818</v>
      </c>
      <c r="U812" s="822">
        <f t="shared" ref="U812" si="820">M812-T812</f>
        <v>132497.45000000001</v>
      </c>
      <c r="V812" s="824">
        <f>STDEV(D$2:D812)*SQRT(252)</f>
        <v>0.14839336495231253</v>
      </c>
      <c r="W812" s="824">
        <f>STDEV(L$2:L812)*SQRT(252)</f>
        <v>0.25662482955047305</v>
      </c>
      <c r="X812" s="823">
        <f t="shared" ref="X812" si="821">E812/(A812/365.25)/V812</f>
        <v>0.46510357478095904</v>
      </c>
      <c r="Y812" s="823">
        <f t="shared" ref="Y812" si="822">O812/W812</f>
        <v>0.37663951989306332</v>
      </c>
      <c r="Z812" s="829">
        <f t="shared" si="808"/>
        <v>9.4052026626205709E-2</v>
      </c>
    </row>
    <row r="813" spans="1:26" ht="20.100000000000001" customHeight="1" x14ac:dyDescent="0.2">
      <c r="A813" s="798">
        <f t="shared" ref="A813" si="823">B813-$B$2</f>
        <v>1246</v>
      </c>
      <c r="B813" s="817">
        <v>43479</v>
      </c>
      <c r="C813" s="842">
        <v>2582.61</v>
      </c>
      <c r="D813" s="814">
        <f t="shared" ref="D813" si="824">(C813-C812)/C812</f>
        <v>-5.2575628018765802E-3</v>
      </c>
      <c r="E813" s="841">
        <f t="shared" ref="E813" si="825">(C813-$C$2)/$C$2</f>
        <v>0.22838701698978334</v>
      </c>
      <c r="F813" s="838">
        <v>6905.91</v>
      </c>
      <c r="G813" s="814">
        <f t="shared" ref="G813" si="826">(F813-F812)/F812</f>
        <v>-9.4040424759771462E-3</v>
      </c>
      <c r="H813" s="819">
        <f t="shared" ref="H813" si="827">(F813-F$2)/F$2</f>
        <v>0.35630732368364204</v>
      </c>
      <c r="I813" s="863">
        <v>396928.57</v>
      </c>
      <c r="J813" s="822">
        <v>300000</v>
      </c>
      <c r="K813" s="822">
        <f t="shared" ref="K813" si="828">I813-I812-J813+J812</f>
        <v>-1750.8800000000047</v>
      </c>
      <c r="L813" s="814">
        <f t="shared" ref="L813" si="829">K813/I812</f>
        <v>-4.3916986441112143E-3</v>
      </c>
      <c r="M813" s="839">
        <f t="shared" ref="M813" si="830">I813-J813</f>
        <v>96928.57</v>
      </c>
      <c r="N813" s="824">
        <f t="shared" ref="N813" si="831">M813/J813</f>
        <v>0.32309523333333334</v>
      </c>
      <c r="O813" s="808">
        <f t="shared" si="817"/>
        <v>9.4711503992776891E-2</v>
      </c>
      <c r="P813" s="839" t="b">
        <f t="shared" ref="P813" si="832">L813&gt;D813</f>
        <v>1</v>
      </c>
      <c r="Q813" s="824">
        <f>COUNTIF(P$2:P813, TRUE)/(COUNTIF(P$2:P813,FALSE) + COUNTIF(P$2:P813, TRUE))</f>
        <v>0.50123152709359609</v>
      </c>
      <c r="R813" s="866">
        <v>354753.56</v>
      </c>
      <c r="S813" s="868">
        <f t="shared" ref="S813" si="833">I813-R813</f>
        <v>42175.010000000009</v>
      </c>
      <c r="T813" s="822">
        <v>-33498</v>
      </c>
      <c r="U813" s="822">
        <f t="shared" ref="U813" si="834">M813-T813</f>
        <v>130426.57</v>
      </c>
      <c r="V813" s="824">
        <f>STDEV(D$2:D813)*SQRT(252)</f>
        <v>0.14833413784678093</v>
      </c>
      <c r="W813" s="824">
        <f>STDEV(L$2:L813)*SQRT(252)</f>
        <v>0.2564812571496366</v>
      </c>
      <c r="X813" s="823">
        <f t="shared" ref="X813" si="835">E813/(A813/365.25)/V813</f>
        <v>0.45133860545915044</v>
      </c>
      <c r="Y813" s="823">
        <f t="shared" ref="Y813" si="836">O813/W813</f>
        <v>0.36927261292048408</v>
      </c>
      <c r="Z813" s="829">
        <f t="shared" si="808"/>
        <v>9.4708216343550006E-2</v>
      </c>
    </row>
    <row r="814" spans="1:26" ht="20.100000000000001" customHeight="1" x14ac:dyDescent="0.2">
      <c r="A814" s="798">
        <f t="shared" ref="A814" si="837">B814-$B$2</f>
        <v>1247</v>
      </c>
      <c r="B814" s="817">
        <v>43480</v>
      </c>
      <c r="C814" s="842">
        <v>2610.3000000000002</v>
      </c>
      <c r="D814" s="814">
        <f t="shared" ref="D814" si="838">(C814-C813)/C813</f>
        <v>1.0721711756711255E-2</v>
      </c>
      <c r="E814" s="841">
        <f t="shared" ref="E814" si="839">(C814-$C$2)/$C$2</f>
        <v>0.24155742851163414</v>
      </c>
      <c r="F814" s="838">
        <v>7023.83</v>
      </c>
      <c r="G814" s="814">
        <f t="shared" ref="G814" si="840">(F814-F813)/F813</f>
        <v>1.7075229766967723E-2</v>
      </c>
      <c r="H814" s="819">
        <f t="shared" ref="H814" si="841">(F814-F$2)/F$2</f>
        <v>0.37946658287016127</v>
      </c>
      <c r="I814" s="863">
        <v>398718.09</v>
      </c>
      <c r="J814" s="822">
        <v>300000</v>
      </c>
      <c r="K814" s="822">
        <f t="shared" ref="K814" si="842">I814-I813-J814+J813</f>
        <v>1789.5200000000186</v>
      </c>
      <c r="L814" s="814">
        <f t="shared" ref="L814" si="843">K814/I813</f>
        <v>4.5084182274912048E-3</v>
      </c>
      <c r="M814" s="839">
        <f t="shared" ref="M814" si="844">I814-J814</f>
        <v>98718.090000000026</v>
      </c>
      <c r="N814" s="824">
        <f t="shared" ref="N814" si="845">M814/J814</f>
        <v>0.32906030000000008</v>
      </c>
      <c r="O814" s="808">
        <f t="shared" si="817"/>
        <v>9.6382738231756235E-2</v>
      </c>
      <c r="P814" s="839" t="b">
        <f t="shared" ref="P814" si="846">L814&gt;D814</f>
        <v>0</v>
      </c>
      <c r="Q814" s="824">
        <f>COUNTIF(P$2:P814, TRUE)/(COUNTIF(P$2:P814,FALSE) + COUNTIF(P$2:P814, TRUE))</f>
        <v>0.50061500615006149</v>
      </c>
      <c r="R814" s="866">
        <v>359669.45</v>
      </c>
      <c r="S814" s="868">
        <f t="shared" ref="S814" si="847">I814-R814</f>
        <v>39048.640000000014</v>
      </c>
      <c r="T814" s="822">
        <v>-33168</v>
      </c>
      <c r="U814" s="822">
        <f t="shared" ref="U814" si="848">M814-T814</f>
        <v>131886.09000000003</v>
      </c>
      <c r="V814" s="824">
        <f>STDEV(D$2:D814)*SQRT(252)</f>
        <v>0.14835636313212094</v>
      </c>
      <c r="W814" s="824">
        <f>STDEV(L$2:L814)*SQRT(252)</f>
        <v>0.25633252174594051</v>
      </c>
      <c r="X814" s="823">
        <f t="shared" ref="X814" si="849">E814/(A814/365.25)/V814</f>
        <v>0.47691171478899325</v>
      </c>
      <c r="Y814" s="823">
        <f t="shared" ref="Y814" si="850">O814/W814</f>
        <v>0.37600667123808934</v>
      </c>
      <c r="Z814" s="829">
        <f t="shared" si="808"/>
        <v>8.7502871488365941E-2</v>
      </c>
    </row>
    <row r="815" spans="1:26" ht="20.100000000000001" customHeight="1" x14ac:dyDescent="0.2">
      <c r="A815" s="798">
        <f t="shared" ref="A815" si="851">B815-$B$2</f>
        <v>1248</v>
      </c>
      <c r="B815" s="817">
        <v>43481</v>
      </c>
      <c r="C815" s="842">
        <v>2616.1</v>
      </c>
      <c r="D815" s="814">
        <f t="shared" ref="D815" si="852">(C815-C814)/C814</f>
        <v>2.2219668237366307E-3</v>
      </c>
      <c r="E815" s="841">
        <f t="shared" ref="E815" si="853">(C815-$C$2)/$C$2</f>
        <v>0.24431612792755078</v>
      </c>
      <c r="F815" s="838">
        <v>7034.69</v>
      </c>
      <c r="G815" s="814">
        <f t="shared" ref="G815" si="854">(F815-F814)/F814</f>
        <v>1.5461649840613559E-3</v>
      </c>
      <c r="H815" s="819">
        <f t="shared" ref="H815" si="855">(F815-F$2)/F$2</f>
        <v>0.38159946579727788</v>
      </c>
      <c r="I815" s="863">
        <v>398368.72</v>
      </c>
      <c r="J815" s="822">
        <v>300000</v>
      </c>
      <c r="K815" s="822">
        <f t="shared" ref="K815" si="856">I815-I814-J815+J814</f>
        <v>-349.37000000005355</v>
      </c>
      <c r="L815" s="814">
        <f t="shared" ref="L815" si="857">K815/I814</f>
        <v>-8.7623313002942389E-4</v>
      </c>
      <c r="M815" s="839">
        <f t="shared" ref="M815" si="858">I815-J815</f>
        <v>98368.719999999972</v>
      </c>
      <c r="N815" s="824">
        <f t="shared" ref="N815" si="859">M815/J815</f>
        <v>0.32789573333333322</v>
      </c>
      <c r="O815" s="808">
        <f t="shared" si="817"/>
        <v>9.5964676762820472E-2</v>
      </c>
      <c r="P815" s="839" t="b">
        <f t="shared" ref="P815" si="860">L815&gt;D815</f>
        <v>0</v>
      </c>
      <c r="Q815" s="824">
        <f>COUNTIF(P$2:P815, TRUE)/(COUNTIF(P$2:P815,FALSE) + COUNTIF(P$2:P815, TRUE))</f>
        <v>0.5</v>
      </c>
      <c r="R815" s="866">
        <v>359320.08</v>
      </c>
      <c r="S815" s="868">
        <f t="shared" ref="S815" si="861">I815-R815</f>
        <v>39048.639999999956</v>
      </c>
      <c r="T815" s="822">
        <v>-33203</v>
      </c>
      <c r="U815" s="822">
        <f t="shared" ref="U815" si="862">M815-T815</f>
        <v>131571.71999999997</v>
      </c>
      <c r="V815" s="824">
        <f>STDEV(D$2:D815)*SQRT(252)</f>
        <v>0.14826880322458727</v>
      </c>
      <c r="W815" s="824">
        <f>STDEV(L$2:L815)*SQRT(252)</f>
        <v>0.25617588848295436</v>
      </c>
      <c r="X815" s="823">
        <f t="shared" ref="X815" si="863">E815/(A815/365.25)/V815</f>
        <v>0.48225639345999738</v>
      </c>
      <c r="Y815" s="823">
        <f t="shared" ref="Y815" si="864">O815/W815</f>
        <v>0.37460464109683705</v>
      </c>
      <c r="Z815" s="829">
        <f t="shared" si="808"/>
        <v>8.3579605405782437E-2</v>
      </c>
    </row>
    <row r="816" spans="1:26" ht="20.100000000000001" customHeight="1" x14ac:dyDescent="0.2">
      <c r="A816" s="798">
        <f t="shared" ref="A816" si="865">B816-$B$2</f>
        <v>1249</v>
      </c>
      <c r="B816" s="817">
        <v>43482</v>
      </c>
      <c r="C816" s="842">
        <v>2635.96</v>
      </c>
      <c r="D816" s="814">
        <f t="shared" ref="D816" si="866">(C816-C815)/C815</f>
        <v>7.5914529261114361E-3</v>
      </c>
      <c r="E816" s="841">
        <f t="shared" ref="E816" si="867">(C816-$C$2)/$C$2</f>
        <v>0.25376229523791405</v>
      </c>
      <c r="F816" s="838">
        <v>7084.46</v>
      </c>
      <c r="G816" s="814">
        <f t="shared" ref="G816" si="868">(F816-F815)/F815</f>
        <v>7.0749386255827109E-3</v>
      </c>
      <c r="H816" s="819">
        <f t="shared" ref="H816" si="869">(F816-F$2)/F$2</f>
        <v>0.39137419722293149</v>
      </c>
      <c r="I816" s="863">
        <v>401047.52</v>
      </c>
      <c r="J816" s="822">
        <v>300000</v>
      </c>
      <c r="K816" s="822">
        <f t="shared" ref="K816" si="870">I816-I815-J816+J815</f>
        <v>2678.8000000000466</v>
      </c>
      <c r="L816" s="814">
        <f t="shared" ref="L816" si="871">K816/I815</f>
        <v>6.724423544097656E-3</v>
      </c>
      <c r="M816" s="839">
        <f t="shared" ref="M816" si="872">I816-J816</f>
        <v>101047.52000000002</v>
      </c>
      <c r="N816" s="824">
        <f t="shared" ref="N816" si="873">M816/J816</f>
        <v>0.33682506666666673</v>
      </c>
      <c r="O816" s="808">
        <f t="shared" si="817"/>
        <v>9.8499083746997618E-2</v>
      </c>
      <c r="P816" s="839" t="b">
        <f t="shared" ref="P816" si="874">L816&gt;D816</f>
        <v>0</v>
      </c>
      <c r="Q816" s="824">
        <f>COUNTIF(P$2:P816, TRUE)/(COUNTIF(P$2:P816,FALSE) + COUNTIF(P$2:P816, TRUE))</f>
        <v>0.49938650306748467</v>
      </c>
      <c r="R816" s="866">
        <v>354476.17</v>
      </c>
      <c r="S816" s="868">
        <f t="shared" ref="S816" si="875">I816-R816</f>
        <v>46571.350000000035</v>
      </c>
      <c r="T816" s="822">
        <v>-33083</v>
      </c>
      <c r="U816" s="822">
        <f t="shared" ref="U816" si="876">M816-T816</f>
        <v>134130.52000000002</v>
      </c>
      <c r="V816" s="824">
        <f>STDEV(D$2:D816)*SQRT(252)</f>
        <v>0.1482329269169857</v>
      </c>
      <c r="W816" s="824">
        <f>STDEV(L$2:L816)*SQRT(252)</f>
        <v>0.25604124492596109</v>
      </c>
      <c r="X816" s="823">
        <f t="shared" ref="X816" si="877">E816/(A816/365.25)/V816</f>
        <v>0.50062230558117682</v>
      </c>
      <c r="Y816" s="823">
        <f t="shared" ref="Y816" si="878">O816/W816</f>
        <v>0.38470006570808696</v>
      </c>
      <c r="Z816" s="829">
        <f t="shared" si="808"/>
        <v>8.306277142875268E-2</v>
      </c>
    </row>
    <row r="817" spans="1:26" ht="20.100000000000001" customHeight="1" x14ac:dyDescent="0.2">
      <c r="A817" s="798">
        <f t="shared" ref="A817" si="879">B817-$B$2</f>
        <v>1250</v>
      </c>
      <c r="B817" s="817">
        <v>43483</v>
      </c>
      <c r="C817" s="842">
        <v>2670.71</v>
      </c>
      <c r="D817" s="814">
        <f t="shared" ref="D817" si="880">(C817-C816)/C816</f>
        <v>1.3183052853609311E-2</v>
      </c>
      <c r="E817" s="841">
        <f t="shared" ref="E817" si="881">(C817-$C$2)/$C$2</f>
        <v>0.27029070984189796</v>
      </c>
      <c r="F817" s="838">
        <v>7157.22</v>
      </c>
      <c r="G817" s="814">
        <f t="shared" ref="G817" si="882">(F817-F816)/F816</f>
        <v>1.0270366407602021E-2</v>
      </c>
      <c r="H817" s="819">
        <f t="shared" ref="H817" si="883">(F817-F$2)/F$2</f>
        <v>0.40566412003849411</v>
      </c>
      <c r="I817" s="863">
        <v>406382.95</v>
      </c>
      <c r="J817" s="822">
        <v>300000</v>
      </c>
      <c r="K817" s="822">
        <f t="shared" ref="K817" si="884">I817-I816-J817+J816</f>
        <v>5335.429999999993</v>
      </c>
      <c r="L817" s="814">
        <f t="shared" ref="L817" si="885">K817/I816</f>
        <v>1.3303735178315011E-2</v>
      </c>
      <c r="M817" s="839">
        <f t="shared" ref="M817" si="886">I817-J817</f>
        <v>106382.95000000001</v>
      </c>
      <c r="N817" s="824">
        <f t="shared" ref="N817" si="887">M817/J817</f>
        <v>0.35460983333333335</v>
      </c>
      <c r="O817" s="808">
        <f t="shared" si="817"/>
        <v>0.1036169933</v>
      </c>
      <c r="P817" s="839" t="b">
        <f t="shared" ref="P817" si="888">L817&gt;D817</f>
        <v>1</v>
      </c>
      <c r="Q817" s="824">
        <f>COUNTIF(P$2:P817, TRUE)/(COUNTIF(P$2:P817,FALSE) + COUNTIF(P$2:P817, TRUE))</f>
        <v>0.5</v>
      </c>
      <c r="R817" s="866">
        <v>331407.74</v>
      </c>
      <c r="S817" s="868">
        <f t="shared" ref="S817" si="889">I817-R817</f>
        <v>74975.210000000021</v>
      </c>
      <c r="T817" s="822">
        <v>-32858</v>
      </c>
      <c r="U817" s="822">
        <f t="shared" ref="U817" si="890">M817-T817</f>
        <v>139240.95000000001</v>
      </c>
      <c r="V817" s="824">
        <f>STDEV(D$2:D817)*SQRT(252)</f>
        <v>0.14831438078037773</v>
      </c>
      <c r="W817" s="824">
        <f>STDEV(L$2:L817)*SQRT(252)</f>
        <v>0.25598186879007967</v>
      </c>
      <c r="X817" s="823">
        <f t="shared" ref="X817" si="891">E817/(A817/365.25)/V817</f>
        <v>0.5325103675061269</v>
      </c>
      <c r="Y817" s="823">
        <f t="shared" ref="Y817" si="892">O817/W817</f>
        <v>0.40478254881783088</v>
      </c>
      <c r="Z817" s="829">
        <f t="shared" ref="Z817" si="893">-(E817-N817)</f>
        <v>8.4319123491435388E-2</v>
      </c>
    </row>
    <row r="818" spans="1:26" ht="20.100000000000001" customHeight="1" x14ac:dyDescent="0.2">
      <c r="A818" s="798">
        <f t="shared" ref="A818" si="894">B818-$B$2</f>
        <v>1254</v>
      </c>
      <c r="B818" s="817">
        <v>43487</v>
      </c>
      <c r="C818" s="842">
        <v>2632.9</v>
      </c>
      <c r="D818" s="814">
        <f t="shared" ref="D818" si="895">(C818-C817)/C817</f>
        <v>-1.4157284018107523E-2</v>
      </c>
      <c r="E818" s="841">
        <f t="shared" ref="E818" si="896">(C818-$C$2)/$C$2</f>
        <v>0.2523068434771028</v>
      </c>
      <c r="F818" s="838">
        <v>7020.35</v>
      </c>
      <c r="G818" s="814">
        <f t="shared" ref="G818" si="897">(F818-F817)/F817</f>
        <v>-1.9123346774306209E-2</v>
      </c>
      <c r="H818" s="819">
        <f t="shared" ref="H818" si="898">(F818-F$2)/F$2</f>
        <v>0.37878311762279798</v>
      </c>
      <c r="I818" s="863">
        <v>400544.64</v>
      </c>
      <c r="J818" s="822">
        <v>300000</v>
      </c>
      <c r="K818" s="822">
        <f t="shared" ref="K818" si="899">I818-I817-J818+J817</f>
        <v>-5838.3099999999977</v>
      </c>
      <c r="L818" s="814">
        <f t="shared" ref="L818" si="900">K818/I817</f>
        <v>-1.4366523004963662E-2</v>
      </c>
      <c r="M818" s="839">
        <f t="shared" ref="M818" si="901">I818-J818</f>
        <v>100544.64000000001</v>
      </c>
      <c r="N818" s="824">
        <f t="shared" ref="N818" si="902">M818/J818</f>
        <v>0.33514880000000002</v>
      </c>
      <c r="O818" s="808">
        <f t="shared" ref="O818" si="903">N818/(A818/365.25)</f>
        <v>9.7618101435406709E-2</v>
      </c>
      <c r="P818" s="839" t="b">
        <f t="shared" ref="P818" si="904">L818&gt;D818</f>
        <v>0</v>
      </c>
      <c r="Q818" s="824">
        <f>COUNTIF(P$2:P818, TRUE)/(COUNTIF(P$2:P818,FALSE) + COUNTIF(P$2:P818, TRUE))</f>
        <v>0.49938800489596086</v>
      </c>
      <c r="R818" s="866">
        <v>331033.45</v>
      </c>
      <c r="S818" s="868">
        <f t="shared" ref="S818" si="905">I818-R818</f>
        <v>69511.19</v>
      </c>
      <c r="T818" s="822">
        <v>-32983</v>
      </c>
      <c r="U818" s="822">
        <f t="shared" ref="U818" si="906">M818-T818</f>
        <v>133527.64000000001</v>
      </c>
      <c r="V818" s="824">
        <f>STDEV(D$2:D818)*SQRT(252)</f>
        <v>0.14844206249511938</v>
      </c>
      <c r="W818" s="824">
        <f>STDEV(L$2:L818)*SQRT(252)</f>
        <v>0.2559596857009227</v>
      </c>
      <c r="X818" s="823">
        <f t="shared" ref="X818" si="907">E818/(A818/365.25)/V818</f>
        <v>0.49506786664182661</v>
      </c>
      <c r="Y818" s="823">
        <f t="shared" ref="Y818" si="908">O818/W818</f>
        <v>0.38138076770991602</v>
      </c>
      <c r="Z818" s="829">
        <f t="shared" ref="Z818" si="909">-(E818-N818)</f>
        <v>8.284195652289722E-2</v>
      </c>
    </row>
    <row r="819" spans="1:26" ht="20.100000000000001" customHeight="1" x14ac:dyDescent="0.2">
      <c r="A819" s="798">
        <f t="shared" ref="A819" si="910">B819-$B$2</f>
        <v>1255</v>
      </c>
      <c r="B819" s="817">
        <v>43488</v>
      </c>
      <c r="C819" s="842">
        <v>2638.7</v>
      </c>
      <c r="D819" s="814">
        <f t="shared" ref="D819" si="911">(C819-C818)/C818</f>
        <v>2.202894147138033E-3</v>
      </c>
      <c r="E819" s="841">
        <f t="shared" ref="E819" si="912">(C819-$C$2)/$C$2</f>
        <v>0.25506554289301941</v>
      </c>
      <c r="F819" s="838">
        <v>7025.76</v>
      </c>
      <c r="G819" s="814">
        <f t="shared" ref="G819" si="913">(F819-F818)/F818</f>
        <v>7.706168495872505E-4</v>
      </c>
      <c r="H819" s="819">
        <f t="shared" ref="H819" si="914">(F819-F$2)/F$2</f>
        <v>0.37984563112516456</v>
      </c>
      <c r="I819" s="863">
        <v>400803.81</v>
      </c>
      <c r="J819" s="822">
        <v>300000</v>
      </c>
      <c r="K819" s="822">
        <f t="shared" ref="K819" si="915">I819-I818-J819+J818</f>
        <v>259.1699999999837</v>
      </c>
      <c r="L819" s="814">
        <f t="shared" ref="L819" si="916">K819/I818</f>
        <v>6.4704398491010565E-4</v>
      </c>
      <c r="M819" s="839">
        <f t="shared" ref="M819" si="917">I819-J819</f>
        <v>100803.81</v>
      </c>
      <c r="N819" s="824">
        <f t="shared" ref="N819" si="918">M819/J819</f>
        <v>0.3360127</v>
      </c>
      <c r="O819" s="808">
        <f t="shared" ref="O819" si="919">N819/(A819/365.25)</f>
        <v>9.7791743964143432E-2</v>
      </c>
      <c r="P819" s="839" t="b">
        <f t="shared" ref="P819" si="920">L819&gt;D819</f>
        <v>0</v>
      </c>
      <c r="Q819" s="824">
        <f>COUNTIF(P$2:P819, TRUE)/(COUNTIF(P$2:P819,FALSE) + COUNTIF(P$2:P819, TRUE))</f>
        <v>0.49877750611246946</v>
      </c>
      <c r="R819" s="866">
        <v>329213.62</v>
      </c>
      <c r="S819" s="868">
        <f t="shared" ref="S819" si="921">I819-R819</f>
        <v>71590.19</v>
      </c>
      <c r="T819" s="822">
        <v>-33093</v>
      </c>
      <c r="U819" s="822">
        <f t="shared" ref="U819" si="922">M819-T819</f>
        <v>133896.81</v>
      </c>
      <c r="V819" s="824">
        <f>STDEV(D$2:D819)*SQRT(252)</f>
        <v>0.14835476523907773</v>
      </c>
      <c r="W819" s="824">
        <f>STDEV(L$2:L819)*SQRT(252)</f>
        <v>0.25580280339327321</v>
      </c>
      <c r="X819" s="823">
        <f t="shared" ref="X819" si="923">E819/(A819/365.25)/V819</f>
        <v>0.50037636902783811</v>
      </c>
      <c r="Y819" s="823">
        <f t="shared" ref="Y819" si="924">O819/W819</f>
        <v>0.38229348023914206</v>
      </c>
      <c r="Z819" s="829">
        <f t="shared" ref="Z819" si="925">-(E819-N819)</f>
        <v>8.0947157106980583E-2</v>
      </c>
    </row>
    <row r="820" spans="1:26" ht="20.100000000000001" customHeight="1" x14ac:dyDescent="0.2">
      <c r="A820" s="798">
        <f t="shared" ref="A820" si="926">B820-$B$2</f>
        <v>1256</v>
      </c>
      <c r="B820" s="817">
        <v>43489</v>
      </c>
      <c r="C820" s="842">
        <v>2642.33</v>
      </c>
      <c r="D820" s="814">
        <f t="shared" ref="D820" si="927">(C820-C819)/C819</f>
        <v>1.3756774169098834E-3</v>
      </c>
      <c r="E820" s="841">
        <f t="shared" ref="E820" si="928">(C820-$C$2)/$C$2</f>
        <v>0.25679210821711906</v>
      </c>
      <c r="F820" s="838">
        <v>7073.46</v>
      </c>
      <c r="G820" s="814">
        <f t="shared" ref="G820" si="929">(F820-F819)/F819</f>
        <v>6.7893010862881478E-3</v>
      </c>
      <c r="H820" s="819">
        <f t="shared" ref="H820" si="930">(F820-F$2)/F$2</f>
        <v>0.38921381856747261</v>
      </c>
      <c r="I820" s="863">
        <v>391425.07</v>
      </c>
      <c r="J820" s="822">
        <v>290000</v>
      </c>
      <c r="K820" s="822">
        <f t="shared" ref="K820" si="931">I820-I819-J820+J819</f>
        <v>621.26000000000931</v>
      </c>
      <c r="L820" s="814">
        <f t="shared" ref="L820" si="932">K820/I819</f>
        <v>1.5500351655839033E-3</v>
      </c>
      <c r="M820" s="839">
        <f t="shared" ref="M820" si="933">I820-J820</f>
        <v>101425.07</v>
      </c>
      <c r="N820" s="824">
        <f t="shared" ref="N820" si="934">M820/J820</f>
        <v>0.3497416206896552</v>
      </c>
      <c r="O820" s="808">
        <f t="shared" ref="O820" si="935">N820/(A820/365.25)</f>
        <v>0.10170631127141445</v>
      </c>
      <c r="P820" s="839" t="b">
        <f t="shared" ref="P820" si="936">L820&gt;D820</f>
        <v>1</v>
      </c>
      <c r="Q820" s="824">
        <f>COUNTIF(P$2:P820, TRUE)/(COUNTIF(P$2:P820,FALSE) + COUNTIF(P$2:P820, TRUE))</f>
        <v>0.49938949938949939</v>
      </c>
      <c r="R820" s="866">
        <v>334182.92</v>
      </c>
      <c r="S820" s="868">
        <f t="shared" ref="S820" si="937">I820-R820</f>
        <v>57242.150000000023</v>
      </c>
      <c r="T820" s="822">
        <v>-33353</v>
      </c>
      <c r="U820" s="822">
        <f t="shared" ref="U820" si="938">M820-T820</f>
        <v>134778.07</v>
      </c>
      <c r="V820" s="824">
        <f>STDEV(D$2:D820)*SQRT(252)</f>
        <v>0.14826509905690491</v>
      </c>
      <c r="W820" s="824">
        <f>STDEV(L$2:L820)*SQRT(252)</f>
        <v>0.2556467869561983</v>
      </c>
      <c r="X820" s="823">
        <f t="shared" ref="X820" si="939">E820/(A820/365.25)/V820</f>
        <v>0.50366680153714061</v>
      </c>
      <c r="Y820" s="823">
        <f t="shared" ref="Y820" si="940">O820/W820</f>
        <v>0.39783919243561816</v>
      </c>
      <c r="Z820" s="829">
        <f t="shared" ref="Z820" si="941">-(E820-N820)</f>
        <v>9.2949512472536133E-2</v>
      </c>
    </row>
    <row r="821" spans="1:26" ht="20.100000000000001" customHeight="1" x14ac:dyDescent="0.2">
      <c r="A821" s="798">
        <f t="shared" ref="A821" si="942">B821-$B$2</f>
        <v>1257</v>
      </c>
      <c r="B821" s="817">
        <v>43490</v>
      </c>
      <c r="C821" s="842">
        <v>2664.76</v>
      </c>
      <c r="D821" s="814">
        <f t="shared" ref="D821" si="943">(C821-C820)/C820</f>
        <v>8.4887201825662555E-3</v>
      </c>
      <c r="E821" s="841">
        <f t="shared" ref="E821" si="944">(C821-$C$2)/$C$2</f>
        <v>0.26746066475143176</v>
      </c>
      <c r="F821" s="838">
        <v>7164.86</v>
      </c>
      <c r="G821" s="814">
        <f t="shared" ref="G821" si="945">(F821-F820)/F820</f>
        <v>1.2921540519066996E-2</v>
      </c>
      <c r="H821" s="819">
        <f t="shared" ref="H821" si="946">(F821-F$2)/F$2</f>
        <v>0.40716460121373999</v>
      </c>
      <c r="I821" s="863">
        <v>395488.83</v>
      </c>
      <c r="J821" s="822">
        <v>290000</v>
      </c>
      <c r="K821" s="822">
        <f t="shared" ref="K821" si="947">I821-I820-J821+J820</f>
        <v>4063.7600000000093</v>
      </c>
      <c r="L821" s="814">
        <f t="shared" ref="L821" si="948">K821/I820</f>
        <v>1.0381961482436496E-2</v>
      </c>
      <c r="M821" s="839">
        <f t="shared" ref="M821" si="949">I821-J821</f>
        <v>105488.83000000002</v>
      </c>
      <c r="N821" s="824">
        <f t="shared" ref="N821" si="950">M821/J821</f>
        <v>0.3637545862068966</v>
      </c>
      <c r="O821" s="808">
        <f t="shared" ref="O821" si="951">N821/(A821/365.25)</f>
        <v>0.10569718584890134</v>
      </c>
      <c r="P821" s="839" t="b">
        <f t="shared" ref="P821" si="952">L821&gt;D821</f>
        <v>1</v>
      </c>
      <c r="Q821" s="824">
        <f>COUNTIF(P$2:P821, TRUE)/(COUNTIF(P$2:P821,FALSE) + COUNTIF(P$2:P821, TRUE))</f>
        <v>0.5</v>
      </c>
      <c r="R821" s="866">
        <v>326832.83</v>
      </c>
      <c r="S821" s="868">
        <f t="shared" ref="S821" si="953">I821-R821</f>
        <v>68656</v>
      </c>
      <c r="T821" s="822">
        <v>-33248</v>
      </c>
      <c r="U821" s="822">
        <f t="shared" ref="U821" si="954">M821-T821</f>
        <v>138736.83000000002</v>
      </c>
      <c r="V821" s="824">
        <f>STDEV(D$2:D821)*SQRT(252)</f>
        <v>0.14824365935565442</v>
      </c>
      <c r="W821" s="824">
        <f>STDEV(L$2:L821)*SQRT(252)</f>
        <v>0.25554845627068484</v>
      </c>
      <c r="X821" s="823">
        <f t="shared" ref="X821" si="955">E821/(A821/365.25)/V821</f>
        <v>0.52425036282714699</v>
      </c>
      <c r="Y821" s="823">
        <f t="shared" ref="Y821" si="956">O821/W821</f>
        <v>0.41360917374098166</v>
      </c>
      <c r="Z821" s="829">
        <f t="shared" ref="Z821" si="957">-(E821-N821)</f>
        <v>9.6293921455464837E-2</v>
      </c>
    </row>
    <row r="822" spans="1:26" ht="20.100000000000001" customHeight="1" x14ac:dyDescent="0.2">
      <c r="A822" s="798">
        <f t="shared" ref="A822" si="958">B822-$B$2</f>
        <v>1260</v>
      </c>
      <c r="B822" s="817">
        <v>43493</v>
      </c>
      <c r="C822" s="842">
        <v>2643.85</v>
      </c>
      <c r="D822" s="814">
        <f t="shared" ref="D822" si="959">(C822-C821)/C821</f>
        <v>-7.8468605052613768E-3</v>
      </c>
      <c r="E822" s="841">
        <f t="shared" ref="E822" si="960">(C822-$C$2)/$C$2</f>
        <v>0.25751507771922139</v>
      </c>
      <c r="F822" s="838">
        <v>7085.68</v>
      </c>
      <c r="G822" s="814">
        <f t="shared" ref="G822" si="961">(F822-F821)/F821</f>
        <v>-1.105115801285711E-2</v>
      </c>
      <c r="H822" s="819">
        <f t="shared" ref="H822" si="962">(F822-F$2)/F$2</f>
        <v>0.39161380285562791</v>
      </c>
      <c r="I822" s="863">
        <v>395484.69</v>
      </c>
      <c r="J822" s="822">
        <v>290000</v>
      </c>
      <c r="K822" s="822">
        <f t="shared" ref="K822" si="963">I822-I821-J822+J821</f>
        <v>-4.1400000000139698</v>
      </c>
      <c r="L822" s="814">
        <f t="shared" ref="L822" si="964">K822/I821</f>
        <v>-1.0468057972747219E-5</v>
      </c>
      <c r="M822" s="839">
        <f t="shared" ref="M822" si="965">I822-J822</f>
        <v>105484.69</v>
      </c>
      <c r="N822" s="824">
        <f t="shared" ref="N822" si="966">M822/J822</f>
        <v>0.36374031034482757</v>
      </c>
      <c r="O822" s="808">
        <f t="shared" ref="O822" si="967">N822/(A822/365.25)</f>
        <v>0.10544138758210179</v>
      </c>
      <c r="P822" s="839" t="b">
        <f t="shared" ref="P822" si="968">L822&gt;D822</f>
        <v>1</v>
      </c>
      <c r="Q822" s="824">
        <f>COUNTIF(P$2:P822, TRUE)/(COUNTIF(P$2:P822,FALSE) + COUNTIF(P$2:P822, TRUE))</f>
        <v>0.50060901339829478</v>
      </c>
      <c r="R822" s="866">
        <v>325754.37</v>
      </c>
      <c r="S822" s="868">
        <f t="shared" ref="S822" si="969">I822-R822</f>
        <v>69730.320000000007</v>
      </c>
      <c r="T822" s="822">
        <v>-33173</v>
      </c>
      <c r="U822" s="822">
        <f t="shared" ref="U822" si="970">M822-T822</f>
        <v>138657.69</v>
      </c>
      <c r="V822" s="824">
        <f>STDEV(D$2:D822)*SQRT(252)</f>
        <v>0.14822250914047161</v>
      </c>
      <c r="W822" s="824">
        <f>STDEV(L$2:L822)*SQRT(252)</f>
        <v>0.25539260644864942</v>
      </c>
      <c r="X822" s="823">
        <f t="shared" ref="X822" si="971">E822/(A822/365.25)/V822</f>
        <v>0.50362604448260762</v>
      </c>
      <c r="Y822" s="823">
        <f t="shared" ref="Y822" si="972">O822/W822</f>
        <v>0.41285998466561874</v>
      </c>
      <c r="Z822" s="829">
        <f t="shared" ref="Z822" si="973">-(E822-N822)</f>
        <v>0.10622523262560618</v>
      </c>
    </row>
    <row r="823" spans="1:26" ht="20.100000000000001" customHeight="1" x14ac:dyDescent="0.2">
      <c r="A823" s="798">
        <f t="shared" ref="A823" si="974">B823-$B$2</f>
        <v>1261</v>
      </c>
      <c r="B823" s="817">
        <v>43494</v>
      </c>
      <c r="C823" s="842">
        <v>2640</v>
      </c>
      <c r="D823" s="814">
        <f t="shared" ref="D823" si="975">(C823-C822)/C822</f>
        <v>-1.4562096941959299E-3</v>
      </c>
      <c r="E823" s="841">
        <f t="shared" ref="E823" si="976">(C823-$C$2)/$C$2</f>
        <v>0.25568387207244914</v>
      </c>
      <c r="F823" s="838">
        <v>7028.29</v>
      </c>
      <c r="G823" s="814">
        <f t="shared" ref="G823" si="977">(F823-F822)/F822</f>
        <v>-8.0994343521017496E-3</v>
      </c>
      <c r="H823" s="819">
        <f t="shared" ref="H823" si="978">(F823-F$2)/F$2</f>
        <v>0.38034251821592008</v>
      </c>
      <c r="I823" s="863">
        <v>396270.66</v>
      </c>
      <c r="J823" s="822">
        <v>290000</v>
      </c>
      <c r="K823" s="822">
        <f t="shared" ref="K823" si="979">I823-I822-J823+J822</f>
        <v>785.96999999997206</v>
      </c>
      <c r="L823" s="814">
        <f t="shared" ref="L823" si="980">K823/I822</f>
        <v>1.9873588532592049E-3</v>
      </c>
      <c r="M823" s="839">
        <f t="shared" ref="M823" si="981">I823-J823</f>
        <v>106270.65999999997</v>
      </c>
      <c r="N823" s="824">
        <f t="shared" ref="N823" si="982">M823/J823</f>
        <v>0.36645055172413782</v>
      </c>
      <c r="O823" s="808">
        <f t="shared" ref="O823" si="983">N823/(A823/365.25)</f>
        <v>0.10614279462112715</v>
      </c>
      <c r="P823" s="839" t="b">
        <f t="shared" ref="P823" si="984">L823&gt;D823</f>
        <v>1</v>
      </c>
      <c r="Q823" s="824">
        <f>COUNTIF(P$2:P823, TRUE)/(COUNTIF(P$2:P823,FALSE) + COUNTIF(P$2:P823, TRUE))</f>
        <v>0.5012165450121655</v>
      </c>
      <c r="R823" s="866">
        <v>322922.39</v>
      </c>
      <c r="S823" s="868">
        <f t="shared" ref="S823" si="985">I823-R823</f>
        <v>73348.26999999996</v>
      </c>
      <c r="T823" s="822">
        <v>-33183</v>
      </c>
      <c r="U823" s="822">
        <f t="shared" ref="U823" si="986">M823-T823</f>
        <v>139453.65999999997</v>
      </c>
      <c r="V823" s="824">
        <f>STDEV(D$2:D823)*SQRT(252)</f>
        <v>0.14813538173261068</v>
      </c>
      <c r="W823" s="824">
        <f>STDEV(L$2:L823)*SQRT(252)</f>
        <v>0.25523802260297879</v>
      </c>
      <c r="X823" s="823">
        <f t="shared" ref="X823" si="987">E823/(A823/365.25)/V823</f>
        <v>0.49994205576912071</v>
      </c>
      <c r="Y823" s="823">
        <f t="shared" ref="Y823" si="988">O823/W823</f>
        <v>0.41585808234469684</v>
      </c>
      <c r="Z823" s="829">
        <f t="shared" ref="Z823" si="989">-(E823-N823)</f>
        <v>0.11076667965168868</v>
      </c>
    </row>
    <row r="824" spans="1:26" ht="20.100000000000001" customHeight="1" x14ac:dyDescent="0.2">
      <c r="A824" s="798">
        <f t="shared" ref="A824" si="990">B824-$B$2</f>
        <v>1262</v>
      </c>
      <c r="B824" s="817">
        <v>43495</v>
      </c>
      <c r="C824" s="842">
        <v>2681.05</v>
      </c>
      <c r="D824" s="814">
        <f t="shared" ref="D824" si="991">(C824-C823)/C823</f>
        <v>1.5549242424242493E-2</v>
      </c>
      <c r="E824" s="841">
        <f t="shared" ref="E824" si="992">(C824-$C$2)/$C$2</f>
        <v>0.27520880500751516</v>
      </c>
      <c r="F824" s="838">
        <v>7183.07</v>
      </c>
      <c r="G824" s="814">
        <f t="shared" ref="G824" si="993">(F824-F823)/F823</f>
        <v>2.2022426507728017E-2</v>
      </c>
      <c r="H824" s="819">
        <f t="shared" ref="H824" si="994">(F824-F$2)/F$2</f>
        <v>0.41074100987882239</v>
      </c>
      <c r="I824" s="863">
        <v>397387.82</v>
      </c>
      <c r="J824" s="822">
        <v>290000</v>
      </c>
      <c r="K824" s="822">
        <f t="shared" ref="K824" si="995">I824-I823-J824+J823</f>
        <v>1117.1600000000326</v>
      </c>
      <c r="L824" s="814">
        <f t="shared" ref="L824" si="996">K824/I823</f>
        <v>2.8191842413971113E-3</v>
      </c>
      <c r="M824" s="839">
        <f t="shared" ref="M824" si="997">I824-J824</f>
        <v>107387.82</v>
      </c>
      <c r="N824" s="824">
        <f t="shared" ref="N824" si="998">M824/J824</f>
        <v>0.37030282758620692</v>
      </c>
      <c r="O824" s="808">
        <f t="shared" ref="O824" si="999">N824/(A824/365.25)</f>
        <v>0.10717361947374174</v>
      </c>
      <c r="P824" s="839" t="b">
        <f t="shared" ref="P824" si="1000">L824&gt;D824</f>
        <v>0</v>
      </c>
      <c r="Q824" s="824">
        <f>COUNTIF(P$2:P824, TRUE)/(COUNTIF(P$2:P824,FALSE) + COUNTIF(P$2:P824, TRUE))</f>
        <v>0.50060753341433784</v>
      </c>
      <c r="R824" s="866">
        <v>305135.78000000003</v>
      </c>
      <c r="S824" s="868">
        <f t="shared" ref="S824" si="1001">I824-R824</f>
        <v>92252.039999999979</v>
      </c>
      <c r="T824" s="822">
        <v>-33248</v>
      </c>
      <c r="U824" s="822">
        <f t="shared" ref="U824" si="1002">M824-T824</f>
        <v>140635.82</v>
      </c>
      <c r="V824" s="824">
        <f>STDEV(D$2:D824)*SQRT(252)</f>
        <v>0.14828505452786289</v>
      </c>
      <c r="W824" s="824">
        <f>STDEV(L$2:L824)*SQRT(252)</f>
        <v>0.25508554008666545</v>
      </c>
      <c r="X824" s="823">
        <f t="shared" ref="X824" si="1003">E824/(A824/365.25)/V824</f>
        <v>0.53715028815964072</v>
      </c>
      <c r="Y824" s="823">
        <f t="shared" ref="Y824" si="1004">O824/W824</f>
        <v>0.42014776469622483</v>
      </c>
      <c r="Z824" s="829">
        <f t="shared" ref="Z824" si="1005">-(E824-N824)</f>
        <v>9.5094022578691761E-2</v>
      </c>
    </row>
    <row r="825" spans="1:26" ht="20.100000000000001" customHeight="1" x14ac:dyDescent="0.2">
      <c r="A825" s="798">
        <f t="shared" ref="A825" si="1006">B825-$B$2</f>
        <v>1263</v>
      </c>
      <c r="B825" s="817">
        <v>43496</v>
      </c>
      <c r="C825" s="842">
        <v>2704.1</v>
      </c>
      <c r="D825" s="814">
        <f t="shared" ref="D825" si="1007">(C825-C824)/C824</f>
        <v>8.5973778929895849E-3</v>
      </c>
      <c r="E825" s="841">
        <f t="shared" ref="E825" si="1008">(C825-$C$2)/$C$2</f>
        <v>0.2861722569966324</v>
      </c>
      <c r="F825" s="838">
        <v>7281.73</v>
      </c>
      <c r="G825" s="814">
        <f t="shared" ref="G825" si="1009">(F825-F824)/F824</f>
        <v>1.3735074278825051E-2</v>
      </c>
      <c r="H825" s="819">
        <f t="shared" ref="H825" si="1010">(F825-F$2)/F$2</f>
        <v>0.43011764243769268</v>
      </c>
      <c r="I825" s="864">
        <v>398929.08</v>
      </c>
      <c r="J825" s="822">
        <v>290000</v>
      </c>
      <c r="K825" s="822">
        <f t="shared" ref="K825" si="1011">I825-I824-J825+J824</f>
        <v>1541.2600000000093</v>
      </c>
      <c r="L825" s="814">
        <f t="shared" ref="L825" si="1012">K825/I824</f>
        <v>3.8784782080135451E-3</v>
      </c>
      <c r="M825" s="844">
        <f t="shared" ref="M825" si="1013">I825-J825</f>
        <v>108929.08000000002</v>
      </c>
      <c r="N825" s="824">
        <f t="shared" ref="N825" si="1014">M825/J825</f>
        <v>0.37561751724137937</v>
      </c>
      <c r="O825" s="808">
        <f t="shared" ref="O825" si="1015">N825/(A825/365.25)</f>
        <v>0.10862573093619463</v>
      </c>
      <c r="P825" s="839" t="b">
        <f t="shared" ref="P825" si="1016">L825&gt;D825</f>
        <v>0</v>
      </c>
      <c r="Q825" s="824">
        <f>COUNTIF(P$2:P825, TRUE)/(COUNTIF(P$2:P825,FALSE) + COUNTIF(P$2:P825, TRUE))</f>
        <v>0.5</v>
      </c>
      <c r="R825" s="866">
        <v>298673.2</v>
      </c>
      <c r="S825" s="868">
        <f t="shared" ref="S825" si="1017">I825-R825</f>
        <v>100255.88</v>
      </c>
      <c r="T825" s="822">
        <v>-32593</v>
      </c>
      <c r="U825" s="822">
        <f t="shared" ref="U825" si="1018">M825-T825</f>
        <v>141522.08000000002</v>
      </c>
      <c r="V825" s="824">
        <f>STDEV(D$2:D825)*SQRT(252)</f>
        <v>0.14826526356297684</v>
      </c>
      <c r="W825" s="824">
        <f>STDEV(L$2:L825)*SQRT(252)</f>
        <v>0.25493684745531853</v>
      </c>
      <c r="X825" s="823">
        <f t="shared" ref="X825" si="1019">E825/(A825/365.25)/V825</f>
        <v>0.55818092217684434</v>
      </c>
      <c r="Y825" s="823">
        <f t="shared" ref="Y825" si="1020">O825/W825</f>
        <v>0.42608878245908688</v>
      </c>
      <c r="Z825" s="829">
        <f t="shared" ref="Z825" si="1021">-(E825-N825)</f>
        <v>8.9445260244746971E-2</v>
      </c>
    </row>
    <row r="826" spans="1:26" ht="20.100000000000001" customHeight="1" x14ac:dyDescent="0.2">
      <c r="A826" s="798">
        <f t="shared" ref="A826" si="1022">B826-$B$2</f>
        <v>1264</v>
      </c>
      <c r="B826" s="817">
        <v>43497</v>
      </c>
      <c r="C826" s="842">
        <v>2706.53</v>
      </c>
      <c r="D826" s="814">
        <f t="shared" ref="D826" si="1023">(C826-C825)/C825</f>
        <v>8.9863540549546658E-4</v>
      </c>
      <c r="E826" s="841">
        <f t="shared" ref="E826" si="1024">(C826-$C$2)/$C$2</f>
        <v>0.28732805692433561</v>
      </c>
      <c r="F826" s="838">
        <v>7263.86</v>
      </c>
      <c r="G826" s="814">
        <f t="shared" ref="G826" si="1025">(F826-F825)/F825</f>
        <v>-2.4540871468730495E-3</v>
      </c>
      <c r="H826" s="819">
        <f t="shared" ref="H826" si="1026">(F826-F$2)/F$2</f>
        <v>0.42660800911286995</v>
      </c>
      <c r="I826" s="863">
        <v>399784.64</v>
      </c>
      <c r="J826" s="822">
        <v>290000</v>
      </c>
      <c r="K826" s="822">
        <f t="shared" ref="K826" si="1027">I826-I825-J826+J825</f>
        <v>855.55999999999767</v>
      </c>
      <c r="L826" s="814">
        <f t="shared" ref="L826" si="1028">K826/I825</f>
        <v>2.1446418496239923E-3</v>
      </c>
      <c r="M826" s="839">
        <f t="shared" ref="M826" si="1029">I826-J826</f>
        <v>109784.64000000001</v>
      </c>
      <c r="N826" s="824">
        <f t="shared" ref="N826" si="1030">M826/J826</f>
        <v>0.37856772413793111</v>
      </c>
      <c r="O826" s="808">
        <f t="shared" ref="O826" si="1031">N826/(A826/365.25)</f>
        <v>0.10939229528590137</v>
      </c>
      <c r="P826" s="839" t="b">
        <f t="shared" ref="P826" si="1032">L826&gt;D826</f>
        <v>1</v>
      </c>
      <c r="Q826" s="824">
        <f>COUNTIF(P$2:P826, TRUE)/(COUNTIF(P$2:P826,FALSE) + COUNTIF(P$2:P826, TRUE))</f>
        <v>0.50060606060606061</v>
      </c>
      <c r="R826" s="866">
        <v>310045.73</v>
      </c>
      <c r="S826" s="868">
        <f t="shared" ref="S826" si="1033">I826-R826</f>
        <v>89738.910000000033</v>
      </c>
      <c r="T826" s="822">
        <v>-32743</v>
      </c>
      <c r="U826" s="822">
        <f t="shared" ref="U826" si="1034">M826-T826</f>
        <v>142527.64000000001</v>
      </c>
      <c r="V826" s="824">
        <f>STDEV(D$2:D826)*SQRT(252)</f>
        <v>0.14817547136633374</v>
      </c>
      <c r="W826" s="824">
        <f>STDEV(L$2:L826)*SQRT(252)</f>
        <v>0.25478337109882809</v>
      </c>
      <c r="X826" s="823">
        <f t="shared" ref="X826" si="1035">E826/(A826/365.25)/V826</f>
        <v>0.56033128240794383</v>
      </c>
      <c r="Y826" s="823">
        <f t="shared" ref="Y826" si="1036">O826/W826</f>
        <v>0.42935414039823316</v>
      </c>
      <c r="Z826" s="829">
        <f t="shared" ref="Z826" si="1037">-(E826-N826)</f>
        <v>9.1239667213595499E-2</v>
      </c>
    </row>
    <row r="827" spans="1:26" ht="20.100000000000001" customHeight="1" x14ac:dyDescent="0.2">
      <c r="A827" s="798">
        <f t="shared" ref="A827" si="1038">B827-$B$2</f>
        <v>1267</v>
      </c>
      <c r="B827" s="817">
        <v>43500</v>
      </c>
      <c r="C827" s="842">
        <v>2724.87</v>
      </c>
      <c r="D827" s="814">
        <f t="shared" ref="D827" si="1039">(C827-C826)/C826</f>
        <v>6.7762042172078967E-3</v>
      </c>
      <c r="E827" s="841">
        <f t="shared" ref="E827" si="1040">(C827-$C$2)/$C$2</f>
        <v>0.2960512547325963</v>
      </c>
      <c r="F827" s="838">
        <v>7347.53</v>
      </c>
      <c r="G827" s="814">
        <f t="shared" ref="G827" si="1041">(F827-F826)/F826</f>
        <v>1.1518669137345719E-2</v>
      </c>
      <c r="H827" s="819">
        <f t="shared" ref="H827" si="1042">(F827-F$2)/F$2</f>
        <v>0.44304063475852856</v>
      </c>
      <c r="I827" s="863">
        <v>400045.9</v>
      </c>
      <c r="J827" s="822">
        <v>290000</v>
      </c>
      <c r="K827" s="822">
        <f t="shared" ref="K827" si="1043">I827-I826-J827+J826</f>
        <v>261.26000000000931</v>
      </c>
      <c r="L827" s="814">
        <f t="shared" ref="L827" si="1044">K827/I826</f>
        <v>6.5350184539358317E-4</v>
      </c>
      <c r="M827" s="839">
        <f t="shared" ref="M827" si="1045">I827-J827</f>
        <v>110045.90000000002</v>
      </c>
      <c r="N827" s="824">
        <f t="shared" ref="N827" si="1046">M827/J827</f>
        <v>0.37946862068965526</v>
      </c>
      <c r="O827" s="808">
        <f t="shared" ref="O827" si="1047">N827/(A827/365.25)</f>
        <v>0.10939298635114174</v>
      </c>
      <c r="P827" s="839" t="b">
        <f t="shared" ref="P827" si="1048">L827&gt;D827</f>
        <v>0</v>
      </c>
      <c r="Q827" s="824">
        <f>COUNTIF(P$2:P827, TRUE)/(COUNTIF(P$2:P827,FALSE) + COUNTIF(P$2:P827, TRUE))</f>
        <v>0.5</v>
      </c>
      <c r="R827" s="866">
        <v>310256.99</v>
      </c>
      <c r="S827" s="868">
        <f t="shared" ref="S827" si="1049">I827-R827</f>
        <v>89788.910000000033</v>
      </c>
      <c r="T827" s="822">
        <v>-33047</v>
      </c>
      <c r="U827" s="822">
        <f t="shared" ref="U827" si="1050">M827-T827</f>
        <v>143092.90000000002</v>
      </c>
      <c r="V827" s="824">
        <f>STDEV(D$2:D827)*SQRT(252)</f>
        <v>0.14812811505907053</v>
      </c>
      <c r="W827" s="824">
        <f>STDEV(L$2:L827)*SQRT(252)</f>
        <v>0.25462872499432798</v>
      </c>
      <c r="X827" s="823">
        <f t="shared" ref="X827" si="1051">E827/(A827/365.25)/V827</f>
        <v>0.5761598876503532</v>
      </c>
      <c r="Y827" s="823">
        <f t="shared" ref="Y827" si="1052">O827/W827</f>
        <v>0.42961761817555555</v>
      </c>
      <c r="Z827" s="829">
        <f t="shared" ref="Z827" si="1053">-(E827-N827)</f>
        <v>8.3417365957058953E-2</v>
      </c>
    </row>
    <row r="828" spans="1:26" ht="20.100000000000001" customHeight="1" x14ac:dyDescent="0.2">
      <c r="A828" s="798">
        <f t="shared" ref="A828" si="1054">B828-$B$2</f>
        <v>1268</v>
      </c>
      <c r="B828" s="817">
        <v>43501</v>
      </c>
      <c r="C828" s="842">
        <v>2737.7</v>
      </c>
      <c r="D828" s="814">
        <f t="shared" ref="D828" si="1055">(C828-C827)/C827</f>
        <v>4.708481505539687E-3</v>
      </c>
      <c r="E828" s="841">
        <f t="shared" ref="E828" si="1056">(C828-$C$2)/$C$2</f>
        <v>0.30215368809573628</v>
      </c>
      <c r="F828" s="838">
        <v>7402.08</v>
      </c>
      <c r="G828" s="814">
        <f t="shared" ref="G828" si="1057">(F828-F827)/F827</f>
        <v>7.4242636641157211E-3</v>
      </c>
      <c r="H828" s="819">
        <f t="shared" ref="H828" si="1058">(F828-F$2)/F$2</f>
        <v>0.45375414890900884</v>
      </c>
      <c r="I828" s="863">
        <v>401573.77</v>
      </c>
      <c r="J828" s="822">
        <v>290000</v>
      </c>
      <c r="K828" s="822">
        <f t="shared" ref="K828" si="1059">I828-I827-J828+J827</f>
        <v>1527.8699999999953</v>
      </c>
      <c r="L828" s="814">
        <f t="shared" ref="L828" si="1060">K828/I827</f>
        <v>3.8192367425837767E-3</v>
      </c>
      <c r="M828" s="839">
        <f t="shared" ref="M828" si="1061">I828-J828</f>
        <v>111573.77000000002</v>
      </c>
      <c r="N828" s="824">
        <f t="shared" ref="N828" si="1062">M828/J828</f>
        <v>0.38473713793103453</v>
      </c>
      <c r="O828" s="808">
        <f t="shared" ref="O828" si="1063">N828/(A828/365.25)</f>
        <v>0.11082432147421954</v>
      </c>
      <c r="P828" s="839" t="b">
        <f t="shared" ref="P828" si="1064">L828&gt;D828</f>
        <v>0</v>
      </c>
      <c r="Q828" s="824">
        <f>COUNTIF(P$2:P828, TRUE)/(COUNTIF(P$2:P828,FALSE) + COUNTIF(P$2:P828, TRUE))</f>
        <v>0.49939540507859737</v>
      </c>
      <c r="R828" s="866">
        <v>308862.81</v>
      </c>
      <c r="S828" s="868">
        <f t="shared" ref="S828" si="1065">I828-R828</f>
        <v>92710.960000000021</v>
      </c>
      <c r="T828" s="822">
        <v>-32917</v>
      </c>
      <c r="U828" s="822">
        <f t="shared" ref="U828" si="1066">M828-T828</f>
        <v>144490.77000000002</v>
      </c>
      <c r="V828" s="824">
        <f>STDEV(D$2:D828)*SQRT(252)</f>
        <v>0.14805781560677195</v>
      </c>
      <c r="W828" s="824">
        <f>STDEV(L$2:L828)*SQRT(252)</f>
        <v>0.25448060687659302</v>
      </c>
      <c r="X828" s="823">
        <f t="shared" ref="X828" si="1067">E828/(A828/365.25)/V828</f>
        <v>0.58785136777360014</v>
      </c>
      <c r="Y828" s="823">
        <f t="shared" ref="Y828" si="1068">O828/W828</f>
        <v>0.43549220836290414</v>
      </c>
      <c r="Z828" s="829">
        <f t="shared" ref="Z828" si="1069">-(E828-N828)</f>
        <v>8.258344983529825E-2</v>
      </c>
    </row>
    <row r="829" spans="1:26" ht="20.100000000000001" customHeight="1" x14ac:dyDescent="0.2">
      <c r="A829" s="798">
        <f t="shared" ref="A829" si="1070">B829-$B$2</f>
        <v>1269</v>
      </c>
      <c r="B829" s="817">
        <v>43502</v>
      </c>
      <c r="C829" s="842">
        <v>2731.61</v>
      </c>
      <c r="D829" s="814">
        <f t="shared" ref="D829" si="1071">(C829-C828)/C828</f>
        <v>-2.2244950140627869E-3</v>
      </c>
      <c r="E829" s="841">
        <f t="shared" ref="E829" si="1072">(C829-$C$2)/$C$2</f>
        <v>0.29925705370902383</v>
      </c>
      <c r="F829" s="838">
        <v>7375.28</v>
      </c>
      <c r="G829" s="814">
        <f t="shared" ref="G829" si="1073">(F829-F828)/F828</f>
        <v>-3.6206039383524877E-3</v>
      </c>
      <c r="H829" s="819">
        <f t="shared" ref="H829" si="1074">(F829-F$2)/F$2</f>
        <v>0.44849068091207261</v>
      </c>
      <c r="I829" s="863">
        <v>400657.85</v>
      </c>
      <c r="J829" s="822">
        <v>290000</v>
      </c>
      <c r="K829" s="822">
        <f t="shared" ref="K829" si="1075">I829-I828-J829+J828</f>
        <v>-915.92000000004191</v>
      </c>
      <c r="L829" s="814">
        <f t="shared" ref="L829" si="1076">K829/I828</f>
        <v>-2.2808262601415473E-3</v>
      </c>
      <c r="M829" s="839">
        <f t="shared" ref="M829" si="1077">I829-J829</f>
        <v>110657.84999999998</v>
      </c>
      <c r="N829" s="824">
        <f t="shared" ref="N829" si="1078">M829/J829</f>
        <v>0.38157879310344822</v>
      </c>
      <c r="O829" s="808">
        <f t="shared" ref="O829" si="1079">N829/(A829/365.25)</f>
        <v>0.1098279386769381</v>
      </c>
      <c r="P829" s="839" t="b">
        <f t="shared" ref="P829" si="1080">L829&gt;D829</f>
        <v>0</v>
      </c>
      <c r="Q829" s="824">
        <f>COUNTIF(P$2:P829, TRUE)/(COUNTIF(P$2:P829,FALSE) + COUNTIF(P$2:P829, TRUE))</f>
        <v>0.49879227053140096</v>
      </c>
      <c r="R829" s="866">
        <v>304167.55</v>
      </c>
      <c r="S829" s="868">
        <f t="shared" ref="S829" si="1081">I829-R829</f>
        <v>96490.299999999988</v>
      </c>
      <c r="T829" s="822">
        <v>-32778</v>
      </c>
      <c r="U829" s="822">
        <f t="shared" ref="U829" si="1082">M829-T829</f>
        <v>143435.84999999998</v>
      </c>
      <c r="V829" s="824">
        <f>STDEV(D$2:D829)*SQRT(252)</f>
        <v>0.14797505943148828</v>
      </c>
      <c r="W829" s="824">
        <f>STDEV(L$2:L829)*SQRT(252)</f>
        <v>0.25433146852233829</v>
      </c>
      <c r="X829" s="823">
        <f t="shared" ref="X829" si="1083">E829/(A829/365.25)/V829</f>
        <v>0.58208240970679481</v>
      </c>
      <c r="Y829" s="823">
        <f t="shared" ref="Y829" si="1084">O829/W829</f>
        <v>0.43182992381963842</v>
      </c>
      <c r="Z829" s="829">
        <f t="shared" ref="Z829" si="1085">-(E829-N829)</f>
        <v>8.2321739394424387E-2</v>
      </c>
    </row>
    <row r="830" spans="1:26" ht="20.100000000000001" customHeight="1" x14ac:dyDescent="0.2">
      <c r="A830" s="798">
        <f t="shared" ref="A830" si="1086">B830-$B$2</f>
        <v>1270</v>
      </c>
      <c r="B830" s="817">
        <v>43503</v>
      </c>
      <c r="C830" s="842">
        <v>2706.05</v>
      </c>
      <c r="D830" s="814">
        <f t="shared" ref="D830" si="1087">(C830-C829)/C829</f>
        <v>-9.3571190616522654E-3</v>
      </c>
      <c r="E830" s="841">
        <f t="shared" ref="E830" si="1088">(C830-$C$2)/$C$2</f>
        <v>0.28709975076577698</v>
      </c>
      <c r="F830" s="838">
        <v>7288.35</v>
      </c>
      <c r="G830" s="814">
        <f t="shared" ref="G830" si="1089">(F830-F829)/F829</f>
        <v>-1.1786671150112183E-2</v>
      </c>
      <c r="H830" s="819">
        <f t="shared" ref="H830" si="1090">(F830-F$2)/F$2</f>
        <v>0.43141779759215992</v>
      </c>
      <c r="I830" s="863">
        <v>396182.66</v>
      </c>
      <c r="J830" s="822">
        <v>290000</v>
      </c>
      <c r="K830" s="822">
        <f t="shared" ref="K830" si="1091">I830-I829-J830+J829</f>
        <v>-4475.1900000000023</v>
      </c>
      <c r="L830" s="814">
        <f t="shared" ref="L830" si="1092">K830/I829</f>
        <v>-1.1169605188067581E-2</v>
      </c>
      <c r="M830" s="839">
        <f t="shared" ref="M830" si="1093">I830-J830</f>
        <v>106182.65999999997</v>
      </c>
      <c r="N830" s="824">
        <f t="shared" ref="N830" si="1094">M830/J830</f>
        <v>0.36614710344827578</v>
      </c>
      <c r="O830" s="808">
        <f t="shared" ref="O830" si="1095">N830/(A830/365.25)</f>
        <v>0.10530333034211238</v>
      </c>
      <c r="P830" s="839" t="b">
        <f t="shared" ref="P830" si="1096">L830&gt;D830</f>
        <v>0</v>
      </c>
      <c r="Q830" s="824">
        <f>COUNTIF(P$2:P830, TRUE)/(COUNTIF(P$2:P830,FALSE) + COUNTIF(P$2:P830, TRUE))</f>
        <v>0.49819059107358266</v>
      </c>
      <c r="R830" s="866">
        <v>314836.36</v>
      </c>
      <c r="S830" s="868">
        <f t="shared" ref="S830" si="1097">I830-R830</f>
        <v>81346.299999999988</v>
      </c>
      <c r="T830" s="822">
        <v>-33058</v>
      </c>
      <c r="U830" s="822">
        <f t="shared" ref="U830" si="1098">M830-T830</f>
        <v>139240.65999999997</v>
      </c>
      <c r="V830" s="824">
        <f>STDEV(D$2:D830)*SQRT(252)</f>
        <v>0.14798269617263782</v>
      </c>
      <c r="W830" s="824">
        <f>STDEV(L$2:L830)*SQRT(252)</f>
        <v>0.25426044550181115</v>
      </c>
      <c r="X830" s="823">
        <f t="shared" ref="X830" si="1099">E830/(A830/365.25)/V830</f>
        <v>0.5579668321377218</v>
      </c>
      <c r="Y830" s="823">
        <f t="shared" ref="Y830" si="1100">O830/W830</f>
        <v>0.41415537573799416</v>
      </c>
      <c r="Z830" s="829">
        <f t="shared" ref="Z830" si="1101">-(E830-N830)</f>
        <v>7.9047352682498795E-2</v>
      </c>
    </row>
    <row r="831" spans="1:26" ht="20.100000000000001" customHeight="1" x14ac:dyDescent="0.2">
      <c r="A831" s="798">
        <f t="shared" ref="A831" si="1102">B831-$B$2</f>
        <v>1271</v>
      </c>
      <c r="B831" s="817">
        <v>43504</v>
      </c>
      <c r="C831" s="842">
        <v>2707.88</v>
      </c>
      <c r="D831" s="814">
        <f t="shared" ref="D831" si="1103">(C831-C830)/C830</f>
        <v>6.7626244895693983E-4</v>
      </c>
      <c r="E831" s="841">
        <f t="shared" ref="E831" si="1104">(C831-$C$2)/$C$2</f>
        <v>0.28797016799528169</v>
      </c>
      <c r="F831" s="838">
        <v>7298.19</v>
      </c>
      <c r="G831" s="814">
        <f t="shared" ref="G831" si="1105">(F831-F830)/F830</f>
        <v>1.3500998168308651E-3</v>
      </c>
      <c r="H831" s="819">
        <f t="shared" ref="H831" si="1106">(F831-F$2)/F$2</f>
        <v>0.43335035449849751</v>
      </c>
      <c r="I831" s="863">
        <v>394817.52</v>
      </c>
      <c r="J831" s="822">
        <v>290000</v>
      </c>
      <c r="K831" s="822">
        <f t="shared" ref="K831" si="1107">I831-I830-J831+J830</f>
        <v>-1365.1399999999558</v>
      </c>
      <c r="L831" s="814">
        <f t="shared" ref="L831" si="1108">K831/I830</f>
        <v>-3.4457338440807982E-3</v>
      </c>
      <c r="M831" s="839">
        <f t="shared" ref="M831" si="1109">I831-J831</f>
        <v>104817.52000000002</v>
      </c>
      <c r="N831" s="824">
        <f t="shared" ref="N831" si="1110">M831/J831</f>
        <v>0.36143972413793107</v>
      </c>
      <c r="O831" s="808">
        <f t="shared" ref="O831" si="1111">N831/(A831/365.25)</f>
        <v>0.10386770986733228</v>
      </c>
      <c r="P831" s="839" t="b">
        <f t="shared" ref="P831" si="1112">L831&gt;D831</f>
        <v>0</v>
      </c>
      <c r="Q831" s="824">
        <f>COUNTIF(P$2:P831, TRUE)/(COUNTIF(P$2:P831,FALSE) + COUNTIF(P$2:P831, TRUE))</f>
        <v>0.49759036144578311</v>
      </c>
      <c r="R831" s="866">
        <v>319372.21999999997</v>
      </c>
      <c r="S831" s="868">
        <f t="shared" ref="S831" si="1113">I831-R831</f>
        <v>75445.300000000047</v>
      </c>
      <c r="T831" s="822">
        <v>-33112</v>
      </c>
      <c r="U831" s="822">
        <f t="shared" ref="U831" si="1114">M831-T831</f>
        <v>137929.52000000002</v>
      </c>
      <c r="V831" s="824">
        <f>STDEV(D$2:D831)*SQRT(252)</f>
        <v>0.14789341819898402</v>
      </c>
      <c r="W831" s="824">
        <f>STDEV(L$2:L831)*SQRT(252)</f>
        <v>0.25411653775614662</v>
      </c>
      <c r="X831" s="823">
        <f t="shared" ref="X831" si="1115">E831/(A831/365.25)/V831</f>
        <v>0.55955570383066522</v>
      </c>
      <c r="Y831" s="823">
        <f t="shared" ref="Y831" si="1116">O831/W831</f>
        <v>0.40874045736844178</v>
      </c>
      <c r="Z831" s="829">
        <f t="shared" ref="Z831" si="1117">-(E831-N831)</f>
        <v>7.3469556142649384E-2</v>
      </c>
    </row>
    <row r="832" spans="1:26" ht="20.100000000000001" customHeight="1" x14ac:dyDescent="0.2">
      <c r="A832" s="798">
        <f t="shared" ref="A832" si="1118">B832-$B$2</f>
        <v>1274</v>
      </c>
      <c r="B832" s="817">
        <v>43507</v>
      </c>
      <c r="C832" s="842">
        <v>2709.8</v>
      </c>
      <c r="D832" s="814">
        <f t="shared" ref="D832" si="1119">(C832-C831)/C831</f>
        <v>7.0904175960532698E-4</v>
      </c>
      <c r="E832" s="841">
        <f t="shared" ref="E832" si="1120">(C832-$C$2)/$C$2</f>
        <v>0.28888339262951623</v>
      </c>
      <c r="F832" s="838">
        <v>7307.9</v>
      </c>
      <c r="G832" s="814">
        <f t="shared" ref="G832" si="1121">(F832-F831)/F831</f>
        <v>1.330466869182638E-3</v>
      </c>
      <c r="H832" s="819">
        <f t="shared" ref="H832" si="1122">(F832-F$2)/F$2</f>
        <v>0.43525737965708899</v>
      </c>
      <c r="I832" s="863">
        <v>396278.65</v>
      </c>
      <c r="J832" s="822">
        <v>290000</v>
      </c>
      <c r="K832" s="822">
        <f t="shared" ref="K832" si="1123">I832-I831-J832+J831</f>
        <v>1461.1300000000047</v>
      </c>
      <c r="L832" s="814">
        <f t="shared" ref="L832" si="1124">K832/I831</f>
        <v>3.7007729545538016E-3</v>
      </c>
      <c r="M832" s="839">
        <f t="shared" ref="M832" si="1125">I832-J832</f>
        <v>106278.65000000002</v>
      </c>
      <c r="N832" s="824">
        <f t="shared" ref="N832" si="1126">M832/J832</f>
        <v>0.36647810344827592</v>
      </c>
      <c r="O832" s="808">
        <f t="shared" ref="O832" si="1127">N832/(A832/365.25)</f>
        <v>0.10506760383397393</v>
      </c>
      <c r="P832" s="839" t="b">
        <f t="shared" ref="P832" si="1128">L832&gt;D832</f>
        <v>1</v>
      </c>
      <c r="Q832" s="824">
        <f>COUNTIF(P$2:P832, TRUE)/(COUNTIF(P$2:P832,FALSE) + COUNTIF(P$2:P832, TRUE))</f>
        <v>0.49819494584837543</v>
      </c>
      <c r="R832" s="866">
        <v>324861.34999999998</v>
      </c>
      <c r="S832" s="868">
        <f t="shared" ref="S832" si="1129">I832-R832</f>
        <v>71417.300000000047</v>
      </c>
      <c r="T832" s="822">
        <v>-33195</v>
      </c>
      <c r="U832" s="822">
        <f t="shared" ref="U832" si="1130">M832-T832</f>
        <v>139473.65000000002</v>
      </c>
      <c r="V832" s="824">
        <f>STDEV(D$2:D832)*SQRT(252)</f>
        <v>0.14780432477645816</v>
      </c>
      <c r="W832" s="824">
        <f>STDEV(L$2:L832)*SQRT(252)</f>
        <v>0.2539690766921448</v>
      </c>
      <c r="X832" s="823">
        <f t="shared" ref="X832" si="1131">E832/(A832/365.25)/V832</f>
        <v>0.5603459413276406</v>
      </c>
      <c r="Y832" s="823">
        <f t="shared" ref="Y832" si="1132">O832/W832</f>
        <v>0.41370234991771987</v>
      </c>
      <c r="Z832" s="829">
        <f t="shared" ref="Z832" si="1133">-(E832-N832)</f>
        <v>7.7594710818759682E-2</v>
      </c>
    </row>
    <row r="833" spans="1:26" ht="20.100000000000001" customHeight="1" x14ac:dyDescent="0.2">
      <c r="A833" s="798">
        <f t="shared" ref="A833" si="1134">B833-$B$2</f>
        <v>1275</v>
      </c>
      <c r="B833" s="817">
        <v>43508</v>
      </c>
      <c r="C833" s="842">
        <v>2744.73</v>
      </c>
      <c r="D833" s="814">
        <f t="shared" ref="D833" si="1135">(C833-C832)/C832</f>
        <v>1.2890250202966948E-2</v>
      </c>
      <c r="E833" s="841">
        <f t="shared" ref="E833" si="1136">(C833-$C$2)/$C$2</f>
        <v>0.3054974220429596</v>
      </c>
      <c r="F833" s="838">
        <v>7414.61</v>
      </c>
      <c r="G833" s="814">
        <f t="shared" ref="G833" si="1137">(F833-F832)/F832</f>
        <v>1.4602006048249161E-2</v>
      </c>
      <c r="H833" s="819">
        <f t="shared" ref="H833" si="1138">(F833-F$2)/F$2</f>
        <v>0.45621501659563601</v>
      </c>
      <c r="I833" s="863">
        <v>402240.41</v>
      </c>
      <c r="J833" s="822">
        <v>290000</v>
      </c>
      <c r="K833" s="822">
        <f t="shared" ref="K833" si="1139">I833-I832-J833+J832</f>
        <v>5961.7599999999511</v>
      </c>
      <c r="L833" s="814">
        <f t="shared" ref="L833" si="1140">K833/I832</f>
        <v>1.5044363353917631E-2</v>
      </c>
      <c r="M833" s="839">
        <f t="shared" ref="M833" si="1141">I833-J833</f>
        <v>112240.40999999997</v>
      </c>
      <c r="N833" s="824">
        <f t="shared" ref="N833" si="1142">M833/J833</f>
        <v>0.38703589655172405</v>
      </c>
      <c r="O833" s="808">
        <f t="shared" ref="O833" si="1143">N833/(A833/365.25)</f>
        <v>0.11087440095334683</v>
      </c>
      <c r="P833" s="839" t="b">
        <f t="shared" ref="P833" si="1144">L833&gt;D833</f>
        <v>1</v>
      </c>
      <c r="Q833" s="824">
        <f>COUNTIF(P$2:P833, TRUE)/(COUNTIF(P$2:P833,FALSE) + COUNTIF(P$2:P833, TRUE))</f>
        <v>0.49879807692307693</v>
      </c>
      <c r="R833" s="866">
        <v>315607.31</v>
      </c>
      <c r="S833" s="868">
        <f t="shared" ref="S833" si="1145">I833-R833</f>
        <v>86633.099999999977</v>
      </c>
      <c r="T833" s="822">
        <v>-32571</v>
      </c>
      <c r="U833" s="822">
        <f t="shared" ref="U833" si="1146">M833-T833</f>
        <v>144811.40999999997</v>
      </c>
      <c r="V833" s="824">
        <f>STDEV(D$2:D833)*SQRT(252)</f>
        <v>0.14787661380003408</v>
      </c>
      <c r="W833" s="824">
        <f>STDEV(L$2:L833)*SQRT(252)</f>
        <v>0.25394106485907758</v>
      </c>
      <c r="X833" s="823">
        <f t="shared" ref="X833" si="1147">E833/(A833/365.25)/V833</f>
        <v>0.59181789431123943</v>
      </c>
      <c r="Y833" s="823">
        <f t="shared" ref="Y833" si="1148">O833/W833</f>
        <v>0.43661469646461326</v>
      </c>
      <c r="Z833" s="829">
        <f t="shared" ref="Z833" si="1149">-(E833-N833)</f>
        <v>8.1538474508764447E-2</v>
      </c>
    </row>
    <row r="834" spans="1:26" ht="20.100000000000001" customHeight="1" x14ac:dyDescent="0.2">
      <c r="A834" s="798">
        <f t="shared" ref="A834" si="1150">B834-$B$2</f>
        <v>1276</v>
      </c>
      <c r="B834" s="817">
        <v>43509</v>
      </c>
      <c r="C834" s="842">
        <v>2753.03</v>
      </c>
      <c r="D834" s="814">
        <f t="shared" ref="D834" si="1151">(C834-C833)/C833</f>
        <v>3.0239768574687425E-3</v>
      </c>
      <c r="E834" s="841">
        <f t="shared" ref="E834" si="1152">(C834-$C$2)/$C$2</f>
        <v>0.3094452160347026</v>
      </c>
      <c r="F834" s="838">
        <v>7420.37</v>
      </c>
      <c r="G834" s="814">
        <f t="shared" ref="G834" si="1153">(F834-F833)/F833</f>
        <v>7.7684463511907143E-4</v>
      </c>
      <c r="H834" s="819">
        <f t="shared" ref="H834" si="1154">(F834-F$2)/F$2</f>
        <v>0.4573462694188582</v>
      </c>
      <c r="I834" s="863">
        <v>402473.84</v>
      </c>
      <c r="J834" s="822">
        <v>290000</v>
      </c>
      <c r="K834" s="822">
        <f t="shared" ref="K834" si="1155">I834-I833-J834+J833</f>
        <v>233.43000000005122</v>
      </c>
      <c r="L834" s="814">
        <f t="shared" ref="L834" si="1156">K834/I833</f>
        <v>5.8032458747755164E-4</v>
      </c>
      <c r="M834" s="839">
        <f t="shared" ref="M834" si="1157">I834-J834</f>
        <v>112473.84000000003</v>
      </c>
      <c r="N834" s="824">
        <f t="shared" ref="N834" si="1158">M834/J834</f>
        <v>0.38784082758620697</v>
      </c>
      <c r="O834" s="808">
        <f t="shared" ref="O834" si="1159">N834/(A834/365.25)</f>
        <v>0.11101791714409255</v>
      </c>
      <c r="P834" s="839" t="b">
        <f t="shared" ref="P834" si="1160">L834&gt;D834</f>
        <v>0</v>
      </c>
      <c r="Q834" s="824">
        <f>COUNTIF(P$2:P834, TRUE)/(COUNTIF(P$2:P834,FALSE) + COUNTIF(P$2:P834, TRUE))</f>
        <v>0.49819927971188477</v>
      </c>
      <c r="R834" s="866">
        <v>313152.77</v>
      </c>
      <c r="S834" s="868">
        <f t="shared" ref="S834" si="1161">I834-R834</f>
        <v>89321.07</v>
      </c>
      <c r="T834" s="822">
        <v>-32803</v>
      </c>
      <c r="U834" s="822">
        <f t="shared" ref="U834" si="1162">M834-T834</f>
        <v>145276.84000000003</v>
      </c>
      <c r="V834" s="824">
        <f>STDEV(D$2:D834)*SQRT(252)</f>
        <v>0.14779486111360304</v>
      </c>
      <c r="W834" s="824">
        <f>STDEV(L$2:L834)*SQRT(252)</f>
        <v>0.25378822650323002</v>
      </c>
      <c r="X834" s="823">
        <f t="shared" ref="X834" si="1163">E834/(A834/365.25)/V834</f>
        <v>0.59932720165570752</v>
      </c>
      <c r="Y834" s="823">
        <f t="shared" ref="Y834" si="1164">O834/W834</f>
        <v>0.43744313388264922</v>
      </c>
      <c r="Z834" s="829">
        <f t="shared" ref="Z834" si="1165">-(E834-N834)</f>
        <v>7.8395611551504374E-2</v>
      </c>
    </row>
    <row r="835" spans="1:26" ht="20.100000000000001" customHeight="1" x14ac:dyDescent="0.2">
      <c r="A835" s="798">
        <f t="shared" ref="A835" si="1166">B835-$B$2</f>
        <v>1277</v>
      </c>
      <c r="B835" s="817">
        <v>43510</v>
      </c>
      <c r="C835" s="842">
        <v>2745.73</v>
      </c>
      <c r="D835" s="814">
        <f t="shared" ref="D835" si="1167">(C835-C834)/C834</f>
        <v>-2.6516238471793554E-3</v>
      </c>
      <c r="E835" s="841">
        <f t="shared" ref="E835" si="1168">(C835-$C$2)/$C$2</f>
        <v>0.30597305987329004</v>
      </c>
      <c r="F835" s="838">
        <v>7426.95</v>
      </c>
      <c r="G835" s="814">
        <f t="shared" ref="G835" si="1169">(F835-F834)/F834</f>
        <v>8.8674823492628093E-4</v>
      </c>
      <c r="H835" s="819">
        <f t="shared" ref="H835" si="1170">(F835-F$2)/F$2</f>
        <v>0.45863856865094177</v>
      </c>
      <c r="I835" s="863">
        <v>405300.44</v>
      </c>
      <c r="J835" s="822">
        <v>290000</v>
      </c>
      <c r="K835" s="822">
        <f t="shared" ref="K835" si="1171">I835-I834-J835+J834</f>
        <v>2826.5999999999767</v>
      </c>
      <c r="L835" s="814">
        <f t="shared" ref="L835" si="1172">K835/I834</f>
        <v>7.0230651512654249E-3</v>
      </c>
      <c r="M835" s="839">
        <f t="shared" ref="M835" si="1173">I835-J835</f>
        <v>115300.44</v>
      </c>
      <c r="N835" s="824">
        <f t="shared" ref="N835" si="1174">M835/J835</f>
        <v>0.39758772413793103</v>
      </c>
      <c r="O835" s="808">
        <f t="shared" ref="O835" si="1175">N835/(A835/365.25)</f>
        <v>0.1137188067669376</v>
      </c>
      <c r="P835" s="839" t="b">
        <f t="shared" ref="P835" si="1176">L835&gt;D835</f>
        <v>1</v>
      </c>
      <c r="Q835" s="824">
        <f>COUNTIF(P$2:P835, TRUE)/(COUNTIF(P$2:P835,FALSE) + COUNTIF(P$2:P835, TRUE))</f>
        <v>0.49880095923261392</v>
      </c>
      <c r="R835" s="866">
        <v>306013.5</v>
      </c>
      <c r="S835" s="868">
        <f t="shared" ref="S835" si="1177">I835-R835</f>
        <v>99286.94</v>
      </c>
      <c r="T835" s="822">
        <v>-32953</v>
      </c>
      <c r="U835" s="822">
        <f t="shared" ref="U835" si="1178">M835-T835</f>
        <v>148253.44</v>
      </c>
      <c r="V835" s="824">
        <f>STDEV(D$2:D835)*SQRT(252)</f>
        <v>0.1477153488930065</v>
      </c>
      <c r="W835" s="824">
        <f>STDEV(L$2:L835)*SQRT(252)</f>
        <v>0.25366031982836423</v>
      </c>
      <c r="X835" s="823">
        <f t="shared" ref="X835" si="1179">E835/(A835/365.25)/V835</f>
        <v>0.5924570781861207</v>
      </c>
      <c r="Y835" s="823">
        <f t="shared" ref="Y835" si="1180">O835/W835</f>
        <v>0.44831137500687485</v>
      </c>
      <c r="Z835" s="829">
        <f t="shared" ref="Z835" si="1181">-(E835-N835)</f>
        <v>9.1614664264640988E-2</v>
      </c>
    </row>
    <row r="836" spans="1:26" ht="20.100000000000001" customHeight="1" x14ac:dyDescent="0.2">
      <c r="A836" s="798">
        <f t="shared" ref="A836" si="1182">B836-$B$2</f>
        <v>1278</v>
      </c>
      <c r="B836" s="817">
        <v>43511</v>
      </c>
      <c r="C836" s="842">
        <v>2775.6</v>
      </c>
      <c r="D836" s="814">
        <f t="shared" ref="D836" si="1183">(C836-C835)/C835</f>
        <v>1.0878709851296338E-2</v>
      </c>
      <c r="E836" s="841">
        <f t="shared" ref="E836" si="1184">(C836-$C$2)/$C$2</f>
        <v>0.32018036186526122</v>
      </c>
      <c r="F836" s="838">
        <v>7472.41</v>
      </c>
      <c r="G836" s="814">
        <f t="shared" ref="G836" si="1185">(F836-F835)/F835</f>
        <v>6.1209513999690365E-3</v>
      </c>
      <c r="H836" s="819">
        <f t="shared" ref="H836" si="1186">(F836-F$2)/F$2</f>
        <v>0.46756682443977454</v>
      </c>
      <c r="I836" s="863">
        <v>416948.08</v>
      </c>
      <c r="J836" s="822">
        <v>300000</v>
      </c>
      <c r="K836" s="822">
        <f t="shared" ref="K836" si="1187">I836-I835-J836+J835</f>
        <v>1647.640000000014</v>
      </c>
      <c r="L836" s="814">
        <f t="shared" ref="L836" si="1188">K836/I835</f>
        <v>4.0652312146515655E-3</v>
      </c>
      <c r="M836" s="839">
        <f t="shared" ref="M836" si="1189">I836-J836</f>
        <v>116948.08000000002</v>
      </c>
      <c r="N836" s="824">
        <f t="shared" ref="N836" si="1190">M836/J836</f>
        <v>0.3898269333333334</v>
      </c>
      <c r="O836" s="808">
        <f t="shared" ref="O836" si="1191">N836/(A836/365.25)</f>
        <v>0.11141180547730832</v>
      </c>
      <c r="P836" s="839" t="b">
        <f t="shared" ref="P836" si="1192">L836&gt;D836</f>
        <v>0</v>
      </c>
      <c r="Q836" s="824">
        <f>COUNTIF(P$2:P836, TRUE)/(COUNTIF(P$2:P836,FALSE) + COUNTIF(P$2:P836, TRUE))</f>
        <v>0.49820359281437127</v>
      </c>
      <c r="R836" s="866">
        <v>274189.2</v>
      </c>
      <c r="S836" s="868">
        <f t="shared" ref="S836" si="1193">I836-R836</f>
        <v>142758.88</v>
      </c>
      <c r="T836" s="822">
        <v>-33225</v>
      </c>
      <c r="U836" s="822">
        <f t="shared" ref="U836" si="1194">M836-T836</f>
        <v>150173.08000000002</v>
      </c>
      <c r="V836" s="824">
        <f>STDEV(D$2:D836)*SQRT(252)</f>
        <v>0.14773976393576149</v>
      </c>
      <c r="W836" s="824">
        <f>STDEV(L$2:L836)*SQRT(252)</f>
        <v>0.2535151700626439</v>
      </c>
      <c r="X836" s="823">
        <f t="shared" ref="X836" si="1195">E836/(A836/365.25)/V836</f>
        <v>0.61937926327813009</v>
      </c>
      <c r="Y836" s="823">
        <f t="shared" ref="Y836" si="1196">O836/W836</f>
        <v>0.43946800284092796</v>
      </c>
      <c r="Z836" s="829">
        <f t="shared" ref="Z836" si="1197">-(E836-N836)</f>
        <v>6.9646571468072183E-2</v>
      </c>
    </row>
    <row r="837" spans="1:26" ht="20.100000000000001" customHeight="1" x14ac:dyDescent="0.2">
      <c r="A837" s="798">
        <f t="shared" ref="A837" si="1198">B837-$B$2</f>
        <v>1282</v>
      </c>
      <c r="B837" s="817">
        <v>43515</v>
      </c>
      <c r="C837" s="842">
        <v>2779.76</v>
      </c>
      <c r="D837" s="814">
        <f t="shared" ref="D837" si="1199">(C837-C836)/C836</f>
        <v>1.4987750396311822E-3</v>
      </c>
      <c r="E837" s="841">
        <f t="shared" ref="E837" si="1200">(C837-$C$2)/$C$2</f>
        <v>0.32215901523943613</v>
      </c>
      <c r="F837" s="838">
        <v>7486.76</v>
      </c>
      <c r="G837" s="814">
        <f t="shared" ref="G837" si="1201">(F837-F836)/F836</f>
        <v>1.9203978368425132E-3</v>
      </c>
      <c r="H837" s="819">
        <f t="shared" ref="H837" si="1202">(F837-F$2)/F$2</f>
        <v>0.47038513659485054</v>
      </c>
      <c r="I837" s="863">
        <v>417878.34</v>
      </c>
      <c r="J837" s="822">
        <v>300000</v>
      </c>
      <c r="K837" s="822">
        <f t="shared" ref="K837" si="1203">I837-I836-J837+J836</f>
        <v>930.26000000000931</v>
      </c>
      <c r="L837" s="814">
        <f t="shared" ref="L837" si="1204">K837/I836</f>
        <v>2.2311171213452029E-3</v>
      </c>
      <c r="M837" s="839">
        <f t="shared" ref="M837" si="1205">I837-J837</f>
        <v>117878.34000000003</v>
      </c>
      <c r="N837" s="824">
        <f t="shared" ref="N837" si="1206">M837/J837</f>
        <v>0.3929278000000001</v>
      </c>
      <c r="O837" s="808">
        <f t="shared" ref="O837" si="1207">N837/(A837/365.25)</f>
        <v>0.1119476434867395</v>
      </c>
      <c r="P837" s="839" t="b">
        <f t="shared" ref="P837" si="1208">L837&gt;D837</f>
        <v>1</v>
      </c>
      <c r="Q837" s="824">
        <f>COUNTIF(P$2:P837, TRUE)/(COUNTIF(P$2:P837,FALSE) + COUNTIF(P$2:P837, TRUE))</f>
        <v>0.49880382775119619</v>
      </c>
      <c r="R837" s="866">
        <v>262366.64</v>
      </c>
      <c r="S837" s="868">
        <f t="shared" ref="S837" si="1209">I837-R837</f>
        <v>155511.70000000001</v>
      </c>
      <c r="T837" s="822">
        <v>-33300</v>
      </c>
      <c r="U837" s="822">
        <f t="shared" ref="U837" si="1210">M837-T837</f>
        <v>151178.34000000003</v>
      </c>
      <c r="V837" s="824">
        <f>STDEV(D$2:D837)*SQRT(252)</f>
        <v>0.14765245184344195</v>
      </c>
      <c r="W837" s="824">
        <f>STDEV(L$2:L837)*SQRT(252)</f>
        <v>0.25336471207681943</v>
      </c>
      <c r="X837" s="823">
        <f t="shared" ref="X837" si="1211">E837/(A837/365.25)/V837</f>
        <v>0.62162979962244336</v>
      </c>
      <c r="Y837" s="823">
        <f t="shared" ref="Y837" si="1212">O837/W837</f>
        <v>0.44184386440049039</v>
      </c>
      <c r="Z837" s="829">
        <f t="shared" ref="Z837" si="1213">-(E837-N837)</f>
        <v>7.0768784760563974E-2</v>
      </c>
    </row>
    <row r="838" spans="1:26" ht="20.100000000000001" customHeight="1" x14ac:dyDescent="0.2">
      <c r="A838" s="798">
        <f t="shared" ref="A838" si="1214">B838-$B$2</f>
        <v>1283</v>
      </c>
      <c r="B838" s="817">
        <v>43516</v>
      </c>
      <c r="C838" s="842">
        <v>2784.7</v>
      </c>
      <c r="D838" s="814">
        <f t="shared" ref="D838" si="1215">(C838-C837)/C837</f>
        <v>1.7771318387197453E-3</v>
      </c>
      <c r="E838" s="841">
        <f t="shared" ref="E838" si="1216">(C838-$C$2)/$C$2</f>
        <v>0.3245086661212685</v>
      </c>
      <c r="F838" s="838">
        <v>7489.06</v>
      </c>
      <c r="G838" s="814">
        <f t="shared" ref="G838" si="1217">(F838-F837)/F837</f>
        <v>3.0720899294223159E-4</v>
      </c>
      <c r="H838" s="819">
        <f t="shared" ref="H838" si="1218">(F838-F$2)/F$2</f>
        <v>0.47083685213190107</v>
      </c>
      <c r="I838" s="863">
        <v>419215.09</v>
      </c>
      <c r="J838" s="822">
        <v>300000</v>
      </c>
      <c r="K838" s="822">
        <f t="shared" ref="K838" si="1219">I838-I837-J838+J837</f>
        <v>1336.75</v>
      </c>
      <c r="L838" s="814">
        <f t="shared" ref="L838" si="1220">K838/I837</f>
        <v>3.1988975547284884E-3</v>
      </c>
      <c r="M838" s="839">
        <f t="shared" ref="M838" si="1221">I838-J838</f>
        <v>119215.09000000003</v>
      </c>
      <c r="N838" s="824">
        <f t="shared" ref="N838" si="1222">M838/J838</f>
        <v>0.39738363333333343</v>
      </c>
      <c r="O838" s="808">
        <f t="shared" ref="O838" si="1223">N838/(A838/365.25)</f>
        <v>0.11312889483632114</v>
      </c>
      <c r="P838" s="839" t="b">
        <f t="shared" ref="P838" si="1224">L838&gt;D838</f>
        <v>1</v>
      </c>
      <c r="Q838" s="824">
        <f>COUNTIF(P$2:P838, TRUE)/(COUNTIF(P$2:P838,FALSE) + COUNTIF(P$2:P838, TRUE))</f>
        <v>0.49940262843488648</v>
      </c>
      <c r="R838" s="866">
        <v>210627.18</v>
      </c>
      <c r="S838" s="868">
        <f t="shared" ref="S838" si="1225">I838-R838</f>
        <v>208587.91000000003</v>
      </c>
      <c r="T838" s="822">
        <v>-33230</v>
      </c>
      <c r="U838" s="822">
        <f t="shared" ref="U838" si="1226">M838-T838</f>
        <v>152445.09000000003</v>
      </c>
      <c r="V838" s="824">
        <f>STDEV(D$2:D838)*SQRT(252)</f>
        <v>0.14756601090213103</v>
      </c>
      <c r="W838" s="824">
        <f>STDEV(L$2:L838)*SQRT(252)</f>
        <v>0.25321695041310477</v>
      </c>
      <c r="X838" s="823">
        <f t="shared" ref="X838" si="1227">E838/(A838/365.25)/V838</f>
        <v>0.62604208648834814</v>
      </c>
      <c r="Y838" s="823">
        <f t="shared" ref="Y838" si="1228">O838/W838</f>
        <v>0.44676667439426826</v>
      </c>
      <c r="Z838" s="829">
        <f t="shared" ref="Z838" si="1229">-(E838-N838)</f>
        <v>7.2874967212064934E-2</v>
      </c>
    </row>
    <row r="839" spans="1:26" ht="20.100000000000001" customHeight="1" x14ac:dyDescent="0.2">
      <c r="A839" s="798">
        <f t="shared" ref="A839" si="1230">B839-$B$2</f>
        <v>1284</v>
      </c>
      <c r="B839" s="817">
        <v>43517</v>
      </c>
      <c r="C839" s="842">
        <v>2774.88</v>
      </c>
      <c r="D839" s="814">
        <f t="shared" ref="D839" si="1231">(C839-C838)/C838</f>
        <v>-3.526412180845229E-3</v>
      </c>
      <c r="E839" s="841">
        <f t="shared" ref="E839" si="1232">(C839-$C$2)/$C$2</f>
        <v>0.3198379026274234</v>
      </c>
      <c r="F839" s="838">
        <v>7459.7</v>
      </c>
      <c r="G839" s="814">
        <f t="shared" ref="G839" si="1233">(F839-F838)/F838</f>
        <v>-3.9203852018812211E-3</v>
      </c>
      <c r="H839" s="819">
        <f t="shared" ref="H839" si="1234">(F839-F$2)/F$2</f>
        <v>0.4650706051024216</v>
      </c>
      <c r="I839" s="863">
        <v>418665.85</v>
      </c>
      <c r="J839" s="822">
        <v>300000</v>
      </c>
      <c r="K839" s="822">
        <f t="shared" ref="K839" si="1235">I839-I838-J839+J838</f>
        <v>-549.24000000004889</v>
      </c>
      <c r="L839" s="814">
        <f t="shared" ref="L839" si="1236">K839/I838</f>
        <v>-1.3101627615552886E-3</v>
      </c>
      <c r="M839" s="839">
        <f t="shared" ref="M839" si="1237">I839-J839</f>
        <v>118665.84999999998</v>
      </c>
      <c r="N839" s="824">
        <f t="shared" ref="N839" si="1238">M839/J839</f>
        <v>0.39555283333333324</v>
      </c>
      <c r="O839" s="808">
        <f t="shared" ref="O839" si="1239">N839/(A839/365.25)</f>
        <v>0.11251999406152645</v>
      </c>
      <c r="P839" s="839" t="b">
        <f t="shared" ref="P839" si="1240">L839&gt;D839</f>
        <v>1</v>
      </c>
      <c r="Q839" s="824">
        <f>COUNTIF(P$2:P839, TRUE)/(COUNTIF(P$2:P839,FALSE) + COUNTIF(P$2:P839, TRUE))</f>
        <v>0.5</v>
      </c>
      <c r="R839" s="866">
        <v>221787.94</v>
      </c>
      <c r="S839" s="868">
        <f t="shared" ref="S839" si="1241">I839-R839</f>
        <v>196877.90999999997</v>
      </c>
      <c r="T839" s="822">
        <v>-33160</v>
      </c>
      <c r="U839" s="822">
        <f t="shared" ref="U839" si="1242">M839-T839</f>
        <v>151825.84999999998</v>
      </c>
      <c r="V839" s="824">
        <f>STDEV(D$2:D839)*SQRT(252)</f>
        <v>0.14749329834613209</v>
      </c>
      <c r="W839" s="824">
        <f>STDEV(L$2:L839)*SQRT(252)</f>
        <v>0.25306765260955155</v>
      </c>
      <c r="X839" s="823">
        <f t="shared" ref="X839" si="1243">E839/(A839/365.25)/V839</f>
        <v>0.61685464872364026</v>
      </c>
      <c r="Y839" s="823">
        <f t="shared" ref="Y839" si="1244">O839/W839</f>
        <v>0.44462416630990476</v>
      </c>
      <c r="Z839" s="829">
        <f t="shared" ref="Z839" si="1245">-(E839-N839)</f>
        <v>7.5714930705909844E-2</v>
      </c>
    </row>
    <row r="840" spans="1:26" ht="20.100000000000001" customHeight="1" x14ac:dyDescent="0.2">
      <c r="A840" s="798">
        <f t="shared" ref="A840" si="1246">B840-$B$2</f>
        <v>1285</v>
      </c>
      <c r="B840" s="817">
        <v>43518</v>
      </c>
      <c r="C840" s="842">
        <v>2792.67</v>
      </c>
      <c r="D840" s="814">
        <f t="shared" ref="D840" si="1247">(C840-C839)/C839</f>
        <v>6.4110880470506703E-3</v>
      </c>
      <c r="E840" s="841">
        <f t="shared" ref="E840" si="1248">(C840-$C$2)/$C$2</f>
        <v>0.32829949962900251</v>
      </c>
      <c r="F840" s="838">
        <v>7527.49</v>
      </c>
      <c r="G840" s="814">
        <f t="shared" ref="G840" si="1249">(F840-F839)/F839</f>
        <v>9.0874968162258495E-3</v>
      </c>
      <c r="H840" s="819">
        <f t="shared" ref="H840" si="1250">(F840-F$2)/F$2</f>
        <v>0.47838442956183597</v>
      </c>
      <c r="I840" s="863">
        <v>410165.69</v>
      </c>
      <c r="J840" s="822">
        <v>300000</v>
      </c>
      <c r="K840" s="822">
        <f t="shared" ref="K840" si="1251">I840-I839-J840+J839</f>
        <v>-8500.1599999999744</v>
      </c>
      <c r="L840" s="814">
        <f t="shared" ref="L840" si="1252">K840/I839</f>
        <v>-2.0302969540028103E-2</v>
      </c>
      <c r="M840" s="839">
        <f t="shared" ref="M840" si="1253">I840-J840</f>
        <v>110165.69</v>
      </c>
      <c r="N840" s="824">
        <f t="shared" ref="N840" si="1254">M840/J840</f>
        <v>0.3672189666666667</v>
      </c>
      <c r="O840" s="808">
        <f t="shared" ref="O840" si="1255">N840/(A840/365.25)</f>
        <v>0.10437877632295721</v>
      </c>
      <c r="P840" s="839" t="b">
        <f t="shared" ref="P840" si="1256">L840&gt;D840</f>
        <v>0</v>
      </c>
      <c r="Q840" s="824">
        <f>COUNTIF(P$2:P840, TRUE)/(COUNTIF(P$2:P840,FALSE) + COUNTIF(P$2:P840, TRUE))</f>
        <v>0.49940405244338498</v>
      </c>
      <c r="R840" s="866">
        <v>210938.45</v>
      </c>
      <c r="S840" s="868">
        <f t="shared" ref="S840" si="1257">I840-R840</f>
        <v>199227.24</v>
      </c>
      <c r="T840" s="822">
        <v>-39960</v>
      </c>
      <c r="U840" s="822">
        <f t="shared" ref="U840" si="1258">M840-T840</f>
        <v>150125.69</v>
      </c>
      <c r="V840" s="824">
        <f>STDEV(D$2:D840)*SQRT(252)</f>
        <v>0.1474423265735898</v>
      </c>
      <c r="W840" s="824">
        <f>STDEV(L$2:L840)*SQRT(252)</f>
        <v>0.25317624402984179</v>
      </c>
      <c r="X840" s="823">
        <f t="shared" ref="X840" si="1259">E840/(A840/365.25)/V840</f>
        <v>0.63290006825522904</v>
      </c>
      <c r="Y840" s="823">
        <f t="shared" ref="Y840" si="1260">O840/W840</f>
        <v>0.41227713414791839</v>
      </c>
      <c r="Z840" s="829">
        <f t="shared" ref="Z840" si="1261">-(E840-N840)</f>
        <v>3.891946703766419E-2</v>
      </c>
    </row>
    <row r="841" spans="1:26" ht="20.100000000000001" customHeight="1" x14ac:dyDescent="0.2">
      <c r="A841" s="798">
        <f t="shared" ref="A841" si="1262">B841-$B$2</f>
        <v>1288</v>
      </c>
      <c r="B841" s="817">
        <v>43521</v>
      </c>
      <c r="C841" s="842">
        <v>2796.11</v>
      </c>
      <c r="D841" s="814">
        <f t="shared" ref="D841" si="1263">(C841-C840)/C840</f>
        <v>1.2317960947767028E-3</v>
      </c>
      <c r="E841" s="841">
        <f t="shared" ref="E841" si="1264">(C841-$C$2)/$C$2</f>
        <v>0.32993569376533932</v>
      </c>
      <c r="F841" s="838">
        <v>7554.46</v>
      </c>
      <c r="G841" s="814">
        <f t="shared" ref="G841" si="1265">(F841-F840)/F840</f>
        <v>3.5828675959715993E-3</v>
      </c>
      <c r="H841" s="819">
        <f t="shared" ref="H841" si="1266">(F841-F$2)/F$2</f>
        <v>0.48368128522890202</v>
      </c>
      <c r="I841" s="863">
        <v>410247.07</v>
      </c>
      <c r="J841" s="822">
        <v>300000</v>
      </c>
      <c r="K841" s="822">
        <f t="shared" ref="K841" si="1267">I841-I840-J841+J840</f>
        <v>81.380000000004657</v>
      </c>
      <c r="L841" s="814">
        <f t="shared" ref="L841" si="1268">K841/I840</f>
        <v>1.9840762400191167E-4</v>
      </c>
      <c r="M841" s="839">
        <f t="shared" ref="M841" si="1269">I841-J841</f>
        <v>110247.07</v>
      </c>
      <c r="N841" s="824">
        <f t="shared" ref="N841" si="1270">M841/J841</f>
        <v>0.36749023333333336</v>
      </c>
      <c r="O841" s="808">
        <f t="shared" ref="O841" si="1271">N841/(A841/365.25)</f>
        <v>0.10421258363742236</v>
      </c>
      <c r="P841" s="839" t="b">
        <f t="shared" ref="P841" si="1272">L841&gt;D841</f>
        <v>0</v>
      </c>
      <c r="Q841" s="824">
        <f>COUNTIF(P$2:P841, TRUE)/(COUNTIF(P$2:P841,FALSE) + COUNTIF(P$2:P841, TRUE))</f>
        <v>0.49880952380952381</v>
      </c>
      <c r="R841" s="866">
        <v>207474.37</v>
      </c>
      <c r="S841" s="868">
        <f t="shared" ref="S841" si="1273">I841-R841</f>
        <v>202772.7</v>
      </c>
      <c r="T841" s="822">
        <v>-40463</v>
      </c>
      <c r="U841" s="822">
        <f t="shared" ref="U841" si="1274">M841-T841</f>
        <v>150710.07</v>
      </c>
      <c r="V841" s="824">
        <f>STDEV(D$2:D841)*SQRT(252)</f>
        <v>0.14735506367475187</v>
      </c>
      <c r="W841" s="824">
        <f>STDEV(L$2:L841)*SQRT(252)</f>
        <v>0.25302522676654315</v>
      </c>
      <c r="X841" s="823">
        <f t="shared" ref="X841" si="1275">E841/(A841/365.25)/V841</f>
        <v>0.63494864239472448</v>
      </c>
      <c r="Y841" s="823">
        <f t="shared" ref="Y841" si="1276">O841/W841</f>
        <v>0.41186637778839097</v>
      </c>
      <c r="Z841" s="829">
        <f t="shared" ref="Z841" si="1277">-(E841-N841)</f>
        <v>3.7554539567994039E-2</v>
      </c>
    </row>
    <row r="842" spans="1:26" ht="20.100000000000001" customHeight="1" x14ac:dyDescent="0.2">
      <c r="A842" s="798">
        <f t="shared" ref="A842" si="1278">B842-$B$2</f>
        <v>1289</v>
      </c>
      <c r="B842" s="817">
        <v>43522</v>
      </c>
      <c r="C842" s="842">
        <v>2793.9</v>
      </c>
      <c r="D842" s="814">
        <f t="shared" ref="D842" si="1279">(C842-C841)/C841</f>
        <v>-7.9038378318450854E-4</v>
      </c>
      <c r="E842" s="841">
        <f t="shared" ref="E842" si="1280">(C842-$C$2)/$C$2</f>
        <v>0.32888453416030899</v>
      </c>
      <c r="F842" s="838">
        <v>7549.29</v>
      </c>
      <c r="G842" s="814">
        <f t="shared" ref="G842" si="1281">(F842-F841)/F841</f>
        <v>-6.8436393865346735E-4</v>
      </c>
      <c r="H842" s="819">
        <f t="shared" ref="H842" si="1282">(F842-F$2)/F$2</f>
        <v>0.4826659072608363</v>
      </c>
      <c r="I842" s="863">
        <v>408143.39</v>
      </c>
      <c r="J842" s="822">
        <v>300000</v>
      </c>
      <c r="K842" s="822">
        <f t="shared" ref="K842" si="1283">I842-I841-J842+J841</f>
        <v>-2103.679999999993</v>
      </c>
      <c r="L842" s="814">
        <f t="shared" ref="L842" si="1284">K842/I841</f>
        <v>-5.1278367448181726E-3</v>
      </c>
      <c r="M842" s="839">
        <f t="shared" ref="M842" si="1285">I842-J842</f>
        <v>108143.39000000001</v>
      </c>
      <c r="N842" s="824">
        <f t="shared" ref="N842" si="1286">M842/J842</f>
        <v>0.3604779666666667</v>
      </c>
      <c r="O842" s="808">
        <f t="shared" ref="O842" si="1287">N842/(A842/365.25)</f>
        <v>0.10214474579131111</v>
      </c>
      <c r="P842" s="839" t="b">
        <f t="shared" ref="P842" si="1288">L842&gt;D842</f>
        <v>0</v>
      </c>
      <c r="Q842" s="824">
        <f>COUNTIF(P$2:P842, TRUE)/(COUNTIF(P$2:P842,FALSE) + COUNTIF(P$2:P842, TRUE))</f>
        <v>0.49821640903686087</v>
      </c>
      <c r="R842" s="866">
        <v>205370.69</v>
      </c>
      <c r="S842" s="868">
        <f t="shared" ref="S842" si="1289">I842-R842</f>
        <v>202772.7</v>
      </c>
      <c r="T842" s="822">
        <v>-41241</v>
      </c>
      <c r="U842" s="822">
        <f t="shared" ref="U842" si="1290">M842-T842</f>
        <v>149384.39000000001</v>
      </c>
      <c r="V842" s="824">
        <f>STDEV(D$2:D842)*SQRT(252)</f>
        <v>0.14726862384432793</v>
      </c>
      <c r="W842" s="824">
        <f>STDEV(L$2:L842)*SQRT(252)</f>
        <v>0.25289373174447405</v>
      </c>
      <c r="X842" s="823">
        <f t="shared" ref="X842" si="1291">E842/(A842/365.25)/V842</f>
        <v>0.63280591489232685</v>
      </c>
      <c r="Y842" s="823">
        <f t="shared" ref="Y842" si="1292">O842/W842</f>
        <v>0.40390382587465246</v>
      </c>
      <c r="Z842" s="829">
        <f t="shared" ref="Z842" si="1293">-(E842-N842)</f>
        <v>3.159343250635771E-2</v>
      </c>
    </row>
  </sheetData>
  <conditionalFormatting sqref="L843: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42">
    <cfRule type="colorScale" priority="1002">
      <colorScale>
        <cfvo type="min"/>
        <cfvo type="num" val="0"/>
        <cfvo type="max"/>
        <color rgb="FFF8696B"/>
        <color rgb="FFFFEB84"/>
        <color rgb="FF63BE7B"/>
      </colorScale>
    </cfRule>
  </conditionalFormatting>
  <conditionalFormatting sqref="G3:G842">
    <cfRule type="colorScale" priority="1004">
      <colorScale>
        <cfvo type="min"/>
        <cfvo type="num" val="0"/>
        <cfvo type="max"/>
        <color rgb="FFF8696B"/>
        <color rgb="FFFFEB84"/>
        <color rgb="FF63BE7B"/>
      </colorScale>
    </cfRule>
  </conditionalFormatting>
  <conditionalFormatting sqref="L3:L84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K277" sqref="K27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c r="T264" s="342"/>
    </row>
    <row r="265" spans="1:20" ht="18" customHeight="1" x14ac:dyDescent="0.25">
      <c r="M265" s="28" t="s">
        <v>130</v>
      </c>
      <c r="N265" s="141">
        <f>SUM(N1:N263)</f>
        <v>-3136.6299999999319</v>
      </c>
      <c r="Q265" s="283" t="s">
        <v>81</v>
      </c>
      <c r="R265" s="363">
        <f>SUM(R207:R226)</f>
        <v>1.55</v>
      </c>
      <c r="S265" s="343" t="s">
        <v>81</v>
      </c>
      <c r="T265" s="342">
        <f>SUM(T207:T263)</f>
        <v>1190.8700000000001</v>
      </c>
    </row>
    <row r="266" spans="1:20" ht="18" customHeight="1" x14ac:dyDescent="0.25">
      <c r="M266" s="25" t="s">
        <v>151</v>
      </c>
      <c r="N266" s="435">
        <f>T265</f>
        <v>1190.8700000000001</v>
      </c>
    </row>
    <row r="267" spans="1:20" ht="18" customHeight="1" x14ac:dyDescent="0.25">
      <c r="M267" s="25" t="s">
        <v>129</v>
      </c>
      <c r="N267" s="141">
        <f>SUM(ACTIVE!M:M)</f>
        <v>109266.2410666681</v>
      </c>
    </row>
    <row r="269" spans="1:20" ht="18" customHeight="1" x14ac:dyDescent="0.25">
      <c r="M269" s="25" t="s">
        <v>142</v>
      </c>
      <c r="N269" s="141">
        <f>SUM(N264:N267) -R265</f>
        <v>108143.38106666817</v>
      </c>
    </row>
    <row r="270" spans="1:20" ht="18" customHeight="1" x14ac:dyDescent="0.25">
      <c r="M270" s="25" t="s">
        <v>143</v>
      </c>
      <c r="N270" s="141">
        <f>Balance!AA2</f>
        <v>108143.39000000001</v>
      </c>
    </row>
    <row r="271" spans="1:20" ht="18" customHeight="1" x14ac:dyDescent="0.25">
      <c r="M271" s="25"/>
      <c r="N271" s="26"/>
      <c r="O271" s="274"/>
    </row>
    <row r="273" spans="13:14" ht="18" customHeight="1" x14ac:dyDescent="0.25">
      <c r="M273" s="25" t="s">
        <v>131</v>
      </c>
      <c r="N273" s="436">
        <f>N269-N271-N270</f>
        <v>-8.933331846492365E-3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63" priority="7">
      <formula>#REF!&gt;0</formula>
    </cfRule>
    <cfRule type="expression" dxfId="366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61" priority="58">
      <formula>F19&gt;0</formula>
    </cfRule>
    <cfRule type="expression" dxfId="366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59" priority="47">
      <formula>H25&gt;0</formula>
    </cfRule>
    <cfRule type="expression" dxfId="3658" priority="48">
      <formula>H25&lt;0</formula>
    </cfRule>
  </conditionalFormatting>
  <conditionalFormatting sqref="M39">
    <cfRule type="expression" dxfId="3657" priority="45">
      <formula>M39&gt;0</formula>
    </cfRule>
    <cfRule type="expression" dxfId="3656" priority="46">
      <formula>M39&lt;0</formula>
    </cfRule>
  </conditionalFormatting>
  <conditionalFormatting sqref="F61:F67">
    <cfRule type="expression" dxfId="3655" priority="43">
      <formula>F61&gt;0</formula>
    </cfRule>
    <cfRule type="expression" dxfId="3654" priority="44">
      <formula>F61&lt;0</formula>
    </cfRule>
  </conditionalFormatting>
  <conditionalFormatting sqref="H61:H67">
    <cfRule type="expression" dxfId="3653" priority="41">
      <formula>H61&gt;0</formula>
    </cfRule>
    <cfRule type="expression" dxfId="3652" priority="42">
      <formula>H61&lt;0</formula>
    </cfRule>
  </conditionalFormatting>
  <conditionalFormatting sqref="F21:F24">
    <cfRule type="expression" dxfId="3651" priority="39">
      <formula>F21&gt;0</formula>
    </cfRule>
    <cfRule type="expression" dxfId="3650" priority="40">
      <formula>F21&lt;0</formula>
    </cfRule>
  </conditionalFormatting>
  <conditionalFormatting sqref="H21:H24">
    <cfRule type="expression" dxfId="3649" priority="37">
      <formula>H21&gt;0</formula>
    </cfRule>
    <cfRule type="expression" dxfId="3648" priority="38">
      <formula>H21&lt;0</formula>
    </cfRule>
  </conditionalFormatting>
  <conditionalFormatting sqref="I25:I28">
    <cfRule type="expression" dxfId="3647" priority="31">
      <formula>I25&gt;0</formula>
    </cfRule>
    <cfRule type="expression" dxfId="3646" priority="32">
      <formula>I25&lt;0</formula>
    </cfRule>
  </conditionalFormatting>
  <conditionalFormatting sqref="I21:I24">
    <cfRule type="expression" dxfId="3645" priority="29">
      <formula>I21&gt;0</formula>
    </cfRule>
    <cfRule type="expression" dxfId="3644" priority="30">
      <formula>I21&lt;0</formula>
    </cfRule>
  </conditionalFormatting>
  <conditionalFormatting sqref="H29">
    <cfRule type="expression" dxfId="3643" priority="27">
      <formula>H29&gt;0</formula>
    </cfRule>
    <cfRule type="expression" dxfId="3642" priority="28">
      <formula>H29&lt;0</formula>
    </cfRule>
  </conditionalFormatting>
  <conditionalFormatting sqref="H30">
    <cfRule type="expression" dxfId="3641" priority="25">
      <formula>H30&gt;0</formula>
    </cfRule>
    <cfRule type="expression" dxfId="3640" priority="26">
      <formula>H30&lt;0</formula>
    </cfRule>
  </conditionalFormatting>
  <conditionalFormatting sqref="H31">
    <cfRule type="expression" dxfId="3639" priority="23">
      <formula>H31&gt;0</formula>
    </cfRule>
    <cfRule type="expression" dxfId="3638" priority="24">
      <formula>H31&lt;0</formula>
    </cfRule>
  </conditionalFormatting>
  <conditionalFormatting sqref="Q7">
    <cfRule type="expression" dxfId="3637" priority="21">
      <formula>Q7&gt;0</formula>
    </cfRule>
    <cfRule type="expression" dxfId="3636" priority="22">
      <formula>Q7&lt;0</formula>
    </cfRule>
  </conditionalFormatting>
  <conditionalFormatting sqref="Q8">
    <cfRule type="expression" dxfId="3635" priority="19">
      <formula>Q8&gt;0</formula>
    </cfRule>
    <cfRule type="expression" dxfId="3634" priority="20">
      <formula>Q8&lt;0</formula>
    </cfRule>
  </conditionalFormatting>
  <conditionalFormatting sqref="F73:F82">
    <cfRule type="expression" dxfId="3633" priority="17">
      <formula>F73&gt;0</formula>
    </cfRule>
    <cfRule type="expression" dxfId="3632" priority="18">
      <formula>F73&lt;0</formula>
    </cfRule>
  </conditionalFormatting>
  <conditionalFormatting sqref="H73:H76">
    <cfRule type="expression" dxfId="3631" priority="15">
      <formula>H73&gt;0</formula>
    </cfRule>
    <cfRule type="expression" dxfId="3630" priority="16">
      <formula>H73&lt;0</formula>
    </cfRule>
  </conditionalFormatting>
  <conditionalFormatting sqref="F69:F72">
    <cfRule type="expression" dxfId="3629" priority="13">
      <formula>F69&gt;0</formula>
    </cfRule>
    <cfRule type="expression" dxfId="3628" priority="14">
      <formula>F69&lt;0</formula>
    </cfRule>
  </conditionalFormatting>
  <conditionalFormatting sqref="H69:H72">
    <cfRule type="expression" dxfId="3627" priority="11">
      <formula>H69&gt;0</formula>
    </cfRule>
    <cfRule type="expression" dxfId="3626" priority="12">
      <formula>H69&lt;0</formula>
    </cfRule>
  </conditionalFormatting>
  <conditionalFormatting sqref="I73:I76">
    <cfRule type="expression" dxfId="3625" priority="9">
      <formula>I73&gt;0</formula>
    </cfRule>
    <cfRule type="expression" dxfId="3624" priority="10">
      <formula>I73&lt;0</formula>
    </cfRule>
  </conditionalFormatting>
  <conditionalFormatting sqref="I69:I72">
    <cfRule type="expression" dxfId="3623" priority="7">
      <formula>I69&gt;0</formula>
    </cfRule>
    <cfRule type="expression" dxfId="3622" priority="8">
      <formula>I69&lt;0</formula>
    </cfRule>
  </conditionalFormatting>
  <conditionalFormatting sqref="H77">
    <cfRule type="expression" dxfId="3621" priority="5">
      <formula>H77&gt;0</formula>
    </cfRule>
    <cfRule type="expression" dxfId="3620" priority="6">
      <formula>H77&lt;0</formula>
    </cfRule>
  </conditionalFormatting>
  <conditionalFormatting sqref="H78">
    <cfRule type="expression" dxfId="3619" priority="3">
      <formula>H78&gt;0</formula>
    </cfRule>
    <cfRule type="expression" dxfId="3618" priority="4">
      <formula>H78&lt;0</formula>
    </cfRule>
  </conditionalFormatting>
  <conditionalFormatting sqref="H79">
    <cfRule type="expression" dxfId="3617" priority="1">
      <formula>H79&gt;0</formula>
    </cfRule>
    <cfRule type="expression" dxfId="361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15" priority="29">
      <formula>N19&gt;0</formula>
    </cfRule>
    <cfRule type="expression" dxfId="361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13" priority="23">
      <formula>F22&gt;0</formula>
    </cfRule>
    <cfRule type="expression" dxfId="3612" priority="24">
      <formula>F22&lt;0</formula>
    </cfRule>
  </conditionalFormatting>
  <conditionalFormatting sqref="H22:H31">
    <cfRule type="expression" dxfId="3611" priority="21">
      <formula>H22&gt;0</formula>
    </cfRule>
    <cfRule type="expression" dxfId="3610" priority="22">
      <formula>H22&lt;0</formula>
    </cfRule>
  </conditionalFormatting>
  <conditionalFormatting sqref="I21:J31">
    <cfRule type="expression" dxfId="3609" priority="19">
      <formula>I21&gt;0</formula>
    </cfRule>
    <cfRule type="expression" dxfId="3608" priority="20">
      <formula>I21&lt;0</formula>
    </cfRule>
  </conditionalFormatting>
  <conditionalFormatting sqref="Q8">
    <cfRule type="expression" dxfId="3607" priority="11">
      <formula>Q8&gt;0</formula>
    </cfRule>
    <cfRule type="expression" dxfId="3606" priority="12">
      <formula>Q8&lt;0</formula>
    </cfRule>
  </conditionalFormatting>
  <conditionalFormatting sqref="Q7">
    <cfRule type="expression" dxfId="3605" priority="13">
      <formula>Q7&gt;0</formula>
    </cfRule>
    <cfRule type="expression" dxfId="3604" priority="14">
      <formula>Q7&lt;0</formula>
    </cfRule>
  </conditionalFormatting>
  <conditionalFormatting sqref="F56:F66">
    <cfRule type="expression" dxfId="3603" priority="9">
      <formula>F56&gt;0</formula>
    </cfRule>
    <cfRule type="expression" dxfId="3602" priority="10">
      <formula>F56&lt;0</formula>
    </cfRule>
  </conditionalFormatting>
  <conditionalFormatting sqref="H56:H66">
    <cfRule type="expression" dxfId="3601" priority="7">
      <formula>H56&gt;0</formula>
    </cfRule>
    <cfRule type="expression" dxfId="3600" priority="8">
      <formula>H56&lt;0</formula>
    </cfRule>
  </conditionalFormatting>
  <conditionalFormatting sqref="I56:I66">
    <cfRule type="expression" dxfId="3599" priority="5">
      <formula>I56&gt;0</formula>
    </cfRule>
    <cfRule type="expression" dxfId="3598" priority="6">
      <formula>I56&lt;0</formula>
    </cfRule>
  </conditionalFormatting>
  <conditionalFormatting sqref="F21">
    <cfRule type="expression" dxfId="3597" priority="3">
      <formula>F21&gt;0</formula>
    </cfRule>
    <cfRule type="expression" dxfId="3596" priority="4">
      <formula>F21&lt;0</formula>
    </cfRule>
  </conditionalFormatting>
  <conditionalFormatting sqref="H21">
    <cfRule type="expression" dxfId="3595" priority="1">
      <formula>H21&gt;0</formula>
    </cfRule>
    <cfRule type="expression" dxfId="359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593" priority="64">
      <formula>N23&gt;0</formula>
    </cfRule>
    <cfRule type="expression" dxfId="359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591" priority="58">
      <formula>F79&gt;0</formula>
    </cfRule>
    <cfRule type="expression" dxfId="3590" priority="59">
      <formula>F79&lt;0</formula>
    </cfRule>
  </conditionalFormatting>
  <conditionalFormatting sqref="H79:H97 H101:H118">
    <cfRule type="expression" dxfId="3589" priority="56">
      <formula>H79&gt;0</formula>
    </cfRule>
    <cfRule type="expression" dxfId="3588" priority="57">
      <formula>H79&lt;0</formula>
    </cfRule>
  </conditionalFormatting>
  <conditionalFormatting sqref="I75:I97 I100:I118">
    <cfRule type="expression" dxfId="3587" priority="54">
      <formula>I75&gt;0</formula>
    </cfRule>
    <cfRule type="expression" dxfId="3586" priority="55">
      <formula>I75&lt;0</formula>
    </cfRule>
  </conditionalFormatting>
  <conditionalFormatting sqref="Q7">
    <cfRule type="expression" dxfId="3585" priority="52">
      <formula>Q7&gt;0</formula>
    </cfRule>
    <cfRule type="expression" dxfId="3584" priority="53">
      <formula>Q7&lt;0</formula>
    </cfRule>
  </conditionalFormatting>
  <conditionalFormatting sqref="Q8">
    <cfRule type="expression" dxfId="3583" priority="50">
      <formula>Q8&gt;0</formula>
    </cfRule>
    <cfRule type="expression" dxfId="3582" priority="51">
      <formula>Q8&lt;0</formula>
    </cfRule>
  </conditionalFormatting>
  <conditionalFormatting sqref="F75:F78">
    <cfRule type="expression" dxfId="3581" priority="48">
      <formula>F75&gt;0</formula>
    </cfRule>
    <cfRule type="expression" dxfId="3580" priority="49">
      <formula>F75&lt;0</formula>
    </cfRule>
  </conditionalFormatting>
  <conditionalFormatting sqref="H75:H78">
    <cfRule type="expression" dxfId="3579" priority="46">
      <formula>H75&gt;0</formula>
    </cfRule>
    <cfRule type="expression" dxfId="3578" priority="47">
      <formula>H75&lt;0</formula>
    </cfRule>
  </conditionalFormatting>
  <conditionalFormatting sqref="F100:F114">
    <cfRule type="expression" dxfId="3577" priority="40">
      <formula>F100&gt;0</formula>
    </cfRule>
    <cfRule type="expression" dxfId="3576" priority="41">
      <formula>F100&lt;0</formula>
    </cfRule>
  </conditionalFormatting>
  <conditionalFormatting sqref="H100:H114">
    <cfRule type="expression" dxfId="3575" priority="38">
      <formula>H100&gt;0</formula>
    </cfRule>
    <cfRule type="expression" dxfId="3574" priority="39">
      <formula>H100&lt;0</formula>
    </cfRule>
  </conditionalFormatting>
  <conditionalFormatting sqref="F29:F67">
    <cfRule type="expression" dxfId="3573" priority="36">
      <formula>F29&gt;0</formula>
    </cfRule>
    <cfRule type="expression" dxfId="3572" priority="37">
      <formula>F29&lt;0</formula>
    </cfRule>
  </conditionalFormatting>
  <conditionalFormatting sqref="H29:H63">
    <cfRule type="expression" dxfId="3571" priority="34">
      <formula>H29&gt;0</formula>
    </cfRule>
    <cfRule type="expression" dxfId="3570" priority="35">
      <formula>H29&lt;0</formula>
    </cfRule>
  </conditionalFormatting>
  <conditionalFormatting sqref="J38:J68">
    <cfRule type="expression" dxfId="3569" priority="32">
      <formula>J38&gt;0</formula>
    </cfRule>
    <cfRule type="expression" dxfId="3568" priority="33">
      <formula>J38&lt;0</formula>
    </cfRule>
  </conditionalFormatting>
  <conditionalFormatting sqref="J43">
    <cfRule type="expression" dxfId="3567" priority="30">
      <formula>J43&gt;0</formula>
    </cfRule>
    <cfRule type="expression" dxfId="3566" priority="31">
      <formula>J43&lt;0</formula>
    </cfRule>
  </conditionalFormatting>
  <conditionalFormatting sqref="Q9">
    <cfRule type="expression" dxfId="3565" priority="24">
      <formula>Q9&gt;0</formula>
    </cfRule>
    <cfRule type="expression" dxfId="3564" priority="25">
      <formula>Q9&lt;0</formula>
    </cfRule>
  </conditionalFormatting>
  <conditionalFormatting sqref="R4">
    <cfRule type="expression" dxfId="3563" priority="26">
      <formula>R4&gt;0</formula>
    </cfRule>
    <cfRule type="expression" dxfId="356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61" priority="21">
      <formula>F120&gt;0</formula>
    </cfRule>
    <cfRule type="expression" dxfId="3560" priority="22">
      <formula>F120&lt;0</formula>
    </cfRule>
  </conditionalFormatting>
  <conditionalFormatting sqref="H120:H160">
    <cfRule type="expression" dxfId="3559" priority="19">
      <formula>H120&gt;0</formula>
    </cfRule>
    <cfRule type="expression" dxfId="3558" priority="20">
      <formula>H120&lt;0</formula>
    </cfRule>
  </conditionalFormatting>
  <conditionalFormatting sqref="J129:J160">
    <cfRule type="expression" dxfId="3557" priority="17">
      <formula>J129&gt;0</formula>
    </cfRule>
    <cfRule type="expression" dxfId="3556" priority="18">
      <formula>J129&lt;0</formula>
    </cfRule>
  </conditionalFormatting>
  <conditionalFormatting sqref="J134">
    <cfRule type="expression" dxfId="3555" priority="15">
      <formula>J134&gt;0</formula>
    </cfRule>
    <cfRule type="expression" dxfId="3554" priority="16">
      <formula>J134&lt;0</formula>
    </cfRule>
  </conditionalFormatting>
  <conditionalFormatting sqref="J31:J40">
    <cfRule type="expression" dxfId="3553" priority="13">
      <formula>J31&gt;0</formula>
    </cfRule>
    <cfRule type="expression" dxfId="3552" priority="14">
      <formula>J31&lt;0</formula>
    </cfRule>
  </conditionalFormatting>
  <conditionalFormatting sqref="J36:J37">
    <cfRule type="expression" dxfId="3551" priority="11">
      <formula>J36&gt;0</formula>
    </cfRule>
    <cfRule type="expression" dxfId="3550" priority="12">
      <formula>J36&lt;0</formula>
    </cfRule>
  </conditionalFormatting>
  <conditionalFormatting sqref="Q10">
    <cfRule type="expression" dxfId="3549" priority="9">
      <formula>Q10&gt;0</formula>
    </cfRule>
    <cfRule type="expression" dxfId="3548" priority="10">
      <formula>Q10&lt;0</formula>
    </cfRule>
  </conditionalFormatting>
  <conditionalFormatting sqref="K38:K55 K57:K68">
    <cfRule type="expression" dxfId="3547" priority="7">
      <formula>K38&gt;0</formula>
    </cfRule>
    <cfRule type="expression" dxfId="3546" priority="8">
      <formula>K38&lt;0</formula>
    </cfRule>
  </conditionalFormatting>
  <conditionalFormatting sqref="K43">
    <cfRule type="expression" dxfId="3545" priority="5">
      <formula>K43&gt;0</formula>
    </cfRule>
    <cfRule type="expression" dxfId="3544" priority="6">
      <formula>K43&lt;0</formula>
    </cfRule>
  </conditionalFormatting>
  <conditionalFormatting sqref="K31:K40">
    <cfRule type="expression" dxfId="3543" priority="3">
      <formula>K31&gt;0</formula>
    </cfRule>
    <cfRule type="expression" dxfId="3542" priority="4">
      <formula>K31&lt;0</formula>
    </cfRule>
  </conditionalFormatting>
  <conditionalFormatting sqref="K36:K37">
    <cfRule type="expression" dxfId="3541" priority="1">
      <formula>K36&gt;0</formula>
    </cfRule>
    <cfRule type="expression" dxfId="354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61.996000000000059</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4"/>
      <c r="M4" s="4"/>
      <c r="O4" s="11" t="s">
        <v>66</v>
      </c>
      <c r="Q4" s="54">
        <v>83.919899999999998</v>
      </c>
      <c r="R4" s="425">
        <v>-8.8999999999999999E-3</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4195.9949999999999</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3099.8000000000029</v>
      </c>
      <c r="T6" s="1"/>
    </row>
    <row r="7" spans="1:21" x14ac:dyDescent="0.25">
      <c r="B7" s="404">
        <v>43496</v>
      </c>
      <c r="C7" s="7">
        <v>50</v>
      </c>
      <c r="D7" s="43">
        <v>80.5</v>
      </c>
      <c r="E7" s="43">
        <v>0</v>
      </c>
      <c r="F7" s="43">
        <f t="shared" si="0"/>
        <v>4025</v>
      </c>
      <c r="G7" s="4"/>
      <c r="H7" s="161"/>
      <c r="I7" s="3"/>
      <c r="J7" s="3"/>
      <c r="K7" s="3"/>
      <c r="L7" s="4"/>
      <c r="M7" s="4"/>
      <c r="O7" s="11" t="s">
        <v>177</v>
      </c>
      <c r="Q7" s="2">
        <f>Q10+Q8</f>
        <v>1096.194999999997</v>
      </c>
      <c r="R7" s="29">
        <v>43528</v>
      </c>
    </row>
    <row r="8" spans="1:21" x14ac:dyDescent="0.25">
      <c r="B8" s="72"/>
      <c r="C8" s="4"/>
      <c r="D8" s="3"/>
      <c r="E8" s="3"/>
      <c r="F8" s="3"/>
      <c r="G8" s="4"/>
      <c r="H8" s="161"/>
      <c r="I8" s="3"/>
      <c r="J8" s="3"/>
      <c r="K8" s="3"/>
      <c r="L8" s="4"/>
      <c r="M8" s="4"/>
      <c r="O8" s="11" t="s">
        <v>179</v>
      </c>
      <c r="P8" s="33"/>
      <c r="Q8" s="2">
        <f>K18+M18-F18+Q2*Q4</f>
        <v>1096.194999999997</v>
      </c>
    </row>
    <row r="9" spans="1:21" x14ac:dyDescent="0.25">
      <c r="B9" s="4"/>
      <c r="C9" s="4"/>
      <c r="D9" s="3"/>
      <c r="E9" s="3"/>
      <c r="F9" s="3"/>
      <c r="G9" s="4"/>
      <c r="H9" s="161"/>
      <c r="I9" s="3"/>
      <c r="J9" s="3"/>
      <c r="K9" s="3"/>
      <c r="L9" s="4"/>
      <c r="M9" s="4"/>
      <c r="O9" s="11" t="s">
        <v>204</v>
      </c>
      <c r="Q9" s="134">
        <f>IF(Q2=0, 0, Q8/Q6)</f>
        <v>0.3536341054261552</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1.8112509666956229E-2</v>
      </c>
      <c r="R11">
        <v>0.38</v>
      </c>
    </row>
    <row r="12" spans="1:21" x14ac:dyDescent="0.25">
      <c r="H12" s="70"/>
      <c r="O12" s="11" t="s">
        <v>82</v>
      </c>
      <c r="Q12" s="1" t="s">
        <v>1370</v>
      </c>
    </row>
    <row r="13" spans="1:21" x14ac:dyDescent="0.25">
      <c r="H13" s="70"/>
      <c r="O13" s="11" t="s">
        <v>947</v>
      </c>
      <c r="Q13" s="2">
        <f>Q4/6.49</f>
        <v>12.930647149460707</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39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39</v>
      </c>
    </row>
    <row r="22" spans="1:17" ht="20.25" thickBot="1" x14ac:dyDescent="0.35">
      <c r="O22" s="767" t="s">
        <v>78</v>
      </c>
      <c r="P22" s="767"/>
    </row>
    <row r="23" spans="1:17" ht="15.75" thickTop="1" x14ac:dyDescent="0.25">
      <c r="O23" s="81">
        <v>1.1000000000000001</v>
      </c>
      <c r="P23" s="81">
        <f>O23*$Q$4</f>
        <v>92.311890000000005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91.472691000000012</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90.633492000000004</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89.79429300000001</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88.955094000000003</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88.115895000000009</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87.276696000000001</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86.437497000000008</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8" si="7">(E31-D31)/D31</f>
        <v>3.7375213050888645E-2</v>
      </c>
      <c r="I31" s="39"/>
      <c r="J31" s="39"/>
      <c r="K31" s="39"/>
      <c r="L31" s="155"/>
      <c r="O31" s="81">
        <v>1.02</v>
      </c>
      <c r="P31" s="81">
        <f t="shared" si="1"/>
        <v>85.598298</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84.759099000000006</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83.919899999999998</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83.080700999999991</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82.241501999999997</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81.402302999999989</v>
      </c>
    </row>
    <row r="37" spans="1:17" x14ac:dyDescent="0.25">
      <c r="A37" s="33">
        <v>0</v>
      </c>
      <c r="B37" s="164">
        <v>43405</v>
      </c>
      <c r="C37" s="185">
        <v>50</v>
      </c>
      <c r="D37" s="186">
        <v>70.023600000000002</v>
      </c>
      <c r="E37" s="39">
        <v>90.92</v>
      </c>
      <c r="F37" s="778">
        <f t="shared" ref="F37:F48" si="8">C37*(E37-D37)</f>
        <v>1044.82</v>
      </c>
      <c r="G37" s="39">
        <f t="shared" ref="G37:G48" si="9">D37*C37</f>
        <v>3501.1800000000003</v>
      </c>
      <c r="H37" s="179">
        <f t="shared" si="7"/>
        <v>0.29841939003421702</v>
      </c>
      <c r="I37" s="39"/>
      <c r="J37" s="39"/>
      <c r="K37" s="39">
        <v>14.01</v>
      </c>
      <c r="L37" s="39"/>
      <c r="O37" s="81">
        <v>0.96</v>
      </c>
      <c r="P37" s="81">
        <f t="shared" si="1"/>
        <v>80.563103999999996</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79.723904999999988</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78.884705999999994</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78.045507000000001</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77.206308000000007</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76.367108999999999</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75.527910000000006</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39" priority="31">
      <formula>F55&gt;0</formula>
    </cfRule>
    <cfRule type="expression" dxfId="3538" priority="32">
      <formula>F55&lt;0</formula>
    </cfRule>
  </conditionalFormatting>
  <conditionalFormatting sqref="Q7">
    <cfRule type="expression" dxfId="3537" priority="29">
      <formula>Q7&gt;0</formula>
    </cfRule>
    <cfRule type="expression" dxfId="3536" priority="30">
      <formula>Q7&lt;0</formula>
    </cfRule>
  </conditionalFormatting>
  <conditionalFormatting sqref="Q8">
    <cfRule type="expression" dxfId="3535" priority="27">
      <formula>Q8&gt;0</formula>
    </cfRule>
    <cfRule type="expression" dxfId="3534" priority="28">
      <formula>Q8&lt;0</formula>
    </cfRule>
  </conditionalFormatting>
  <conditionalFormatting sqref="F33:F54">
    <cfRule type="expression" dxfId="3533" priority="25">
      <formula>F33&gt;0</formula>
    </cfRule>
    <cfRule type="expression" dxfId="3532" priority="26">
      <formula>F33&lt;0</formula>
    </cfRule>
  </conditionalFormatting>
  <conditionalFormatting sqref="H33:H54">
    <cfRule type="expression" dxfId="3531" priority="23">
      <formula>H33&gt;0</formula>
    </cfRule>
    <cfRule type="expression" dxfId="3530" priority="24">
      <formula>H33&lt;0</formula>
    </cfRule>
  </conditionalFormatting>
  <conditionalFormatting sqref="Q10">
    <cfRule type="expression" dxfId="3529" priority="21">
      <formula>Q10&gt;0</formula>
    </cfRule>
    <cfRule type="expression" dxfId="3528" priority="22">
      <formula>Q10&lt;0</formula>
    </cfRule>
  </conditionalFormatting>
  <conditionalFormatting sqref="J25:J38">
    <cfRule type="expression" dxfId="3527" priority="19">
      <formula>J25&gt;0</formula>
    </cfRule>
    <cfRule type="expression" dxfId="3526" priority="20">
      <formula>J25&lt;0</formula>
    </cfRule>
  </conditionalFormatting>
  <conditionalFormatting sqref="L25:L38">
    <cfRule type="expression" dxfId="3525" priority="15">
      <formula>L25&gt;0</formula>
    </cfRule>
    <cfRule type="expression" dxfId="3524" priority="16">
      <formula>L25&lt;0</formula>
    </cfRule>
  </conditionalFormatting>
  <conditionalFormatting sqref="F89:F110">
    <cfRule type="expression" dxfId="3523" priority="13">
      <formula>F89&gt;0</formula>
    </cfRule>
    <cfRule type="expression" dxfId="3522" priority="14">
      <formula>F89&lt;0</formula>
    </cfRule>
  </conditionalFormatting>
  <conditionalFormatting sqref="H89:H110">
    <cfRule type="expression" dxfId="3521" priority="11">
      <formula>H89&gt;0</formula>
    </cfRule>
    <cfRule type="expression" dxfId="3520" priority="12">
      <formula>H89&lt;0</formula>
    </cfRule>
  </conditionalFormatting>
  <conditionalFormatting sqref="J89:J102">
    <cfRule type="expression" dxfId="3519" priority="9">
      <formula>J89&gt;0</formula>
    </cfRule>
    <cfRule type="expression" dxfId="3518" priority="10">
      <formula>J89&lt;0</formula>
    </cfRule>
  </conditionalFormatting>
  <conditionalFormatting sqref="K89:K102">
    <cfRule type="expression" dxfId="3517" priority="7">
      <formula>K89&gt;0</formula>
    </cfRule>
    <cfRule type="expression" dxfId="3516" priority="8">
      <formula>K89&lt;0</formula>
    </cfRule>
  </conditionalFormatting>
  <conditionalFormatting sqref="L89:L102">
    <cfRule type="expression" dxfId="3515" priority="5">
      <formula>L89&gt;0</formula>
    </cfRule>
    <cfRule type="expression" dxfId="3514" priority="6">
      <formula>L89&lt;0</formula>
    </cfRule>
  </conditionalFormatting>
  <conditionalFormatting sqref="F25:F32">
    <cfRule type="expression" dxfId="3513" priority="3">
      <formula>F25&gt;0</formula>
    </cfRule>
    <cfRule type="expression" dxfId="3512" priority="4">
      <formula>F25&lt;0</formula>
    </cfRule>
  </conditionalFormatting>
  <conditionalFormatting sqref="H25:H32">
    <cfRule type="expression" dxfId="3511" priority="1">
      <formula>H25&gt;0</formula>
    </cfRule>
    <cfRule type="expression" dxfId="351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2632.9706999999999</v>
      </c>
      <c r="R4" s="425">
        <v>-5.5999999999999999E-3</v>
      </c>
      <c r="T4" s="693"/>
      <c r="U4" t="s">
        <v>1340</v>
      </c>
    </row>
    <row r="5" spans="1:21" x14ac:dyDescent="0.25">
      <c r="B5" s="368">
        <v>43434</v>
      </c>
      <c r="C5" s="7">
        <v>2</v>
      </c>
      <c r="D5" s="43">
        <v>2440</v>
      </c>
      <c r="E5" s="43">
        <v>0</v>
      </c>
      <c r="F5" s="43">
        <f>C5*D5+E5</f>
        <v>4880</v>
      </c>
      <c r="G5" s="4"/>
      <c r="H5" s="161"/>
      <c r="I5" s="3"/>
      <c r="J5" s="3"/>
      <c r="K5" s="3"/>
      <c r="L5" s="4"/>
      <c r="M5" s="4"/>
      <c r="O5" s="11" t="s">
        <v>67</v>
      </c>
      <c r="Q5" s="3">
        <f>Q4*Q2</f>
        <v>5265.9413999999997</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903.86140000000159</v>
      </c>
      <c r="R7">
        <v>2</v>
      </c>
      <c r="T7" s="1">
        <v>43333</v>
      </c>
      <c r="U7" t="s">
        <v>1244</v>
      </c>
    </row>
    <row r="8" spans="1:21" x14ac:dyDescent="0.25">
      <c r="B8" s="72"/>
      <c r="C8" s="4"/>
      <c r="D8" s="3"/>
      <c r="E8" s="3"/>
      <c r="F8" s="3"/>
      <c r="G8" s="4"/>
      <c r="H8" s="161"/>
      <c r="I8" s="3"/>
      <c r="J8" s="3"/>
      <c r="K8" s="3"/>
      <c r="L8" s="4"/>
      <c r="M8" s="4"/>
      <c r="O8" s="11" t="s">
        <v>179</v>
      </c>
      <c r="P8" s="33"/>
      <c r="Q8" s="2">
        <f>K18+M18-F18+Q2*Q4</f>
        <v>903.86140000000159</v>
      </c>
    </row>
    <row r="9" spans="1:21" x14ac:dyDescent="0.25">
      <c r="B9" s="4"/>
      <c r="C9" s="4"/>
      <c r="D9" s="3"/>
      <c r="E9" s="3"/>
      <c r="F9" s="3"/>
      <c r="G9" s="4"/>
      <c r="H9" s="161"/>
      <c r="I9" s="3"/>
      <c r="J9" s="3"/>
      <c r="K9" s="3"/>
      <c r="L9" s="4"/>
      <c r="M9" s="4"/>
      <c r="O9" s="11" t="s">
        <v>204</v>
      </c>
      <c r="Q9" s="134">
        <f>IF(Q2=0, 0, Q8/Q6)</f>
        <v>0.20720880864174934</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13.572013917525773</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2896.2677699999999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2869.9380630000001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2843.6083560000002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2817.2786489999999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2790.948942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2764.6192350000001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2738.2895279999998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2711.9598209999999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2685.630114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2659.3004069999997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2632.9706999999999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2606.640993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2580.3112859999997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2553.9815789999998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2527.6518719999999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2501.3221649999996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2474.9924579999997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2448.6627509999998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2422.333044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2396.0033370000001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2369.6736299999998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09" priority="31">
      <formula>F54&gt;0</formula>
    </cfRule>
    <cfRule type="expression" dxfId="3508" priority="32">
      <formula>F54&lt;0</formula>
    </cfRule>
  </conditionalFormatting>
  <conditionalFormatting sqref="Q7">
    <cfRule type="expression" dxfId="3507" priority="29">
      <formula>Q7&gt;0</formula>
    </cfRule>
    <cfRule type="expression" dxfId="3506" priority="30">
      <formula>Q7&lt;0</formula>
    </cfRule>
  </conditionalFormatting>
  <conditionalFormatting sqref="Q8">
    <cfRule type="expression" dxfId="3505" priority="27">
      <formula>Q8&gt;0</formula>
    </cfRule>
    <cfRule type="expression" dxfId="3504" priority="28">
      <formula>Q8&lt;0</formula>
    </cfRule>
  </conditionalFormatting>
  <conditionalFormatting sqref="F31:F53">
    <cfRule type="expression" dxfId="3503" priority="25">
      <formula>F31&gt;0</formula>
    </cfRule>
    <cfRule type="expression" dxfId="3502" priority="26">
      <formula>F31&lt;0</formula>
    </cfRule>
  </conditionalFormatting>
  <conditionalFormatting sqref="H31:H53">
    <cfRule type="expression" dxfId="3501" priority="23">
      <formula>H31&gt;0</formula>
    </cfRule>
    <cfRule type="expression" dxfId="3500" priority="24">
      <formula>H31&lt;0</formula>
    </cfRule>
  </conditionalFormatting>
  <conditionalFormatting sqref="Q10">
    <cfRule type="expression" dxfId="3499" priority="21">
      <formula>Q10&gt;0</formula>
    </cfRule>
    <cfRule type="expression" dxfId="3498" priority="22">
      <formula>Q10&lt;0</formula>
    </cfRule>
  </conditionalFormatting>
  <conditionalFormatting sqref="J25:J38">
    <cfRule type="expression" dxfId="3497" priority="19">
      <formula>J25&gt;0</formula>
    </cfRule>
    <cfRule type="expression" dxfId="3496" priority="20">
      <formula>J25&lt;0</formula>
    </cfRule>
  </conditionalFormatting>
  <conditionalFormatting sqref="L25:L38">
    <cfRule type="expression" dxfId="3495" priority="15">
      <formula>L25&gt;0</formula>
    </cfRule>
    <cfRule type="expression" dxfId="3494" priority="16">
      <formula>L25&lt;0</formula>
    </cfRule>
  </conditionalFormatting>
  <conditionalFormatting sqref="F89:F110">
    <cfRule type="expression" dxfId="3493" priority="13">
      <formula>F89&gt;0</formula>
    </cfRule>
    <cfRule type="expression" dxfId="3492" priority="14">
      <formula>F89&lt;0</formula>
    </cfRule>
  </conditionalFormatting>
  <conditionalFormatting sqref="H89:H110">
    <cfRule type="expression" dxfId="3491" priority="11">
      <formula>H89&gt;0</formula>
    </cfRule>
    <cfRule type="expression" dxfId="3490" priority="12">
      <formula>H89&lt;0</formula>
    </cfRule>
  </conditionalFormatting>
  <conditionalFormatting sqref="J89:J102">
    <cfRule type="expression" dxfId="3489" priority="9">
      <formula>J89&gt;0</formula>
    </cfRule>
    <cfRule type="expression" dxfId="3488" priority="10">
      <formula>J89&lt;0</formula>
    </cfRule>
  </conditionalFormatting>
  <conditionalFormatting sqref="K89:K102">
    <cfRule type="expression" dxfId="3487" priority="7">
      <formula>K89&gt;0</formula>
    </cfRule>
    <cfRule type="expression" dxfId="3486" priority="8">
      <formula>K89&lt;0</formula>
    </cfRule>
  </conditionalFormatting>
  <conditionalFormatting sqref="L89:L102">
    <cfRule type="expression" dxfId="3485" priority="5">
      <formula>L89&gt;0</formula>
    </cfRule>
    <cfRule type="expression" dxfId="3484" priority="6">
      <formula>L89&lt;0</formula>
    </cfRule>
  </conditionalFormatting>
  <conditionalFormatting sqref="F25:F30">
    <cfRule type="expression" dxfId="3483" priority="3">
      <formula>F25&gt;0</formula>
    </cfRule>
    <cfRule type="expression" dxfId="3482" priority="4">
      <formula>F25&lt;0</formula>
    </cfRule>
  </conditionalFormatting>
  <conditionalFormatting sqref="H25:H30">
    <cfRule type="expression" dxfId="3481" priority="1">
      <formula>H25&gt;0</formula>
    </cfRule>
    <cfRule type="expression" dxfId="3480"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79" priority="35">
      <formula>N19&gt;0</formula>
    </cfRule>
    <cfRule type="expression" dxfId="347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77" priority="21">
      <formula>F25&gt;0</formula>
    </cfRule>
    <cfRule type="expression" dxfId="3476" priority="22">
      <formula>F25&lt;0</formula>
    </cfRule>
  </conditionalFormatting>
  <conditionalFormatting sqref="H25:H47">
    <cfRule type="expression" dxfId="3475" priority="19">
      <formula>H25&gt;0</formula>
    </cfRule>
    <cfRule type="expression" dxfId="3474" priority="20">
      <formula>H25&lt;0</formula>
    </cfRule>
  </conditionalFormatting>
  <conditionalFormatting sqref="I25:I27">
    <cfRule type="expression" dxfId="3473" priority="15">
      <formula>I25&gt;0</formula>
    </cfRule>
    <cfRule type="expression" dxfId="3472" priority="16">
      <formula>I25&lt;0</formula>
    </cfRule>
  </conditionalFormatting>
  <conditionalFormatting sqref="Q7">
    <cfRule type="expression" dxfId="3471" priority="5">
      <formula>Q7&gt;0</formula>
    </cfRule>
    <cfRule type="expression" dxfId="3470" priority="6">
      <formula>Q7&lt;0</formula>
    </cfRule>
  </conditionalFormatting>
  <conditionalFormatting sqref="Q8">
    <cfRule type="expression" dxfId="3469" priority="3">
      <formula>Q8&gt;0</formula>
    </cfRule>
    <cfRule type="expression" dxfId="346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67" priority="9">
      <formula>F36&gt;0</formula>
    </cfRule>
    <cfRule type="expression" dxfId="3466" priority="10">
      <formula>F36&lt;0</formula>
    </cfRule>
  </conditionalFormatting>
  <conditionalFormatting sqref="F25:F35">
    <cfRule type="expression" dxfId="3465" priority="7">
      <formula>F25&gt;0</formula>
    </cfRule>
    <cfRule type="expression" dxfId="3464" priority="8">
      <formula>F25&lt;0</formula>
    </cfRule>
  </conditionalFormatting>
  <conditionalFormatting sqref="H25:H35">
    <cfRule type="expression" dxfId="3463" priority="5">
      <formula>H25&gt;0</formula>
    </cfRule>
    <cfRule type="expression" dxfId="3462" priority="6">
      <formula>H25&lt;0</formula>
    </cfRule>
  </conditionalFormatting>
  <conditionalFormatting sqref="Q7">
    <cfRule type="expression" dxfId="3461" priority="3">
      <formula>Q7&gt;0</formula>
    </cfRule>
    <cfRule type="expression" dxfId="3460" priority="4">
      <formula>Q7&lt;0</formula>
    </cfRule>
  </conditionalFormatting>
  <conditionalFormatting sqref="Q8">
    <cfRule type="expression" dxfId="3459" priority="1">
      <formula>Q8&gt;0</formula>
    </cfRule>
    <cfRule type="expression" dxfId="345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57" priority="37">
      <formula>F25&gt;0</formula>
    </cfRule>
    <cfRule type="expression" dxfId="3456" priority="38">
      <formula>F25&lt;0</formula>
    </cfRule>
  </conditionalFormatting>
  <conditionalFormatting sqref="Q7">
    <cfRule type="expression" dxfId="3455" priority="35">
      <formula>Q7&gt;0</formula>
    </cfRule>
    <cfRule type="expression" dxfId="3454" priority="36">
      <formula>Q7&lt;0</formula>
    </cfRule>
  </conditionalFormatting>
  <conditionalFormatting sqref="Q8">
    <cfRule type="expression" dxfId="3453" priority="33">
      <formula>Q8&gt;0</formula>
    </cfRule>
    <cfRule type="expression" dxfId="3452" priority="34">
      <formula>Q8&lt;0</formula>
    </cfRule>
  </conditionalFormatting>
  <conditionalFormatting sqref="F44:F46">
    <cfRule type="expression" dxfId="3451" priority="31">
      <formula>F44&gt;0</formula>
    </cfRule>
    <cfRule type="expression" dxfId="3450" priority="32">
      <formula>F44&lt;0</formula>
    </cfRule>
  </conditionalFormatting>
  <conditionalFormatting sqref="H44:H46">
    <cfRule type="expression" dxfId="3449" priority="29">
      <formula>H44&gt;0</formula>
    </cfRule>
    <cfRule type="expression" dxfId="3448" priority="30">
      <formula>H44&lt;0</formula>
    </cfRule>
  </conditionalFormatting>
  <conditionalFormatting sqref="F89:F110">
    <cfRule type="expression" dxfId="3447" priority="27">
      <formula>F89&gt;0</formula>
    </cfRule>
    <cfRule type="expression" dxfId="3446" priority="28">
      <formula>F89&lt;0</formula>
    </cfRule>
  </conditionalFormatting>
  <conditionalFormatting sqref="H89:H110">
    <cfRule type="expression" dxfId="3445" priority="25">
      <formula>H89&gt;0</formula>
    </cfRule>
    <cfRule type="expression" dxfId="3444" priority="26">
      <formula>H89&lt;0</formula>
    </cfRule>
  </conditionalFormatting>
  <conditionalFormatting sqref="Q10">
    <cfRule type="expression" dxfId="3443" priority="23">
      <formula>Q10&gt;0</formula>
    </cfRule>
    <cfRule type="expression" dxfId="3442" priority="24">
      <formula>Q10&lt;0</formula>
    </cfRule>
  </conditionalFormatting>
  <conditionalFormatting sqref="J25:J38">
    <cfRule type="expression" dxfId="3441" priority="21">
      <formula>J25&gt;0</formula>
    </cfRule>
    <cfRule type="expression" dxfId="3440" priority="22">
      <formula>J25&lt;0</formula>
    </cfRule>
  </conditionalFormatting>
  <conditionalFormatting sqref="K25:K38">
    <cfRule type="expression" dxfId="3439" priority="19">
      <formula>K25&gt;0</formula>
    </cfRule>
    <cfRule type="expression" dxfId="3438" priority="20">
      <formula>K25&lt;0</formula>
    </cfRule>
  </conditionalFormatting>
  <conditionalFormatting sqref="L25:L38">
    <cfRule type="expression" dxfId="3437" priority="17">
      <formula>L25&gt;0</formula>
    </cfRule>
    <cfRule type="expression" dxfId="3436" priority="18">
      <formula>L25&lt;0</formula>
    </cfRule>
  </conditionalFormatting>
  <conditionalFormatting sqref="J40">
    <cfRule type="expression" dxfId="3435" priority="15">
      <formula>J40&gt;0</formula>
    </cfRule>
    <cfRule type="expression" dxfId="3434" priority="16">
      <formula>J40&lt;0</formula>
    </cfRule>
  </conditionalFormatting>
  <conditionalFormatting sqref="L39">
    <cfRule type="expression" dxfId="3433" priority="11">
      <formula>L39&gt;0</formula>
    </cfRule>
    <cfRule type="expression" dxfId="3432" priority="12">
      <formula>L39&lt;0</formula>
    </cfRule>
  </conditionalFormatting>
  <conditionalFormatting sqref="F39">
    <cfRule type="expression" dxfId="3431" priority="9">
      <formula>F39&gt;0</formula>
    </cfRule>
    <cfRule type="expression" dxfId="3430" priority="10">
      <formula>F39&lt;0</formula>
    </cfRule>
  </conditionalFormatting>
  <conditionalFormatting sqref="H39">
    <cfRule type="expression" dxfId="3429" priority="7">
      <formula>H39&gt;0</formula>
    </cfRule>
    <cfRule type="expression" dxfId="3428" priority="8">
      <formula>H39&lt;0</formula>
    </cfRule>
  </conditionalFormatting>
  <conditionalFormatting sqref="J41">
    <cfRule type="expression" dxfId="3427" priority="5">
      <formula>J41&gt;0</formula>
    </cfRule>
    <cfRule type="expression" dxfId="3426" priority="6">
      <formula>J41&lt;0</formula>
    </cfRule>
  </conditionalFormatting>
  <conditionalFormatting sqref="J43">
    <cfRule type="expression" dxfId="3425" priority="3">
      <formula>J43&gt;0</formula>
    </cfRule>
    <cfRule type="expression" dxfId="3424" priority="4">
      <formula>J43&lt;0</formula>
    </cfRule>
  </conditionalFormatting>
  <conditionalFormatting sqref="J44">
    <cfRule type="expression" dxfId="3423" priority="1">
      <formula>J44&gt;0</formula>
    </cfRule>
    <cfRule type="expression" dxfId="342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21" priority="31">
      <formula>F29&gt;0</formula>
    </cfRule>
    <cfRule type="expression" dxfId="3420" priority="32">
      <formula>F29&lt;0</formula>
    </cfRule>
  </conditionalFormatting>
  <conditionalFormatting sqref="F29 F31:F35">
    <cfRule type="expression" dxfId="3419" priority="33">
      <formula>F29&gt;0</formula>
    </cfRule>
    <cfRule type="expression" dxfId="3418" priority="34">
      <formula>F29&lt;0</formula>
    </cfRule>
  </conditionalFormatting>
  <conditionalFormatting sqref="H29 H31:H35">
    <cfRule type="expression" dxfId="3417" priority="29">
      <formula>H29&gt;0</formula>
    </cfRule>
    <cfRule type="expression" dxfId="3416" priority="30">
      <formula>H29&lt;0</formula>
    </cfRule>
  </conditionalFormatting>
  <conditionalFormatting sqref="F21:F28">
    <cfRule type="expression" dxfId="3415" priority="27">
      <formula>F21&gt;0</formula>
    </cfRule>
    <cfRule type="expression" dxfId="3414" priority="28">
      <formula>F21&lt;0</formula>
    </cfRule>
  </conditionalFormatting>
  <conditionalFormatting sqref="H21:H28">
    <cfRule type="expression" dxfId="3413" priority="25">
      <formula>H21&gt;0</formula>
    </cfRule>
    <cfRule type="expression" dxfId="3412" priority="26">
      <formula>H21&lt;0</formula>
    </cfRule>
  </conditionalFormatting>
  <conditionalFormatting sqref="Q8">
    <cfRule type="expression" dxfId="3411" priority="21">
      <formula>Q8&gt;0</formula>
    </cfRule>
    <cfRule type="expression" dxfId="3410" priority="22">
      <formula>Q8&lt;0</formula>
    </cfRule>
  </conditionalFormatting>
  <conditionalFormatting sqref="Q7">
    <cfRule type="expression" dxfId="3409" priority="23">
      <formula>Q7&gt;0</formula>
    </cfRule>
    <cfRule type="expression" dxfId="3408" priority="24">
      <formula>Q7&lt;0</formula>
    </cfRule>
  </conditionalFormatting>
  <conditionalFormatting sqref="F30">
    <cfRule type="expression" dxfId="3407" priority="19">
      <formula>F30&gt;0</formula>
    </cfRule>
    <cfRule type="expression" dxfId="3406" priority="20">
      <formula>F30&lt;0</formula>
    </cfRule>
  </conditionalFormatting>
  <conditionalFormatting sqref="H30">
    <cfRule type="expression" dxfId="3405" priority="17">
      <formula>H30&gt;0</formula>
    </cfRule>
    <cfRule type="expression" dxfId="3404" priority="18">
      <formula>H30&lt;0</formula>
    </cfRule>
  </conditionalFormatting>
  <conditionalFormatting sqref="F68 F70:F74">
    <cfRule type="expression" dxfId="3403" priority="13">
      <formula>F68&gt;0</formula>
    </cfRule>
    <cfRule type="expression" dxfId="3402" priority="14">
      <formula>F68&lt;0</formula>
    </cfRule>
  </conditionalFormatting>
  <conditionalFormatting sqref="F68 F70:F74">
    <cfRule type="expression" dxfId="3401" priority="15">
      <formula>F68&gt;0</formula>
    </cfRule>
    <cfRule type="expression" dxfId="3400" priority="16">
      <formula>F68&lt;0</formula>
    </cfRule>
  </conditionalFormatting>
  <conditionalFormatting sqref="H68 H70:H74">
    <cfRule type="expression" dxfId="3399" priority="11">
      <formula>H68&gt;0</formula>
    </cfRule>
    <cfRule type="expression" dxfId="3398" priority="12">
      <formula>H68&lt;0</formula>
    </cfRule>
  </conditionalFormatting>
  <conditionalFormatting sqref="F60:F67">
    <cfRule type="expression" dxfId="3397" priority="9">
      <formula>F60&gt;0</formula>
    </cfRule>
    <cfRule type="expression" dxfId="3396" priority="10">
      <formula>F60&lt;0</formula>
    </cfRule>
  </conditionalFormatting>
  <conditionalFormatting sqref="H60:H67">
    <cfRule type="expression" dxfId="3395" priority="7">
      <formula>H60&gt;0</formula>
    </cfRule>
    <cfRule type="expression" dxfId="3394" priority="8">
      <formula>H60&lt;0</formula>
    </cfRule>
  </conditionalFormatting>
  <conditionalFormatting sqref="F69">
    <cfRule type="expression" dxfId="3393" priority="5">
      <formula>F69&gt;0</formula>
    </cfRule>
    <cfRule type="expression" dxfId="3392" priority="6">
      <formula>F69&lt;0</formula>
    </cfRule>
  </conditionalFormatting>
  <conditionalFormatting sqref="H69">
    <cfRule type="expression" dxfId="3391" priority="3">
      <formula>H69&gt;0</formula>
    </cfRule>
    <cfRule type="expression" dxfId="3390" priority="4">
      <formula>H69&lt;0</formula>
    </cfRule>
  </conditionalFormatting>
  <conditionalFormatting sqref="Q10">
    <cfRule type="expression" dxfId="3389" priority="1">
      <formula>Q10&gt;0</formula>
    </cfRule>
    <cfRule type="expression" dxfId="338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87" priority="11">
      <formula>F33&gt;0</formula>
    </cfRule>
    <cfRule type="expression" dxfId="3386" priority="12">
      <formula>F33&lt;0</formula>
    </cfRule>
  </conditionalFormatting>
  <conditionalFormatting sqref="Q7">
    <cfRule type="expression" dxfId="3385" priority="9">
      <formula>Q7&gt;0</formula>
    </cfRule>
    <cfRule type="expression" dxfId="3384" priority="10">
      <formula>Q7&lt;0</formula>
    </cfRule>
  </conditionalFormatting>
  <conditionalFormatting sqref="Q8">
    <cfRule type="expression" dxfId="3383" priority="7">
      <formula>Q8&gt;0</formula>
    </cfRule>
    <cfRule type="expression" dxfId="3382" priority="8">
      <formula>Q8&lt;0</formula>
    </cfRule>
  </conditionalFormatting>
  <conditionalFormatting sqref="F25:F32">
    <cfRule type="expression" dxfId="3381" priority="5">
      <formula>F25&gt;0</formula>
    </cfRule>
    <cfRule type="expression" dxfId="3380" priority="6">
      <formula>F25&lt;0</formula>
    </cfRule>
  </conditionalFormatting>
  <conditionalFormatting sqref="H25:H32">
    <cfRule type="expression" dxfId="3379" priority="3">
      <formula>H25&gt;0</formula>
    </cfRule>
    <cfRule type="expression" dxfId="3378" priority="4">
      <formula>H25&lt;0</formula>
    </cfRule>
  </conditionalFormatting>
  <conditionalFormatting sqref="Q10">
    <cfRule type="expression" dxfId="3377" priority="1">
      <formula>Q10&gt;0</formula>
    </cfRule>
    <cfRule type="expression" dxfId="337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75" priority="75">
      <formula>F32&gt;0</formula>
    </cfRule>
    <cfRule type="expression" dxfId="3374" priority="76">
      <formula>F32&lt;0</formula>
    </cfRule>
  </conditionalFormatting>
  <conditionalFormatting sqref="Q7">
    <cfRule type="expression" dxfId="3373" priority="73">
      <formula>Q7&gt;0</formula>
    </cfRule>
    <cfRule type="expression" dxfId="3372" priority="74">
      <formula>Q7&lt;0</formula>
    </cfRule>
  </conditionalFormatting>
  <conditionalFormatting sqref="Q8">
    <cfRule type="expression" dxfId="3371" priority="71">
      <formula>Q8&gt;0</formula>
    </cfRule>
    <cfRule type="expression" dxfId="337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69" priority="63">
      <formula>M58&gt;0</formula>
    </cfRule>
    <cfRule type="expression" dxfId="3368" priority="64">
      <formula>M58&lt;0</formula>
    </cfRule>
  </conditionalFormatting>
  <conditionalFormatting sqref="Q10">
    <cfRule type="expression" dxfId="3367" priority="61">
      <formula>Q10&gt;0</formula>
    </cfRule>
    <cfRule type="expression" dxfId="3366" priority="62">
      <formula>Q10&lt;0</formula>
    </cfRule>
  </conditionalFormatting>
  <conditionalFormatting sqref="F29:F31">
    <cfRule type="expression" dxfId="3365" priority="59">
      <formula>F29&gt;0</formula>
    </cfRule>
    <cfRule type="expression" dxfId="3364" priority="60">
      <formula>F29&lt;0</formula>
    </cfRule>
  </conditionalFormatting>
  <conditionalFormatting sqref="H29:H31">
    <cfRule type="expression" dxfId="3363" priority="57">
      <formula>H29&gt;0</formula>
    </cfRule>
    <cfRule type="expression" dxfId="3362" priority="58">
      <formula>H29&lt;0</formula>
    </cfRule>
  </conditionalFormatting>
  <conditionalFormatting sqref="F83:F94">
    <cfRule type="expression" dxfId="3361" priority="55">
      <formula>F83&gt;0</formula>
    </cfRule>
    <cfRule type="expression" dxfId="3360" priority="56">
      <formula>F83&lt;0</formula>
    </cfRule>
  </conditionalFormatting>
  <conditionalFormatting sqref="H83:H94">
    <cfRule type="expression" dxfId="3359" priority="53">
      <formula>H83&gt;0</formula>
    </cfRule>
    <cfRule type="expression" dxfId="3358" priority="54">
      <formula>H83&lt;0</formula>
    </cfRule>
  </conditionalFormatting>
  <conditionalFormatting sqref="J41">
    <cfRule type="expression" dxfId="3357" priority="51">
      <formula>J41&gt;0</formula>
    </cfRule>
    <cfRule type="expression" dxfId="3356" priority="52">
      <formula>J41&lt;0</formula>
    </cfRule>
  </conditionalFormatting>
  <conditionalFormatting sqref="J39:J47">
    <cfRule type="expression" dxfId="3355" priority="49">
      <formula>J39&gt;0</formula>
    </cfRule>
    <cfRule type="expression" dxfId="3354" priority="50">
      <formula>J39&lt;0</formula>
    </cfRule>
  </conditionalFormatting>
  <conditionalFormatting sqref="F48:F51 H48:H51">
    <cfRule type="expression" dxfId="3353" priority="47">
      <formula>F48&gt;0</formula>
    </cfRule>
    <cfRule type="expression" dxfId="3352" priority="48">
      <formula>F48&lt;0</formula>
    </cfRule>
  </conditionalFormatting>
  <conditionalFormatting sqref="J48:J57">
    <cfRule type="expression" dxfId="3351" priority="45">
      <formula>J48&gt;0</formula>
    </cfRule>
    <cfRule type="expression" dxfId="3350" priority="46">
      <formula>J48&lt;0</formula>
    </cfRule>
  </conditionalFormatting>
  <conditionalFormatting sqref="K45:K52">
    <cfRule type="expression" dxfId="3349" priority="43">
      <formula>K45&gt;0</formula>
    </cfRule>
    <cfRule type="expression" dxfId="3348" priority="44">
      <formula>K45&lt;0</formula>
    </cfRule>
  </conditionalFormatting>
  <conditionalFormatting sqref="K45:K52">
    <cfRule type="expression" dxfId="3347" priority="41">
      <formula>K45&gt;0</formula>
    </cfRule>
    <cfRule type="expression" dxfId="3346" priority="42">
      <formula>K45&lt;0</formula>
    </cfRule>
  </conditionalFormatting>
  <conditionalFormatting sqref="F102:F118 H102:H118 H120:H128 F120:F128">
    <cfRule type="expression" dxfId="3345" priority="37">
      <formula>F102&gt;0</formula>
    </cfRule>
    <cfRule type="expression" dxfId="3344" priority="38">
      <formula>F102&lt;0</formula>
    </cfRule>
  </conditionalFormatting>
  <conditionalFormatting sqref="F96:F101">
    <cfRule type="expression" dxfId="3343" priority="35">
      <formula>F96&gt;0</formula>
    </cfRule>
    <cfRule type="expression" dxfId="3342" priority="36">
      <formula>F96&lt;0</formula>
    </cfRule>
  </conditionalFormatting>
  <conditionalFormatting sqref="H96:H101">
    <cfRule type="expression" dxfId="3341" priority="33">
      <formula>H96&gt;0</formula>
    </cfRule>
    <cfRule type="expression" dxfId="3340" priority="34">
      <formula>H96&lt;0</formula>
    </cfRule>
  </conditionalFormatting>
  <conditionalFormatting sqref="J112">
    <cfRule type="expression" dxfId="3339" priority="31">
      <formula>J112&gt;0</formula>
    </cfRule>
    <cfRule type="expression" dxfId="3338" priority="32">
      <formula>J112&lt;0</formula>
    </cfRule>
  </conditionalFormatting>
  <conditionalFormatting sqref="J110:J118 J120">
    <cfRule type="expression" dxfId="3337" priority="29">
      <formula>J110&gt;0</formula>
    </cfRule>
    <cfRule type="expression" dxfId="3336" priority="30">
      <formula>J110&lt;0</formula>
    </cfRule>
  </conditionalFormatting>
  <conditionalFormatting sqref="F119 H119">
    <cfRule type="expression" dxfId="3335" priority="27">
      <formula>F119&gt;0</formula>
    </cfRule>
    <cfRule type="expression" dxfId="3334" priority="28">
      <formula>F119&lt;0</formula>
    </cfRule>
  </conditionalFormatting>
  <conditionalFormatting sqref="J119">
    <cfRule type="expression" dxfId="3333" priority="25">
      <formula>J119&gt;0</formula>
    </cfRule>
    <cfRule type="expression" dxfId="3332" priority="26">
      <formula>J119&lt;0</formula>
    </cfRule>
  </conditionalFormatting>
  <conditionalFormatting sqref="K112:K123">
    <cfRule type="expression" dxfId="3331" priority="23">
      <formula>K112&gt;0</formula>
    </cfRule>
    <cfRule type="expression" dxfId="3330" priority="24">
      <formula>K112&lt;0</formula>
    </cfRule>
  </conditionalFormatting>
  <conditionalFormatting sqref="K110:K123">
    <cfRule type="expression" dxfId="3329" priority="21">
      <formula>K110&gt;0</formula>
    </cfRule>
    <cfRule type="expression" dxfId="3328" priority="22">
      <formula>K110&lt;0</formula>
    </cfRule>
  </conditionalFormatting>
  <conditionalFormatting sqref="J121">
    <cfRule type="expression" dxfId="3327" priority="19">
      <formula>J121&gt;0</formula>
    </cfRule>
    <cfRule type="expression" dxfId="3326" priority="20">
      <formula>J121&lt;0</formula>
    </cfRule>
  </conditionalFormatting>
  <conditionalFormatting sqref="F25:F28">
    <cfRule type="expression" dxfId="3325" priority="17">
      <formula>F25&gt;0</formula>
    </cfRule>
    <cfRule type="expression" dxfId="3324" priority="18">
      <formula>F25&lt;0</formula>
    </cfRule>
  </conditionalFormatting>
  <conditionalFormatting sqref="H25:H28">
    <cfRule type="expression" dxfId="3323" priority="15">
      <formula>H25&gt;0</formula>
    </cfRule>
    <cfRule type="expression" dxfId="3322" priority="16">
      <formula>H25&lt;0</formula>
    </cfRule>
  </conditionalFormatting>
  <conditionalFormatting sqref="J27:J29">
    <cfRule type="expression" dxfId="3321" priority="13">
      <formula>J27&gt;0</formula>
    </cfRule>
    <cfRule type="expression" dxfId="3320" priority="14">
      <formula>J27&lt;0</formula>
    </cfRule>
  </conditionalFormatting>
  <conditionalFormatting sqref="J30:J31">
    <cfRule type="expression" dxfId="3319" priority="11">
      <formula>J30&gt;0</formula>
    </cfRule>
    <cfRule type="expression" dxfId="3318" priority="12">
      <formula>J30&lt;0</formula>
    </cfRule>
  </conditionalFormatting>
  <conditionalFormatting sqref="J33">
    <cfRule type="expression" dxfId="3317" priority="9">
      <formula>J33&gt;0</formula>
    </cfRule>
    <cfRule type="expression" dxfId="3316" priority="10">
      <formula>J33&lt;0</formula>
    </cfRule>
  </conditionalFormatting>
  <conditionalFormatting sqref="J34">
    <cfRule type="expression" dxfId="3315" priority="7">
      <formula>J34&gt;0</formula>
    </cfRule>
    <cfRule type="expression" dxfId="3314" priority="8">
      <formula>J34&lt;0</formula>
    </cfRule>
  </conditionalFormatting>
  <conditionalFormatting sqref="J35:J43">
    <cfRule type="expression" dxfId="3313" priority="5">
      <formula>J35&gt;0</formula>
    </cfRule>
    <cfRule type="expression" dxfId="331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11" priority="1">
      <formula>Q9&gt;0</formula>
    </cfRule>
    <cfRule type="expression" dxfId="331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09" priority="15">
      <formula>F39&gt;0</formula>
    </cfRule>
    <cfRule type="expression" dxfId="3308" priority="16">
      <formula>F39&lt;0</formula>
    </cfRule>
  </conditionalFormatting>
  <conditionalFormatting sqref="Q7">
    <cfRule type="expression" dxfId="3307" priority="13">
      <formula>Q7&gt;0</formula>
    </cfRule>
    <cfRule type="expression" dxfId="3306" priority="14">
      <formula>Q7&lt;0</formula>
    </cfRule>
  </conditionalFormatting>
  <conditionalFormatting sqref="Q8">
    <cfRule type="expression" dxfId="3305" priority="11">
      <formula>Q8&gt;0</formula>
    </cfRule>
    <cfRule type="expression" dxfId="3304" priority="12">
      <formula>Q8&lt;0</formula>
    </cfRule>
  </conditionalFormatting>
  <conditionalFormatting sqref="F25:F38">
    <cfRule type="expression" dxfId="3303" priority="9">
      <formula>F25&gt;0</formula>
    </cfRule>
    <cfRule type="expression" dxfId="3302" priority="10">
      <formula>F25&lt;0</formula>
    </cfRule>
  </conditionalFormatting>
  <conditionalFormatting sqref="H25:H38">
    <cfRule type="expression" dxfId="3301" priority="7">
      <formula>H25&gt;0</formula>
    </cfRule>
    <cfRule type="expression" dxfId="3300" priority="8">
      <formula>H25&lt;0</formula>
    </cfRule>
  </conditionalFormatting>
  <conditionalFormatting sqref="M55">
    <cfRule type="expression" dxfId="3299" priority="3">
      <formula>M55&gt;0</formula>
    </cfRule>
    <cfRule type="expression" dxfId="3298" priority="4">
      <formula>M55&lt;0</formula>
    </cfRule>
  </conditionalFormatting>
  <conditionalFormatting sqref="Q10">
    <cfRule type="expression" dxfId="3297" priority="1">
      <formula>Q10&gt;0</formula>
    </cfRule>
    <cfRule type="expression" dxfId="329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295" priority="27">
      <formula>F27&gt;0</formula>
    </cfRule>
    <cfRule type="expression" dxfId="3294" priority="28">
      <formula>F27&lt;0</formula>
    </cfRule>
  </conditionalFormatting>
  <conditionalFormatting sqref="Q8">
    <cfRule type="expression" dxfId="3293" priority="15">
      <formula>Q8&gt;0</formula>
    </cfRule>
    <cfRule type="expression" dxfId="3292" priority="16">
      <formula>Q8&lt;0</formula>
    </cfRule>
  </conditionalFormatting>
  <conditionalFormatting sqref="Q7">
    <cfRule type="expression" dxfId="3291" priority="17">
      <formula>Q7&gt;0</formula>
    </cfRule>
    <cfRule type="expression" dxfId="3290" priority="18">
      <formula>Q7&lt;0</formula>
    </cfRule>
  </conditionalFormatting>
  <conditionalFormatting sqref="F37:F38">
    <cfRule type="expression" dxfId="3289" priority="13">
      <formula>F37&gt;0</formula>
    </cfRule>
    <cfRule type="expression" dxfId="3288" priority="14">
      <formula>F37&lt;0</formula>
    </cfRule>
  </conditionalFormatting>
  <conditionalFormatting sqref="H37:H38">
    <cfRule type="expression" dxfId="3287" priority="11">
      <formula>H37&gt;0</formula>
    </cfRule>
    <cfRule type="expression" dxfId="3286" priority="12">
      <formula>H37&lt;0</formula>
    </cfRule>
  </conditionalFormatting>
  <conditionalFormatting sqref="F23:F26 H23:H26">
    <cfRule type="expression" dxfId="3285" priority="9">
      <formula>F23&gt;0</formula>
    </cfRule>
    <cfRule type="expression" dxfId="3284" priority="10">
      <formula>F23&lt;0</formula>
    </cfRule>
  </conditionalFormatting>
  <conditionalFormatting sqref="Q10">
    <cfRule type="expression" dxfId="3283" priority="3">
      <formula>Q10&gt;0</formula>
    </cfRule>
    <cfRule type="expression" dxfId="3282" priority="4">
      <formula>Q10&lt;0</formula>
    </cfRule>
  </conditionalFormatting>
  <conditionalFormatting sqref="F22 H22">
    <cfRule type="expression" dxfId="3281" priority="1">
      <formula>F22&gt;0</formula>
    </cfRule>
    <cfRule type="expression" dxfId="3280" priority="2">
      <formula>F22&lt;0</formula>
    </cfRule>
  </conditionalFormatting>
  <conditionalFormatting sqref="M41">
    <cfRule type="expression" dxfId="3279" priority="5">
      <formula>M41&gt;0</formula>
    </cfRule>
    <cfRule type="expression" dxfId="327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77" priority="29">
      <formula>F25&gt;0</formula>
    </cfRule>
    <cfRule type="expression" dxfId="3276" priority="30">
      <formula>F25&lt;0</formula>
    </cfRule>
  </conditionalFormatting>
  <conditionalFormatting sqref="Q7">
    <cfRule type="expression" dxfId="3275" priority="27">
      <formula>Q7&gt;0</formula>
    </cfRule>
    <cfRule type="expression" dxfId="3274" priority="28">
      <formula>Q7&lt;0</formula>
    </cfRule>
  </conditionalFormatting>
  <conditionalFormatting sqref="Q8">
    <cfRule type="expression" dxfId="3273" priority="25">
      <formula>Q8&gt;0</formula>
    </cfRule>
    <cfRule type="expression" dxfId="3272" priority="26">
      <formula>Q8&lt;0</formula>
    </cfRule>
  </conditionalFormatting>
  <conditionalFormatting sqref="Q10">
    <cfRule type="expression" dxfId="3271" priority="13">
      <formula>Q10&gt;0</formula>
    </cfRule>
    <cfRule type="expression" dxfId="3270" priority="14">
      <formula>Q10&lt;0</formula>
    </cfRule>
  </conditionalFormatting>
  <conditionalFormatting sqref="M46">
    <cfRule type="expression" dxfId="3269" priority="11">
      <formula>M46&gt;0</formula>
    </cfRule>
    <cfRule type="expression" dxfId="3268" priority="12">
      <formula>M46&lt;0</formula>
    </cfRule>
  </conditionalFormatting>
  <conditionalFormatting sqref="F80:F88 H80:H88">
    <cfRule type="expression" dxfId="3267" priority="9">
      <formula>F80&gt;0</formula>
    </cfRule>
    <cfRule type="expression" dxfId="3266" priority="10">
      <formula>F80&lt;0</formula>
    </cfRule>
  </conditionalFormatting>
  <conditionalFormatting sqref="F75:F79">
    <cfRule type="expression" dxfId="3265" priority="7">
      <formula>F75&gt;0</formula>
    </cfRule>
    <cfRule type="expression" dxfId="3264" priority="8">
      <formula>F75&lt;0</formula>
    </cfRule>
  </conditionalFormatting>
  <conditionalFormatting sqref="H75:H79">
    <cfRule type="expression" dxfId="3263" priority="5">
      <formula>H75&gt;0</formula>
    </cfRule>
    <cfRule type="expression" dxfId="3262" priority="6">
      <formula>H75&lt;0</formula>
    </cfRule>
  </conditionalFormatting>
  <conditionalFormatting sqref="F71:F74">
    <cfRule type="expression" dxfId="3261" priority="3">
      <formula>F71&gt;0</formula>
    </cfRule>
    <cfRule type="expression" dxfId="3260" priority="4">
      <formula>F71&lt;0</formula>
    </cfRule>
  </conditionalFormatting>
  <conditionalFormatting sqref="H71:H74">
    <cfRule type="expression" dxfId="3259" priority="1">
      <formula>H71&gt;0</formula>
    </cfRule>
    <cfRule type="expression" dxfId="325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57" priority="35">
      <formula>F47&gt;0</formula>
    </cfRule>
    <cfRule type="expression" dxfId="3256" priority="36">
      <formula>F47&lt;0</formula>
    </cfRule>
  </conditionalFormatting>
  <conditionalFormatting sqref="Q7">
    <cfRule type="expression" dxfId="3255" priority="33">
      <formula>Q7&gt;0</formula>
    </cfRule>
    <cfRule type="expression" dxfId="3254" priority="34">
      <formula>Q7&lt;0</formula>
    </cfRule>
  </conditionalFormatting>
  <conditionalFormatting sqref="Q8">
    <cfRule type="expression" dxfId="3253" priority="31">
      <formula>Q8&gt;0</formula>
    </cfRule>
    <cfRule type="expression" dxfId="3252" priority="32">
      <formula>Q8&lt;0</formula>
    </cfRule>
  </conditionalFormatting>
  <conditionalFormatting sqref="F30:F46">
    <cfRule type="expression" dxfId="3251" priority="29">
      <formula>F30&gt;0</formula>
    </cfRule>
    <cfRule type="expression" dxfId="3250" priority="30">
      <formula>F30&lt;0</formula>
    </cfRule>
  </conditionalFormatting>
  <conditionalFormatting sqref="H30:H46">
    <cfRule type="expression" dxfId="3249" priority="27">
      <formula>H30&gt;0</formula>
    </cfRule>
    <cfRule type="expression" dxfId="3248" priority="28">
      <formula>H30&lt;0</formula>
    </cfRule>
  </conditionalFormatting>
  <conditionalFormatting sqref="Q10">
    <cfRule type="expression" dxfId="3247" priority="25">
      <formula>Q10&gt;0</formula>
    </cfRule>
    <cfRule type="expression" dxfId="3246" priority="26">
      <formula>Q10&lt;0</formula>
    </cfRule>
  </conditionalFormatting>
  <conditionalFormatting sqref="J25:J38">
    <cfRule type="expression" dxfId="3245" priority="23">
      <formula>J25&gt;0</formula>
    </cfRule>
    <cfRule type="expression" dxfId="3244" priority="24">
      <formula>J25&lt;0</formula>
    </cfRule>
  </conditionalFormatting>
  <conditionalFormatting sqref="K25:K38">
    <cfRule type="expression" dxfId="3243" priority="21">
      <formula>K25&gt;0</formula>
    </cfRule>
    <cfRule type="expression" dxfId="3242" priority="22">
      <formula>K25&lt;0</formula>
    </cfRule>
  </conditionalFormatting>
  <conditionalFormatting sqref="L25 L38">
    <cfRule type="expression" dxfId="3241" priority="19">
      <formula>L25&gt;0</formula>
    </cfRule>
    <cfRule type="expression" dxfId="3240" priority="20">
      <formula>L25&lt;0</formula>
    </cfRule>
  </conditionalFormatting>
  <conditionalFormatting sqref="F89:F110">
    <cfRule type="expression" dxfId="3239" priority="17">
      <formula>F89&gt;0</formula>
    </cfRule>
    <cfRule type="expression" dxfId="3238" priority="18">
      <formula>F89&lt;0</formula>
    </cfRule>
  </conditionalFormatting>
  <conditionalFormatting sqref="H89:H110">
    <cfRule type="expression" dxfId="3237" priority="15">
      <formula>H89&gt;0</formula>
    </cfRule>
    <cfRule type="expression" dxfId="3236" priority="16">
      <formula>H89&lt;0</formula>
    </cfRule>
  </conditionalFormatting>
  <conditionalFormatting sqref="J89:J102">
    <cfRule type="expression" dxfId="3235" priority="13">
      <formula>J89&gt;0</formula>
    </cfRule>
    <cfRule type="expression" dxfId="3234" priority="14">
      <formula>J89&lt;0</formula>
    </cfRule>
  </conditionalFormatting>
  <conditionalFormatting sqref="K89:K102">
    <cfRule type="expression" dxfId="3233" priority="11">
      <formula>K89&gt;0</formula>
    </cfRule>
    <cfRule type="expression" dxfId="3232" priority="12">
      <formula>K89&lt;0</formula>
    </cfRule>
  </conditionalFormatting>
  <conditionalFormatting sqref="L89:L102">
    <cfRule type="expression" dxfId="3231" priority="9">
      <formula>L89&gt;0</formula>
    </cfRule>
    <cfRule type="expression" dxfId="3230" priority="10">
      <formula>L89&lt;0</formula>
    </cfRule>
  </conditionalFormatting>
  <conditionalFormatting sqref="F25:F29">
    <cfRule type="expression" dxfId="3229" priority="7">
      <formula>F25&gt;0</formula>
    </cfRule>
    <cfRule type="expression" dxfId="3228" priority="8">
      <formula>F25&lt;0</formula>
    </cfRule>
  </conditionalFormatting>
  <conditionalFormatting sqref="H25:H29">
    <cfRule type="expression" dxfId="3227" priority="5">
      <formula>H25&gt;0</formula>
    </cfRule>
    <cfRule type="expression" dxfId="322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55.88</v>
      </c>
      <c r="R4" s="425">
        <v>-3.5999999999999999E-3</v>
      </c>
      <c r="T4" s="1"/>
    </row>
    <row r="5" spans="1:21" x14ac:dyDescent="0.25">
      <c r="B5" s="72"/>
      <c r="C5" s="4"/>
      <c r="D5" s="3"/>
      <c r="E5" s="3"/>
      <c r="F5" s="3"/>
      <c r="G5" s="72"/>
      <c r="H5" s="161"/>
      <c r="I5" s="3"/>
      <c r="J5" s="3"/>
      <c r="K5" s="3"/>
      <c r="L5" s="4"/>
      <c r="M5" s="4"/>
      <c r="O5" s="11" t="s">
        <v>67</v>
      </c>
      <c r="Q5" s="3">
        <f>Q4*Q2</f>
        <v>11176</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-516</v>
      </c>
      <c r="R7">
        <v>200</v>
      </c>
    </row>
    <row r="8" spans="1:21" x14ac:dyDescent="0.25">
      <c r="B8" s="72"/>
      <c r="C8" s="4"/>
      <c r="D8" s="3"/>
      <c r="E8" s="3"/>
      <c r="F8" s="3"/>
      <c r="G8" s="72"/>
      <c r="H8" s="161"/>
      <c r="I8" s="3"/>
      <c r="J8" s="3"/>
      <c r="K8" s="3"/>
      <c r="L8" s="4"/>
      <c r="M8" s="4"/>
      <c r="O8" s="11" t="s">
        <v>179</v>
      </c>
      <c r="P8" s="33"/>
      <c r="Q8" s="2">
        <f>K18+M18-F18+Q2*Q4</f>
        <v>-516</v>
      </c>
      <c r="T8" s="1"/>
      <c r="U8" s="741"/>
    </row>
    <row r="9" spans="1:21" x14ac:dyDescent="0.25">
      <c r="B9" s="72"/>
      <c r="C9" s="4"/>
      <c r="D9" s="3"/>
      <c r="E9" s="3"/>
      <c r="F9" s="3"/>
      <c r="G9" s="4"/>
      <c r="H9" s="161"/>
      <c r="I9" s="3"/>
      <c r="J9" s="3"/>
      <c r="K9" s="3"/>
      <c r="L9" s="4"/>
      <c r="M9" s="4"/>
      <c r="O9" s="11" t="s">
        <v>204</v>
      </c>
      <c r="Q9" s="134">
        <f>IF(Q2=0, 0, Q8/Q6)</f>
        <v>-4.413274033527198E-2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2.863278453829635E-2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13.432692307692308</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61.468000000000011</v>
      </c>
    </row>
    <row r="20" spans="1:20" x14ac:dyDescent="0.25">
      <c r="O20" s="81">
        <v>1.0900000000000001</v>
      </c>
      <c r="P20" s="81">
        <f t="shared" ref="P20:P39" si="0">O20*$Q$4</f>
        <v>60.909200000000006</v>
      </c>
    </row>
    <row r="21" spans="1:20" x14ac:dyDescent="0.25">
      <c r="O21" s="81">
        <v>1.08</v>
      </c>
      <c r="P21" s="81">
        <f t="shared" si="0"/>
        <v>60.350400000000008</v>
      </c>
      <c r="T21" s="1"/>
    </row>
    <row r="22" spans="1:20" x14ac:dyDescent="0.25">
      <c r="O22" s="81">
        <v>1.07</v>
      </c>
      <c r="P22" s="81">
        <f t="shared" si="0"/>
        <v>59.79160000000001</v>
      </c>
    </row>
    <row r="23" spans="1:20" x14ac:dyDescent="0.25">
      <c r="O23" s="81">
        <v>1.06</v>
      </c>
      <c r="P23" s="81">
        <f t="shared" si="0"/>
        <v>59.232800000000005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58.674000000000007</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58.115200000000002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57.556400000000004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56.997600000000006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56.438800000000001</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55.88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55.321200000000005</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54.7624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54.203600000000002</v>
      </c>
    </row>
    <row r="33" spans="2:17" x14ac:dyDescent="0.25">
      <c r="B33" s="164"/>
      <c r="C33" s="10"/>
      <c r="D33" s="39"/>
      <c r="E33" s="39"/>
      <c r="F33" s="39"/>
      <c r="G33" s="39"/>
      <c r="H33" s="179"/>
      <c r="I33" s="39"/>
      <c r="J33" s="39"/>
      <c r="K33" s="39"/>
      <c r="L33" s="39"/>
      <c r="O33" s="81">
        <v>0.96</v>
      </c>
      <c r="P33" s="81">
        <f t="shared" si="0"/>
        <v>53.644800000000004</v>
      </c>
    </row>
    <row r="34" spans="2:17" x14ac:dyDescent="0.25">
      <c r="B34" s="164"/>
      <c r="C34" s="10"/>
      <c r="D34" s="39"/>
      <c r="E34" s="39"/>
      <c r="F34" s="39"/>
      <c r="G34" s="39"/>
      <c r="H34" s="179"/>
      <c r="I34" s="39"/>
      <c r="J34" s="39"/>
      <c r="K34" s="39"/>
      <c r="L34" s="39"/>
      <c r="O34" s="81">
        <v>0.95</v>
      </c>
      <c r="P34" s="81">
        <f t="shared" si="0"/>
        <v>53.085999999999999</v>
      </c>
    </row>
    <row r="35" spans="2:17" x14ac:dyDescent="0.25">
      <c r="B35" s="164"/>
      <c r="C35" s="10"/>
      <c r="D35" s="39"/>
      <c r="E35" s="39"/>
      <c r="F35" s="39"/>
      <c r="G35" s="39"/>
      <c r="H35" s="179"/>
      <c r="I35" s="39"/>
      <c r="J35" s="39"/>
      <c r="K35" s="39"/>
      <c r="L35" s="39"/>
      <c r="O35" s="81">
        <v>0.94</v>
      </c>
      <c r="P35" s="81">
        <f t="shared" si="0"/>
        <v>52.527200000000001</v>
      </c>
    </row>
    <row r="36" spans="2:17" x14ac:dyDescent="0.25">
      <c r="B36" s="164"/>
      <c r="C36" s="10"/>
      <c r="D36" s="39"/>
      <c r="E36" s="39"/>
      <c r="F36" s="39"/>
      <c r="G36" s="39"/>
      <c r="H36" s="179"/>
      <c r="I36" s="39"/>
      <c r="J36" s="39"/>
      <c r="K36" s="39"/>
      <c r="L36" s="39"/>
      <c r="O36" s="81">
        <v>0.93</v>
      </c>
      <c r="P36" s="81">
        <f t="shared" si="0"/>
        <v>51.968400000000003</v>
      </c>
    </row>
    <row r="37" spans="2:17" x14ac:dyDescent="0.25">
      <c r="B37" s="164"/>
      <c r="C37" s="10"/>
      <c r="D37" s="39"/>
      <c r="E37" s="39"/>
      <c r="F37" s="39"/>
      <c r="G37" s="39"/>
      <c r="H37" s="179"/>
      <c r="I37" s="39"/>
      <c r="J37" s="39"/>
      <c r="K37" s="39"/>
      <c r="L37" s="39"/>
      <c r="O37" s="81">
        <v>0.92</v>
      </c>
      <c r="P37" s="81">
        <f t="shared" si="0"/>
        <v>51.409600000000005</v>
      </c>
    </row>
    <row r="38" spans="2:17" x14ac:dyDescent="0.25">
      <c r="B38" s="164"/>
      <c r="C38" s="10"/>
      <c r="D38" s="39"/>
      <c r="E38" s="39"/>
      <c r="F38" s="39"/>
      <c r="G38" s="39"/>
      <c r="H38" s="179"/>
      <c r="I38" s="39"/>
      <c r="J38" s="39"/>
      <c r="K38" s="39"/>
      <c r="L38" s="39"/>
      <c r="O38" s="81">
        <v>0.91</v>
      </c>
      <c r="P38" s="81">
        <f t="shared" si="0"/>
        <v>50.850800000000007</v>
      </c>
    </row>
    <row r="39" spans="2:17" x14ac:dyDescent="0.25">
      <c r="B39" s="164"/>
      <c r="C39" s="10"/>
      <c r="D39" s="39"/>
      <c r="E39" s="39"/>
      <c r="F39" s="39"/>
      <c r="G39" s="39"/>
      <c r="H39" s="179"/>
      <c r="I39" s="39"/>
      <c r="J39" s="39"/>
      <c r="K39" s="39"/>
      <c r="L39" s="39"/>
      <c r="O39" s="81">
        <v>0.9</v>
      </c>
      <c r="P39" s="81">
        <f t="shared" si="0"/>
        <v>50.292000000000002</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5" priority="35">
      <formula>Q7&gt;0</formula>
    </cfRule>
    <cfRule type="expression" dxfId="3224" priority="36">
      <formula>Q7&lt;0</formula>
    </cfRule>
  </conditionalFormatting>
  <conditionalFormatting sqref="Q8">
    <cfRule type="expression" dxfId="3223" priority="33">
      <formula>Q8&gt;0</formula>
    </cfRule>
    <cfRule type="expression" dxfId="3222" priority="34">
      <formula>Q8&lt;0</formula>
    </cfRule>
  </conditionalFormatting>
  <conditionalFormatting sqref="F34:F54 F58:F63">
    <cfRule type="expression" dxfId="3221" priority="31">
      <formula>F34&gt;0</formula>
    </cfRule>
    <cfRule type="expression" dxfId="3220" priority="32">
      <formula>F34&lt;0</formula>
    </cfRule>
  </conditionalFormatting>
  <conditionalFormatting sqref="H34:H54 H58:H63">
    <cfRule type="expression" dxfId="3219" priority="29">
      <formula>H34&gt;0</formula>
    </cfRule>
    <cfRule type="expression" dxfId="3218" priority="30">
      <formula>H34&lt;0</formula>
    </cfRule>
  </conditionalFormatting>
  <conditionalFormatting sqref="Q10">
    <cfRule type="expression" dxfId="3217" priority="27">
      <formula>Q10&gt;0</formula>
    </cfRule>
    <cfRule type="expression" dxfId="3216" priority="28">
      <formula>Q10&lt;0</formula>
    </cfRule>
  </conditionalFormatting>
  <conditionalFormatting sqref="J25:J38">
    <cfRule type="expression" dxfId="3215" priority="25">
      <formula>J25&gt;0</formula>
    </cfRule>
    <cfRule type="expression" dxfId="3214" priority="26">
      <formula>J25&lt;0</formula>
    </cfRule>
  </conditionalFormatting>
  <conditionalFormatting sqref="K25:K35 K37:K38">
    <cfRule type="expression" dxfId="3213" priority="23">
      <formula>K25&gt;0</formula>
    </cfRule>
    <cfRule type="expression" dxfId="3212" priority="24">
      <formula>K25&lt;0</formula>
    </cfRule>
  </conditionalFormatting>
  <conditionalFormatting sqref="F89:F110">
    <cfRule type="expression" dxfId="3211" priority="19">
      <formula>F89&gt;0</formula>
    </cfRule>
    <cfRule type="expression" dxfId="3210" priority="20">
      <formula>F89&lt;0</formula>
    </cfRule>
  </conditionalFormatting>
  <conditionalFormatting sqref="H89:H110">
    <cfRule type="expression" dxfId="3209" priority="17">
      <formula>H89&gt;0</formula>
    </cfRule>
    <cfRule type="expression" dxfId="3208" priority="18">
      <formula>H89&lt;0</formula>
    </cfRule>
  </conditionalFormatting>
  <conditionalFormatting sqref="J89:J102">
    <cfRule type="expression" dxfId="3207" priority="15">
      <formula>J89&gt;0</formula>
    </cfRule>
    <cfRule type="expression" dxfId="3206" priority="16">
      <formula>J89&lt;0</formula>
    </cfRule>
  </conditionalFormatting>
  <conditionalFormatting sqref="K89:K102">
    <cfRule type="expression" dxfId="3205" priority="13">
      <formula>K89&gt;0</formula>
    </cfRule>
    <cfRule type="expression" dxfId="3204" priority="14">
      <formula>K89&lt;0</formula>
    </cfRule>
  </conditionalFormatting>
  <conditionalFormatting sqref="L89:L102">
    <cfRule type="expression" dxfId="3203" priority="11">
      <formula>L89&gt;0</formula>
    </cfRule>
    <cfRule type="expression" dxfId="3202" priority="12">
      <formula>L89&lt;0</formula>
    </cfRule>
  </conditionalFormatting>
  <conditionalFormatting sqref="F25:F33">
    <cfRule type="expression" dxfId="3201" priority="9">
      <formula>F25&gt;0</formula>
    </cfRule>
    <cfRule type="expression" dxfId="3200" priority="10">
      <formula>F25&lt;0</formula>
    </cfRule>
  </conditionalFormatting>
  <conditionalFormatting sqref="H25:H33">
    <cfRule type="expression" dxfId="3199" priority="7">
      <formula>H25&gt;0</formula>
    </cfRule>
    <cfRule type="expression" dxfId="3198" priority="8">
      <formula>H25&lt;0</formula>
    </cfRule>
  </conditionalFormatting>
  <conditionalFormatting sqref="J54">
    <cfRule type="expression" dxfId="3197" priority="5">
      <formula>J54&gt;0</formula>
    </cfRule>
    <cfRule type="expression" dxfId="3196" priority="6">
      <formula>J54&lt;0</formula>
    </cfRule>
  </conditionalFormatting>
  <conditionalFormatting sqref="F55:F57">
    <cfRule type="expression" dxfId="3195" priority="3">
      <formula>F55&gt;0</formula>
    </cfRule>
    <cfRule type="expression" dxfId="3194" priority="4">
      <formula>F55&lt;0</formula>
    </cfRule>
  </conditionalFormatting>
  <conditionalFormatting sqref="H55:H57">
    <cfRule type="expression" dxfId="3193" priority="1">
      <formula>H55&gt;0</formula>
    </cfRule>
    <cfRule type="expression" dxfId="319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191" priority="21">
      <formula>F47&gt;0</formula>
    </cfRule>
    <cfRule type="expression" dxfId="3190" priority="22">
      <formula>F47&lt;0</formula>
    </cfRule>
  </conditionalFormatting>
  <conditionalFormatting sqref="Q7">
    <cfRule type="expression" dxfId="3189" priority="19">
      <formula>Q7&gt;0</formula>
    </cfRule>
    <cfRule type="expression" dxfId="3188" priority="20">
      <formula>Q7&lt;0</formula>
    </cfRule>
  </conditionalFormatting>
  <conditionalFormatting sqref="Q8">
    <cfRule type="expression" dxfId="3187" priority="17">
      <formula>Q8&gt;0</formula>
    </cfRule>
    <cfRule type="expression" dxfId="3186" priority="18">
      <formula>Q8&lt;0</formula>
    </cfRule>
  </conditionalFormatting>
  <conditionalFormatting sqref="F25:F46">
    <cfRule type="expression" dxfId="3185" priority="15">
      <formula>F25&gt;0</formula>
    </cfRule>
    <cfRule type="expression" dxfId="3184" priority="16">
      <formula>F25&lt;0</formula>
    </cfRule>
  </conditionalFormatting>
  <conditionalFormatting sqref="H25:H46">
    <cfRule type="expression" dxfId="3183" priority="13">
      <formula>H25&gt;0</formula>
    </cfRule>
    <cfRule type="expression" dxfId="3182" priority="14">
      <formula>H25&lt;0</formula>
    </cfRule>
  </conditionalFormatting>
  <conditionalFormatting sqref="F89:F110">
    <cfRule type="expression" dxfId="3181" priority="11">
      <formula>F89&gt;0</formula>
    </cfRule>
    <cfRule type="expression" dxfId="3180" priority="12">
      <formula>F89&lt;0</formula>
    </cfRule>
  </conditionalFormatting>
  <conditionalFormatting sqref="H89:H110">
    <cfRule type="expression" dxfId="3179" priority="9">
      <formula>H89&gt;0</formula>
    </cfRule>
    <cfRule type="expression" dxfId="3178" priority="10">
      <formula>H89&lt;0</formula>
    </cfRule>
  </conditionalFormatting>
  <conditionalFormatting sqref="Q10">
    <cfRule type="expression" dxfId="3177" priority="7">
      <formula>Q10&gt;0</formula>
    </cfRule>
    <cfRule type="expression" dxfId="3176" priority="8">
      <formula>Q10&lt;0</formula>
    </cfRule>
  </conditionalFormatting>
  <conditionalFormatting sqref="J25:J38">
    <cfRule type="expression" dxfId="3175" priority="5">
      <formula>J25&gt;0</formula>
    </cfRule>
    <cfRule type="expression" dxfId="3174" priority="6">
      <formula>J25&lt;0</formula>
    </cfRule>
  </conditionalFormatting>
  <conditionalFormatting sqref="K25:K38">
    <cfRule type="expression" dxfId="3173" priority="3">
      <formula>K25&gt;0</formula>
    </cfRule>
    <cfRule type="expression" dxfId="3172" priority="4">
      <formula>K25&lt;0</formula>
    </cfRule>
  </conditionalFormatting>
  <conditionalFormatting sqref="L25:L38">
    <cfRule type="expression" dxfId="3171" priority="1">
      <formula>L25&gt;0</formula>
    </cfRule>
    <cfRule type="expression" dxfId="31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69" priority="23">
      <formula>F34&gt;0</formula>
    </cfRule>
    <cfRule type="expression" dxfId="3168" priority="24">
      <formula>F34&lt;0</formula>
    </cfRule>
  </conditionalFormatting>
  <conditionalFormatting sqref="Q7">
    <cfRule type="expression" dxfId="3167" priority="21">
      <formula>Q7&gt;0</formula>
    </cfRule>
    <cfRule type="expression" dxfId="3166" priority="22">
      <formula>Q7&lt;0</formula>
    </cfRule>
  </conditionalFormatting>
  <conditionalFormatting sqref="Q8">
    <cfRule type="expression" dxfId="3165" priority="19">
      <formula>Q8&gt;0</formula>
    </cfRule>
    <cfRule type="expression" dxfId="3164" priority="20">
      <formula>Q8&lt;0</formula>
    </cfRule>
  </conditionalFormatting>
  <conditionalFormatting sqref="F25:F33">
    <cfRule type="expression" dxfId="3163" priority="17">
      <formula>F25&gt;0</formula>
    </cfRule>
    <cfRule type="expression" dxfId="3162" priority="18">
      <formula>F25&lt;0</formula>
    </cfRule>
  </conditionalFormatting>
  <conditionalFormatting sqref="H25:H33">
    <cfRule type="expression" dxfId="3161" priority="15">
      <formula>H25&gt;0</formula>
    </cfRule>
    <cfRule type="expression" dxfId="3160" priority="16">
      <formula>H25&lt;0</formula>
    </cfRule>
  </conditionalFormatting>
  <conditionalFormatting sqref="M46">
    <cfRule type="expression" dxfId="3159" priority="13">
      <formula>M46&gt;0</formula>
    </cfRule>
    <cfRule type="expression" dxfId="3158" priority="14">
      <formula>M46&lt;0</formula>
    </cfRule>
  </conditionalFormatting>
  <conditionalFormatting sqref="F79:F87 H79:H87">
    <cfRule type="expression" dxfId="3157" priority="11">
      <formula>F79&gt;0</formula>
    </cfRule>
    <cfRule type="expression" dxfId="3156" priority="12">
      <formula>F79&lt;0</formula>
    </cfRule>
  </conditionalFormatting>
  <conditionalFormatting sqref="F70:F78">
    <cfRule type="expression" dxfId="3155" priority="9">
      <formula>F70&gt;0</formula>
    </cfRule>
    <cfRule type="expression" dxfId="3154" priority="10">
      <formula>F70&lt;0</formula>
    </cfRule>
  </conditionalFormatting>
  <conditionalFormatting sqref="H70:H78">
    <cfRule type="expression" dxfId="3153" priority="7">
      <formula>H70&gt;0</formula>
    </cfRule>
    <cfRule type="expression" dxfId="3152" priority="8">
      <formula>H70&lt;0</formula>
    </cfRule>
  </conditionalFormatting>
  <conditionalFormatting sqref="J27:K27 J30:K30 J33:K33 J36:K36 J39:K39 J42:K42">
    <cfRule type="expression" dxfId="3151" priority="5">
      <formula>J27&gt;0</formula>
    </cfRule>
    <cfRule type="expression" dxfId="3150" priority="6">
      <formula>J27&lt;0</formula>
    </cfRule>
  </conditionalFormatting>
  <conditionalFormatting sqref="J28:K29 J31:K32 J34:K35 J37:K38 J40:K41">
    <cfRule type="expression" dxfId="3149" priority="3">
      <formula>J28&gt;0</formula>
    </cfRule>
    <cfRule type="expression" dxfId="3148" priority="4">
      <formula>J28&lt;0</formula>
    </cfRule>
  </conditionalFormatting>
  <conditionalFormatting sqref="L27:L42">
    <cfRule type="expression" dxfId="3147" priority="1">
      <formula>L27&gt;0</formula>
    </cfRule>
    <cfRule type="expression" dxfId="314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45" priority="9">
      <formula>F57&gt;0</formula>
    </cfRule>
    <cfRule type="expression" dxfId="3144" priority="10">
      <formula>F57&lt;0</formula>
    </cfRule>
  </conditionalFormatting>
  <conditionalFormatting sqref="Q7">
    <cfRule type="expression" dxfId="3143" priority="7">
      <formula>Q7&gt;0</formula>
    </cfRule>
    <cfRule type="expression" dxfId="3142" priority="8">
      <formula>Q7&lt;0</formula>
    </cfRule>
  </conditionalFormatting>
  <conditionalFormatting sqref="Q8">
    <cfRule type="expression" dxfId="3141" priority="5">
      <formula>Q8&gt;0</formula>
    </cfRule>
    <cfRule type="expression" dxfId="3140" priority="6">
      <formula>Q8&lt;0</formula>
    </cfRule>
  </conditionalFormatting>
  <conditionalFormatting sqref="F25:F56">
    <cfRule type="expression" dxfId="3139" priority="3">
      <formula>F25&gt;0</formula>
    </cfRule>
    <cfRule type="expression" dxfId="3138" priority="4">
      <formula>F25&lt;0</formula>
    </cfRule>
  </conditionalFormatting>
  <conditionalFormatting sqref="H25:H56">
    <cfRule type="expression" dxfId="3137" priority="1">
      <formula>H25&gt;0</formula>
    </cfRule>
    <cfRule type="expression" dxfId="313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52.13</v>
      </c>
      <c r="R4" s="425">
        <v>-2.7000000000000001E-3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7506.72</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1110.430000000003</v>
      </c>
      <c r="R7">
        <v>144</v>
      </c>
    </row>
    <row r="8" spans="1:21" x14ac:dyDescent="0.25">
      <c r="B8" s="72"/>
      <c r="C8" s="4"/>
      <c r="D8" s="3"/>
      <c r="E8" s="3"/>
      <c r="F8" s="3"/>
      <c r="G8" s="4"/>
      <c r="H8" s="161"/>
      <c r="I8" s="3"/>
      <c r="J8" s="3"/>
      <c r="K8" s="3"/>
      <c r="L8" s="4"/>
      <c r="M8" s="4"/>
      <c r="O8" s="11" t="s">
        <v>179</v>
      </c>
      <c r="P8" s="33"/>
      <c r="Q8" s="2">
        <f>K18+M18-F18+Q2*Q4</f>
        <v>1110.430000000003</v>
      </c>
    </row>
    <row r="9" spans="1:21" x14ac:dyDescent="0.25">
      <c r="B9" s="4"/>
      <c r="C9" s="4"/>
      <c r="D9" s="3"/>
      <c r="E9" s="3"/>
      <c r="F9" s="3"/>
      <c r="G9" s="4"/>
      <c r="H9" s="161"/>
      <c r="I9" s="3"/>
      <c r="J9" s="3"/>
      <c r="K9" s="3"/>
      <c r="L9" s="4"/>
      <c r="M9" s="4"/>
      <c r="O9" s="11" t="s">
        <v>204</v>
      </c>
      <c r="Q9" s="134">
        <f>IF(Q2=0, 0, Q8/Q6)</f>
        <v>0.17360532433645184</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2.4937655860349128E-2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57.343000000000011</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56.821700000000007</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56.300400000000003</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55.779100000000007</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55.257800000000003</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54.736500000000007</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54.215200000000003</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53.693900000000006</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53.172600000000003</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52.651300000000006</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52.13</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51.608699999999999</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51.087400000000002</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50.566099999999999</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50.044800000000002</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49.523499999999999</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49.002200000000002</v>
      </c>
    </row>
    <row r="58" spans="1:17" x14ac:dyDescent="0.25">
      <c r="A58" s="4"/>
      <c r="B58" s="164"/>
      <c r="C58" s="10"/>
      <c r="D58" s="39"/>
      <c r="E58" s="39"/>
      <c r="F58" s="39"/>
      <c r="G58" s="39"/>
      <c r="H58" s="179"/>
      <c r="I58" s="39"/>
      <c r="J58" s="39"/>
      <c r="K58" s="39"/>
      <c r="L58" s="39"/>
      <c r="O58" s="81">
        <v>0.93</v>
      </c>
      <c r="P58" s="81">
        <f t="shared" si="10"/>
        <v>48.480900000000005</v>
      </c>
    </row>
    <row r="59" spans="1:17" x14ac:dyDescent="0.25">
      <c r="A59" s="4"/>
      <c r="B59" s="164"/>
      <c r="C59" s="10"/>
      <c r="D59" s="39"/>
      <c r="E59" s="39"/>
      <c r="F59" s="39"/>
      <c r="G59" s="39"/>
      <c r="H59" s="179"/>
      <c r="I59" s="39"/>
      <c r="J59" s="39"/>
      <c r="K59" s="39"/>
      <c r="L59" s="39"/>
      <c r="O59" s="81">
        <v>0.92</v>
      </c>
      <c r="P59" s="81">
        <f t="shared" si="10"/>
        <v>47.959600000000002</v>
      </c>
    </row>
    <row r="60" spans="1:17" x14ac:dyDescent="0.25">
      <c r="A60" s="4"/>
      <c r="B60" s="72"/>
      <c r="C60" s="4"/>
      <c r="D60" s="3"/>
      <c r="E60" s="3"/>
      <c r="F60" s="3"/>
      <c r="G60" s="3"/>
      <c r="H60" s="216"/>
      <c r="I60" s="3"/>
      <c r="J60" s="3"/>
      <c r="K60" s="3"/>
      <c r="L60" s="4"/>
      <c r="O60" s="81">
        <v>0.91</v>
      </c>
      <c r="P60" s="81">
        <f t="shared" si="10"/>
        <v>47.438300000000005</v>
      </c>
    </row>
    <row r="61" spans="1:17" x14ac:dyDescent="0.25">
      <c r="A61" s="4"/>
      <c r="B61" s="72"/>
      <c r="C61" s="4"/>
      <c r="D61" s="3"/>
      <c r="E61" s="3"/>
      <c r="F61" s="3"/>
      <c r="G61" s="3"/>
      <c r="H61" s="216"/>
      <c r="I61" s="3"/>
      <c r="J61" s="3"/>
      <c r="K61" s="3"/>
      <c r="L61" s="4"/>
      <c r="O61" s="81">
        <v>0.9</v>
      </c>
      <c r="P61" s="81">
        <f t="shared" si="10"/>
        <v>46.917000000000002</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35" priority="35">
      <formula>F60&gt;0</formula>
    </cfRule>
    <cfRule type="expression" dxfId="3134" priority="36">
      <formula>F60&lt;0</formula>
    </cfRule>
  </conditionalFormatting>
  <conditionalFormatting sqref="Q7">
    <cfRule type="expression" dxfId="3133" priority="33">
      <formula>Q7&gt;0</formula>
    </cfRule>
    <cfRule type="expression" dxfId="3132" priority="34">
      <formula>Q7&lt;0</formula>
    </cfRule>
  </conditionalFormatting>
  <conditionalFormatting sqref="Q8">
    <cfRule type="expression" dxfId="3131" priority="31">
      <formula>Q8&gt;0</formula>
    </cfRule>
    <cfRule type="expression" dxfId="3130" priority="32">
      <formula>Q8&lt;0</formula>
    </cfRule>
  </conditionalFormatting>
  <conditionalFormatting sqref="F30:F59">
    <cfRule type="expression" dxfId="3129" priority="29">
      <formula>F30&gt;0</formula>
    </cfRule>
    <cfRule type="expression" dxfId="3128" priority="30">
      <formula>F30&lt;0</formula>
    </cfRule>
  </conditionalFormatting>
  <conditionalFormatting sqref="H30:H59">
    <cfRule type="expression" dxfId="3127" priority="27">
      <formula>H30&gt;0</formula>
    </cfRule>
    <cfRule type="expression" dxfId="3126" priority="28">
      <formula>H30&lt;0</formula>
    </cfRule>
  </conditionalFormatting>
  <conditionalFormatting sqref="Q10">
    <cfRule type="expression" dxfId="3125" priority="25">
      <formula>Q10&gt;0</formula>
    </cfRule>
    <cfRule type="expression" dxfId="3124" priority="26">
      <formula>Q10&lt;0</formula>
    </cfRule>
  </conditionalFormatting>
  <conditionalFormatting sqref="J27:J35">
    <cfRule type="expression" dxfId="3123" priority="23">
      <formula>J27&gt;0</formula>
    </cfRule>
    <cfRule type="expression" dxfId="3122" priority="24">
      <formula>J27&lt;0</formula>
    </cfRule>
  </conditionalFormatting>
  <conditionalFormatting sqref="K27:K38">
    <cfRule type="expression" dxfId="3121" priority="21">
      <formula>K27&gt;0</formula>
    </cfRule>
    <cfRule type="expression" dxfId="3120" priority="22">
      <formula>K27&lt;0</formula>
    </cfRule>
  </conditionalFormatting>
  <conditionalFormatting sqref="L27:L38">
    <cfRule type="expression" dxfId="3119" priority="19">
      <formula>L27&gt;0</formula>
    </cfRule>
    <cfRule type="expression" dxfId="3118" priority="20">
      <formula>L27&lt;0</formula>
    </cfRule>
  </conditionalFormatting>
  <conditionalFormatting sqref="F89:F110">
    <cfRule type="expression" dxfId="3117" priority="17">
      <formula>F89&gt;0</formula>
    </cfRule>
    <cfRule type="expression" dxfId="3116" priority="18">
      <formula>F89&lt;0</formula>
    </cfRule>
  </conditionalFormatting>
  <conditionalFormatting sqref="H89:H110">
    <cfRule type="expression" dxfId="3115" priority="15">
      <formula>H89&gt;0</formula>
    </cfRule>
    <cfRule type="expression" dxfId="3114" priority="16">
      <formula>H89&lt;0</formula>
    </cfRule>
  </conditionalFormatting>
  <conditionalFormatting sqref="J89:J102">
    <cfRule type="expression" dxfId="3113" priority="13">
      <formula>J89&gt;0</formula>
    </cfRule>
    <cfRule type="expression" dxfId="3112" priority="14">
      <formula>J89&lt;0</formula>
    </cfRule>
  </conditionalFormatting>
  <conditionalFormatting sqref="K89:K102">
    <cfRule type="expression" dxfId="3111" priority="11">
      <formula>K89&gt;0</formula>
    </cfRule>
    <cfRule type="expression" dxfId="3110" priority="12">
      <formula>K89&lt;0</formula>
    </cfRule>
  </conditionalFormatting>
  <conditionalFormatting sqref="L89:L102">
    <cfRule type="expression" dxfId="3109" priority="9">
      <formula>L89&gt;0</formula>
    </cfRule>
    <cfRule type="expression" dxfId="3108" priority="10">
      <formula>L89&lt;0</formula>
    </cfRule>
  </conditionalFormatting>
  <conditionalFormatting sqref="F29">
    <cfRule type="expression" dxfId="3107" priority="7">
      <formula>F29&gt;0</formula>
    </cfRule>
    <cfRule type="expression" dxfId="3106" priority="8">
      <formula>F29&lt;0</formula>
    </cfRule>
  </conditionalFormatting>
  <conditionalFormatting sqref="H29">
    <cfRule type="expression" dxfId="3105" priority="5">
      <formula>H29&gt;0</formula>
    </cfRule>
    <cfRule type="expression" dxfId="3104" priority="6">
      <formula>H29&lt;0</formula>
    </cfRule>
  </conditionalFormatting>
  <conditionalFormatting sqref="F25:F28 H25:H28">
    <cfRule type="expression" dxfId="3103" priority="1">
      <formula>F25&gt;0</formula>
    </cfRule>
    <cfRule type="expression" dxfId="310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9" si="0">C2*D2+E2</f>
        <v>3244</v>
      </c>
      <c r="G2" s="368">
        <v>43332</v>
      </c>
      <c r="H2" s="7">
        <v>50</v>
      </c>
      <c r="I2" s="43">
        <v>74.599999999999994</v>
      </c>
      <c r="J2" s="43">
        <v>0.05</v>
      </c>
      <c r="K2" s="43">
        <f t="shared" ref="K2:K8" si="1">H2*I2-J2</f>
        <v>3729.9499999999994</v>
      </c>
      <c r="L2" s="72">
        <v>43313</v>
      </c>
      <c r="M2" s="43">
        <v>50</v>
      </c>
      <c r="O2" s="11" t="s">
        <v>57</v>
      </c>
      <c r="Q2">
        <f>C18-H18</f>
        <v>100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45.967900000000007</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60.679900000000004</v>
      </c>
      <c r="R4" s="405">
        <v>-8.9999999999999993E-3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6067.9900000000007</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4596.7900000000009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1668.4099999999953</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1471.1999999999998</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0.32004942579495682</v>
      </c>
    </row>
    <row r="10" spans="1:21" x14ac:dyDescent="0.25">
      <c r="B10" s="4"/>
      <c r="C10" s="4"/>
      <c r="D10" s="3"/>
      <c r="E10" s="3"/>
      <c r="F10" s="3"/>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3.2959843374824278E-2</v>
      </c>
      <c r="R11">
        <v>0.5</v>
      </c>
    </row>
    <row r="12" spans="1:21" x14ac:dyDescent="0.25">
      <c r="H12" s="70"/>
      <c r="O12" s="11" t="s">
        <v>921</v>
      </c>
      <c r="Q12" s="1" t="s">
        <v>1345</v>
      </c>
      <c r="T12" s="1">
        <v>43516</v>
      </c>
      <c r="U12" t="s">
        <v>1387</v>
      </c>
    </row>
    <row r="13" spans="1:21" ht="15" customHeight="1" x14ac:dyDescent="0.25">
      <c r="H13" s="70"/>
      <c r="O13" s="11" t="s">
        <v>947</v>
      </c>
      <c r="Q13" s="2">
        <f>Q4/(6.78)</f>
        <v>8.9498377581120945</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SUM(C2:C9)</f>
        <v>500</v>
      </c>
      <c r="D18" s="18"/>
      <c r="E18" s="18"/>
      <c r="F18" s="18">
        <f>SUM(F2:F9)</f>
        <v>35427.5</v>
      </c>
      <c r="G18" s="14"/>
      <c r="H18" s="14">
        <f>SUM(H2:H8)</f>
        <v>400</v>
      </c>
      <c r="I18" s="18"/>
      <c r="J18" s="18"/>
      <c r="K18" s="18">
        <f>SUM(K2:K8)</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66.747890000000012</v>
      </c>
      <c r="U21" s="884"/>
    </row>
    <row r="22" spans="1:21" x14ac:dyDescent="0.25">
      <c r="O22" s="81">
        <v>1.0900000000000001</v>
      </c>
      <c r="P22" s="81">
        <f t="shared" ref="P22:P41" si="2">O22*$Q$4</f>
        <v>66.141091000000003</v>
      </c>
      <c r="U22" s="884"/>
    </row>
    <row r="23" spans="1:21" x14ac:dyDescent="0.25">
      <c r="O23" s="81">
        <v>1.08</v>
      </c>
      <c r="P23" s="81">
        <f t="shared" si="2"/>
        <v>65.534292000000008</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64.927493000000013</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64.320694000000003</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63.713895000000008</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63.107096000000006</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62.500297000000003</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61.893498000000008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61.286699000000006</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60.679900000000004</v>
      </c>
    </row>
    <row r="32" spans="1:21" x14ac:dyDescent="0.25">
      <c r="B32" s="164">
        <v>43329</v>
      </c>
      <c r="C32" s="10">
        <v>150</v>
      </c>
      <c r="D32" s="39">
        <v>64.313329999999993</v>
      </c>
      <c r="E32" s="39">
        <v>73.680000000000007</v>
      </c>
      <c r="F32" s="39">
        <f t="shared" ref="F32:F48" si="8">C32*(E32-D32)</f>
        <v>1405.0005000000019</v>
      </c>
      <c r="G32" s="39">
        <f t="shared" ref="G32:G48" si="9">D32*C32</f>
        <v>9646.9994999999999</v>
      </c>
      <c r="H32" s="179">
        <f t="shared" ref="H32:H48" si="10">(E32-D32)/D32</f>
        <v>0.14564119133622866</v>
      </c>
      <c r="I32" s="39"/>
      <c r="J32" s="39"/>
      <c r="K32" s="39">
        <f t="shared" si="7"/>
        <v>1602.2104999999974</v>
      </c>
      <c r="L32" s="39"/>
      <c r="O32" s="81">
        <v>0.99</v>
      </c>
      <c r="P32" s="81">
        <f t="shared" si="2"/>
        <v>60.073101000000001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59.466301999999999</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58.859503000000004</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58.252704000000001</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57.645904999999999</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57.039105999999997</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56.432307000000009</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55.825508000000006</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55.218709000000004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54.611910000000002</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v>2191.42</v>
      </c>
      <c r="L48" s="39">
        <v>9.4499999999999993</v>
      </c>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36">
      <colorScale>
        <cfvo type="min"/>
        <cfvo type="percentile" val="50"/>
        <cfvo type="max"/>
        <color rgb="FFF8696B"/>
        <color rgb="FFFFEB84"/>
        <color rgb="FF63BE7B"/>
      </colorScale>
    </cfRule>
  </conditionalFormatting>
  <conditionalFormatting sqref="P21:P41">
    <cfRule type="colorScale" priority="35">
      <colorScale>
        <cfvo type="min"/>
        <cfvo type="percentile" val="50"/>
        <cfvo type="max"/>
        <color rgb="FFF8696B"/>
        <color rgb="FFFFEB84"/>
        <color rgb="FF63BE7B"/>
      </colorScale>
    </cfRule>
  </conditionalFormatting>
  <conditionalFormatting sqref="F57:F58 H57:H58">
    <cfRule type="expression" dxfId="3101" priority="31">
      <formula>F57&gt;0</formula>
    </cfRule>
    <cfRule type="expression" dxfId="3100" priority="32">
      <formula>F57&lt;0</formula>
    </cfRule>
  </conditionalFormatting>
  <conditionalFormatting sqref="Q7">
    <cfRule type="expression" dxfId="3099" priority="29">
      <formula>Q7&gt;0</formula>
    </cfRule>
    <cfRule type="expression" dxfId="3098" priority="30">
      <formula>Q7&lt;0</formula>
    </cfRule>
  </conditionalFormatting>
  <conditionalFormatting sqref="Q8">
    <cfRule type="expression" dxfId="3097" priority="27">
      <formula>Q8&gt;0</formula>
    </cfRule>
    <cfRule type="expression" dxfId="3096" priority="28">
      <formula>Q8&lt;0</formula>
    </cfRule>
  </conditionalFormatting>
  <conditionalFormatting sqref="M58">
    <cfRule type="expression" dxfId="3095" priority="21">
      <formula>M58&gt;0</formula>
    </cfRule>
    <cfRule type="expression" dxfId="3094" priority="22">
      <formula>M58&lt;0</formula>
    </cfRule>
  </conditionalFormatting>
  <conditionalFormatting sqref="F84:F115">
    <cfRule type="expression" dxfId="3093" priority="19">
      <formula>F84&gt;0</formula>
    </cfRule>
    <cfRule type="expression" dxfId="3092" priority="20">
      <formula>F84&lt;0</formula>
    </cfRule>
  </conditionalFormatting>
  <conditionalFormatting sqref="H84:H115">
    <cfRule type="expression" dxfId="3091" priority="17">
      <formula>H84&gt;0</formula>
    </cfRule>
    <cfRule type="expression" dxfId="3090" priority="18">
      <formula>H84&lt;0</formula>
    </cfRule>
  </conditionalFormatting>
  <conditionalFormatting sqref="F25:F56 H25:H56">
    <cfRule type="expression" dxfId="3089" priority="15">
      <formula>F25&gt;0</formula>
    </cfRule>
    <cfRule type="expression" dxfId="3088" priority="16">
      <formula>F25&lt;0</formula>
    </cfRule>
  </conditionalFormatting>
  <conditionalFormatting sqref="J28:J30 K25:K30 J31:K38">
    <cfRule type="expression" dxfId="3087" priority="11">
      <formula>J25&gt;0</formula>
    </cfRule>
    <cfRule type="expression" dxfId="3086" priority="12">
      <formula>J25&lt;0</formula>
    </cfRule>
  </conditionalFormatting>
  <conditionalFormatting sqref="K39:K42">
    <cfRule type="expression" dxfId="3085" priority="9">
      <formula>K39&gt;0</formula>
    </cfRule>
    <cfRule type="expression" dxfId="3084" priority="10">
      <formula>K39&lt;0</formula>
    </cfRule>
  </conditionalFormatting>
  <conditionalFormatting sqref="K43">
    <cfRule type="expression" dxfId="3083" priority="7">
      <formula>K43&gt;0</formula>
    </cfRule>
    <cfRule type="expression" dxfId="3082" priority="8">
      <formula>K43&lt;0</formula>
    </cfRule>
  </conditionalFormatting>
  <conditionalFormatting sqref="K44">
    <cfRule type="expression" dxfId="3081" priority="5">
      <formula>K44&gt;0</formula>
    </cfRule>
    <cfRule type="expression" dxfId="3080" priority="6">
      <formula>K44&lt;0</formula>
    </cfRule>
  </conditionalFormatting>
  <conditionalFormatting sqref="K45:K47">
    <cfRule type="expression" dxfId="3079" priority="3">
      <formula>K45&gt;0</formula>
    </cfRule>
    <cfRule type="expression" dxfId="3078" priority="4">
      <formula>K45&lt;0</formula>
    </cfRule>
  </conditionalFormatting>
  <conditionalFormatting sqref="K48">
    <cfRule type="expression" dxfId="3077" priority="1">
      <formula>K48&gt;0</formula>
    </cfRule>
    <cfRule type="expression" dxfId="3076" priority="2">
      <formula>K48&lt;0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75" priority="21">
      <formula>F47&gt;0</formula>
    </cfRule>
    <cfRule type="expression" dxfId="3074" priority="22">
      <formula>F47&lt;0</formula>
    </cfRule>
  </conditionalFormatting>
  <conditionalFormatting sqref="Q7">
    <cfRule type="expression" dxfId="3073" priority="19">
      <formula>Q7&gt;0</formula>
    </cfRule>
    <cfRule type="expression" dxfId="3072" priority="20">
      <formula>Q7&lt;0</formula>
    </cfRule>
  </conditionalFormatting>
  <conditionalFormatting sqref="Q8">
    <cfRule type="expression" dxfId="3071" priority="17">
      <formula>Q8&gt;0</formula>
    </cfRule>
    <cfRule type="expression" dxfId="3070" priority="18">
      <formula>Q8&lt;0</formula>
    </cfRule>
  </conditionalFormatting>
  <conditionalFormatting sqref="F25:F46">
    <cfRule type="expression" dxfId="3069" priority="15">
      <formula>F25&gt;0</formula>
    </cfRule>
    <cfRule type="expression" dxfId="3068" priority="16">
      <formula>F25&lt;0</formula>
    </cfRule>
  </conditionalFormatting>
  <conditionalFormatting sqref="H25:H46">
    <cfRule type="expression" dxfId="3067" priority="13">
      <formula>H25&gt;0</formula>
    </cfRule>
    <cfRule type="expression" dxfId="3066" priority="14">
      <formula>H25&lt;0</formula>
    </cfRule>
  </conditionalFormatting>
  <conditionalFormatting sqref="F89:F110">
    <cfRule type="expression" dxfId="3065" priority="11">
      <formula>F89&gt;0</formula>
    </cfRule>
    <cfRule type="expression" dxfId="3064" priority="12">
      <formula>F89&lt;0</formula>
    </cfRule>
  </conditionalFormatting>
  <conditionalFormatting sqref="H89:H110">
    <cfRule type="expression" dxfId="3063" priority="9">
      <formula>H89&gt;0</formula>
    </cfRule>
    <cfRule type="expression" dxfId="3062" priority="10">
      <formula>H89&lt;0</formula>
    </cfRule>
  </conditionalFormatting>
  <conditionalFormatting sqref="Q10">
    <cfRule type="expression" dxfId="3061" priority="7">
      <formula>Q10&gt;0</formula>
    </cfRule>
    <cfRule type="expression" dxfId="3060" priority="8">
      <formula>Q10&lt;0</formula>
    </cfRule>
  </conditionalFormatting>
  <conditionalFormatting sqref="J25:J38">
    <cfRule type="expression" dxfId="3059" priority="5">
      <formula>J25&gt;0</formula>
    </cfRule>
    <cfRule type="expression" dxfId="3058" priority="6">
      <formula>J25&lt;0</formula>
    </cfRule>
  </conditionalFormatting>
  <conditionalFormatting sqref="K25:K38">
    <cfRule type="expression" dxfId="3057" priority="3">
      <formula>K25&gt;0</formula>
    </cfRule>
    <cfRule type="expression" dxfId="3056" priority="4">
      <formula>K25&lt;0</formula>
    </cfRule>
  </conditionalFormatting>
  <conditionalFormatting sqref="L25:L38">
    <cfRule type="expression" dxfId="3055" priority="1">
      <formula>L25&gt;0</formula>
    </cfRule>
    <cfRule type="expression" dxfId="305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181.7099</v>
      </c>
      <c r="R4" s="425">
        <v>3.5000000000000001E-3</v>
      </c>
      <c r="T4" s="693"/>
      <c r="U4" s="30"/>
    </row>
    <row r="5" spans="1:21" x14ac:dyDescent="0.25">
      <c r="B5" s="72">
        <v>43447</v>
      </c>
      <c r="C5" s="4">
        <v>10</v>
      </c>
      <c r="D5" s="3">
        <v>184.2</v>
      </c>
      <c r="E5" s="3">
        <v>0</v>
      </c>
      <c r="F5" s="3">
        <f>C5*D5+E5</f>
        <v>1842</v>
      </c>
      <c r="G5" s="4"/>
      <c r="H5" s="161"/>
      <c r="I5" s="3"/>
      <c r="J5" s="3"/>
      <c r="K5" s="3"/>
      <c r="L5" s="4"/>
      <c r="M5" s="4"/>
      <c r="O5" s="11" t="s">
        <v>67</v>
      </c>
      <c r="Q5" s="3">
        <f>Q4*Q2</f>
        <v>5451.2970000000005</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-348.22299999999996</v>
      </c>
      <c r="R7">
        <v>30</v>
      </c>
    </row>
    <row r="8" spans="1:21" x14ac:dyDescent="0.25">
      <c r="B8" s="72"/>
      <c r="C8" s="4"/>
      <c r="D8" s="3"/>
      <c r="E8" s="3"/>
      <c r="F8" s="3"/>
      <c r="G8" s="4"/>
      <c r="H8" s="161"/>
      <c r="I8" s="3"/>
      <c r="J8" s="3"/>
      <c r="K8" s="3"/>
      <c r="L8" s="4"/>
      <c r="M8" s="4"/>
      <c r="O8" s="11" t="s">
        <v>179</v>
      </c>
      <c r="P8" s="33"/>
      <c r="Q8" s="2">
        <f>K18+M18-F18+Q2*Q4</f>
        <v>-348.22299999999996</v>
      </c>
      <c r="T8" s="1"/>
    </row>
    <row r="9" spans="1:21" x14ac:dyDescent="0.25">
      <c r="B9" s="4"/>
      <c r="C9" s="4"/>
      <c r="D9" s="3"/>
      <c r="E9" s="3"/>
      <c r="F9" s="3"/>
      <c r="G9" s="4"/>
      <c r="H9" s="161"/>
      <c r="I9" s="3"/>
      <c r="J9" s="3"/>
      <c r="K9" s="3"/>
      <c r="L9" s="4"/>
      <c r="M9" s="4"/>
      <c r="O9" s="11" t="s">
        <v>204</v>
      </c>
      <c r="Q9" s="134">
        <f>IF(Q2=0, 0, Q8/Q6)</f>
        <v>-6.0043417386266437E-2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199.88089000000002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198.06379100000001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196.24669200000002</v>
      </c>
    </row>
    <row r="20" spans="1:16" x14ac:dyDescent="0.25">
      <c r="O20" s="81">
        <v>1.07</v>
      </c>
      <c r="P20" s="81">
        <f t="shared" si="0"/>
        <v>194.42959300000001</v>
      </c>
    </row>
    <row r="21" spans="1:16" x14ac:dyDescent="0.25">
      <c r="O21" s="81">
        <v>1.06</v>
      </c>
      <c r="P21" s="81">
        <f t="shared" si="0"/>
        <v>192.61249400000003</v>
      </c>
    </row>
    <row r="22" spans="1:16" x14ac:dyDescent="0.25">
      <c r="O22" s="81">
        <v>1.05</v>
      </c>
      <c r="P22" s="81">
        <f t="shared" si="0"/>
        <v>190.79539500000001</v>
      </c>
    </row>
    <row r="23" spans="1:16" x14ac:dyDescent="0.25">
      <c r="O23" s="81">
        <v>1.04</v>
      </c>
      <c r="P23" s="81">
        <f t="shared" si="0"/>
        <v>188.978296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187.16119700000002</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185.344098</v>
      </c>
    </row>
    <row r="26" spans="1:16" x14ac:dyDescent="0.25">
      <c r="B26" s="164">
        <v>43427</v>
      </c>
      <c r="C26" s="10">
        <v>0</v>
      </c>
      <c r="D26" s="39">
        <v>219</v>
      </c>
      <c r="E26" s="39">
        <v>225.6</v>
      </c>
      <c r="F26" s="39"/>
      <c r="G26" s="39"/>
      <c r="H26" s="179"/>
      <c r="I26" s="39"/>
      <c r="J26" s="39">
        <v>164.93</v>
      </c>
      <c r="K26" s="39"/>
      <c r="L26" s="39"/>
      <c r="O26" s="81">
        <v>1.01</v>
      </c>
      <c r="P26" s="81">
        <f t="shared" si="0"/>
        <v>183.52699900000002</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181.7099</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179.89280099999999</v>
      </c>
    </row>
    <row r="29" spans="1:16" x14ac:dyDescent="0.25">
      <c r="B29" s="164"/>
      <c r="C29" s="10"/>
      <c r="D29" s="39"/>
      <c r="E29" s="39"/>
      <c r="F29" s="39"/>
      <c r="G29" s="39"/>
      <c r="H29" s="179"/>
      <c r="I29" s="39"/>
      <c r="J29" s="39"/>
      <c r="K29" s="39"/>
      <c r="L29" s="39"/>
      <c r="O29" s="81">
        <v>0.98</v>
      </c>
      <c r="P29" s="81">
        <f t="shared" si="0"/>
        <v>178.07570200000001</v>
      </c>
    </row>
    <row r="30" spans="1:16" x14ac:dyDescent="0.25">
      <c r="B30" s="164"/>
      <c r="C30" s="10"/>
      <c r="D30" s="39"/>
      <c r="E30" s="39"/>
      <c r="F30" s="39"/>
      <c r="G30" s="39"/>
      <c r="H30" s="179"/>
      <c r="I30" s="39"/>
      <c r="J30" s="39"/>
      <c r="K30" s="39"/>
      <c r="L30" s="39"/>
      <c r="O30" s="81">
        <v>0.97</v>
      </c>
      <c r="P30" s="81">
        <f t="shared" si="0"/>
        <v>176.25860299999999</v>
      </c>
    </row>
    <row r="31" spans="1:16" x14ac:dyDescent="0.25">
      <c r="B31" s="164"/>
      <c r="C31" s="10"/>
      <c r="D31" s="39"/>
      <c r="E31" s="39"/>
      <c r="F31" s="39"/>
      <c r="G31" s="39"/>
      <c r="H31" s="179"/>
      <c r="I31" s="39"/>
      <c r="J31" s="39"/>
      <c r="K31" s="39"/>
      <c r="L31" s="39"/>
      <c r="O31" s="81">
        <v>0.96</v>
      </c>
      <c r="P31" s="81">
        <f t="shared" si="0"/>
        <v>174.44150400000001</v>
      </c>
    </row>
    <row r="32" spans="1:16" x14ac:dyDescent="0.25">
      <c r="B32" s="164"/>
      <c r="C32" s="10"/>
      <c r="D32" s="39"/>
      <c r="E32" s="39"/>
      <c r="F32" s="39"/>
      <c r="G32" s="39"/>
      <c r="H32" s="179"/>
      <c r="I32" s="39"/>
      <c r="J32" s="39"/>
      <c r="K32" s="39"/>
      <c r="L32" s="39"/>
      <c r="O32" s="81">
        <v>0.95</v>
      </c>
      <c r="P32" s="81">
        <f t="shared" si="0"/>
        <v>172.624405</v>
      </c>
    </row>
    <row r="33" spans="2:17" x14ac:dyDescent="0.25">
      <c r="B33" s="164"/>
      <c r="C33" s="10"/>
      <c r="D33" s="39"/>
      <c r="E33" s="39"/>
      <c r="F33" s="39"/>
      <c r="G33" s="39"/>
      <c r="H33" s="179"/>
      <c r="I33" s="39"/>
      <c r="J33" s="39"/>
      <c r="K33" s="39"/>
      <c r="L33" s="39"/>
      <c r="O33" s="81">
        <v>0.94</v>
      </c>
      <c r="P33" s="81">
        <f t="shared" si="0"/>
        <v>170.80730599999998</v>
      </c>
    </row>
    <row r="34" spans="2:17" x14ac:dyDescent="0.25">
      <c r="B34" s="164"/>
      <c r="C34" s="10"/>
      <c r="D34" s="39"/>
      <c r="E34" s="39"/>
      <c r="F34" s="39"/>
      <c r="G34" s="39"/>
      <c r="H34" s="179"/>
      <c r="I34" s="39"/>
      <c r="J34" s="39"/>
      <c r="K34" s="39"/>
      <c r="L34" s="39"/>
      <c r="O34" s="81">
        <v>0.93</v>
      </c>
      <c r="P34" s="81">
        <f t="shared" si="0"/>
        <v>168.99020700000003</v>
      </c>
    </row>
    <row r="35" spans="2:17" x14ac:dyDescent="0.25">
      <c r="B35" s="164"/>
      <c r="C35" s="10"/>
      <c r="D35" s="39"/>
      <c r="E35" s="39"/>
      <c r="F35" s="39"/>
      <c r="G35" s="39"/>
      <c r="H35" s="179"/>
      <c r="I35" s="39"/>
      <c r="J35" s="39"/>
      <c r="K35" s="39"/>
      <c r="L35" s="39"/>
      <c r="O35" s="81">
        <v>0.92</v>
      </c>
      <c r="P35" s="81">
        <f t="shared" si="0"/>
        <v>167.17310800000001</v>
      </c>
    </row>
    <row r="36" spans="2:17" x14ac:dyDescent="0.25">
      <c r="B36" s="164"/>
      <c r="C36" s="10"/>
      <c r="D36" s="39"/>
      <c r="E36" s="39"/>
      <c r="F36" s="39"/>
      <c r="G36" s="39"/>
      <c r="H36" s="179"/>
      <c r="I36" s="39"/>
      <c r="J36" s="39"/>
      <c r="K36" s="39"/>
      <c r="L36" s="39"/>
      <c r="O36" s="81">
        <v>0.91</v>
      </c>
      <c r="P36" s="81">
        <f t="shared" si="0"/>
        <v>165.356009</v>
      </c>
    </row>
    <row r="37" spans="2:17" x14ac:dyDescent="0.25">
      <c r="B37" s="164"/>
      <c r="C37" s="10"/>
      <c r="D37" s="39"/>
      <c r="E37" s="39"/>
      <c r="F37" s="39"/>
      <c r="G37" s="39"/>
      <c r="H37" s="179"/>
      <c r="I37" s="39"/>
      <c r="J37" s="39"/>
      <c r="K37" s="39"/>
      <c r="L37" s="39"/>
      <c r="O37" s="81">
        <v>0.9</v>
      </c>
      <c r="P37" s="81">
        <f t="shared" si="0"/>
        <v>163.53891000000002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53" priority="39">
      <formula>F47&gt;0</formula>
    </cfRule>
    <cfRule type="expression" dxfId="3052" priority="40">
      <formula>F47&lt;0</formula>
    </cfRule>
  </conditionalFormatting>
  <conditionalFormatting sqref="Q7">
    <cfRule type="expression" dxfId="3051" priority="37">
      <formula>Q7&gt;0</formula>
    </cfRule>
    <cfRule type="expression" dxfId="3050" priority="38">
      <formula>Q7&lt;0</formula>
    </cfRule>
  </conditionalFormatting>
  <conditionalFormatting sqref="Q8">
    <cfRule type="expression" dxfId="3049" priority="35">
      <formula>Q8&gt;0</formula>
    </cfRule>
    <cfRule type="expression" dxfId="3048" priority="36">
      <formula>Q8&lt;0</formula>
    </cfRule>
  </conditionalFormatting>
  <conditionalFormatting sqref="F30:F46">
    <cfRule type="expression" dxfId="3047" priority="33">
      <formula>F30&gt;0</formula>
    </cfRule>
    <cfRule type="expression" dxfId="3046" priority="34">
      <formula>F30&lt;0</formula>
    </cfRule>
  </conditionalFormatting>
  <conditionalFormatting sqref="H30:H46">
    <cfRule type="expression" dxfId="3045" priority="31">
      <formula>H30&gt;0</formula>
    </cfRule>
    <cfRule type="expression" dxfId="3044" priority="32">
      <formula>H30&lt;0</formula>
    </cfRule>
  </conditionalFormatting>
  <conditionalFormatting sqref="Q10">
    <cfRule type="expression" dxfId="3043" priority="29">
      <formula>Q10&gt;0</formula>
    </cfRule>
    <cfRule type="expression" dxfId="3042" priority="30">
      <formula>Q10&lt;0</formula>
    </cfRule>
  </conditionalFormatting>
  <conditionalFormatting sqref="J25:J38">
    <cfRule type="expression" dxfId="3041" priority="27">
      <formula>J25&gt;0</formula>
    </cfRule>
    <cfRule type="expression" dxfId="3040" priority="28">
      <formula>J25&lt;0</formula>
    </cfRule>
  </conditionalFormatting>
  <conditionalFormatting sqref="K25:K38">
    <cfRule type="expression" dxfId="3039" priority="25">
      <formula>K25&gt;0</formula>
    </cfRule>
    <cfRule type="expression" dxfId="3038" priority="26">
      <formula>K25&lt;0</formula>
    </cfRule>
  </conditionalFormatting>
  <conditionalFormatting sqref="L25 L38">
    <cfRule type="expression" dxfId="3037" priority="23">
      <formula>L25&gt;0</formula>
    </cfRule>
    <cfRule type="expression" dxfId="3036" priority="24">
      <formula>L25&lt;0</formula>
    </cfRule>
  </conditionalFormatting>
  <conditionalFormatting sqref="F89:F110">
    <cfRule type="expression" dxfId="3035" priority="21">
      <formula>F89&gt;0</formula>
    </cfRule>
    <cfRule type="expression" dxfId="3034" priority="22">
      <formula>F89&lt;0</formula>
    </cfRule>
  </conditionalFormatting>
  <conditionalFormatting sqref="H89:H110">
    <cfRule type="expression" dxfId="3033" priority="19">
      <formula>H89&gt;0</formula>
    </cfRule>
    <cfRule type="expression" dxfId="3032" priority="20">
      <formula>H89&lt;0</formula>
    </cfRule>
  </conditionalFormatting>
  <conditionalFormatting sqref="J89:J102">
    <cfRule type="expression" dxfId="3031" priority="17">
      <formula>J89&gt;0</formula>
    </cfRule>
    <cfRule type="expression" dxfId="3030" priority="18">
      <formula>J89&lt;0</formula>
    </cfRule>
  </conditionalFormatting>
  <conditionalFormatting sqref="K89:K102">
    <cfRule type="expression" dxfId="3029" priority="15">
      <formula>K89&gt;0</formula>
    </cfRule>
    <cfRule type="expression" dxfId="3028" priority="16">
      <formula>K89&lt;0</formula>
    </cfRule>
  </conditionalFormatting>
  <conditionalFormatting sqref="L89:L102">
    <cfRule type="expression" dxfId="3027" priority="13">
      <formula>L89&gt;0</formula>
    </cfRule>
    <cfRule type="expression" dxfId="3026" priority="14">
      <formula>L89&lt;0</formula>
    </cfRule>
  </conditionalFormatting>
  <conditionalFormatting sqref="F25 F29">
    <cfRule type="expression" dxfId="3025" priority="11">
      <formula>F25&gt;0</formula>
    </cfRule>
    <cfRule type="expression" dxfId="3024" priority="12">
      <formula>F25&lt;0</formula>
    </cfRule>
  </conditionalFormatting>
  <conditionalFormatting sqref="H25:H26 H29">
    <cfRule type="expression" dxfId="3023" priority="9">
      <formula>H25&gt;0</formula>
    </cfRule>
    <cfRule type="expression" dxfId="3022" priority="10">
      <formula>H25&lt;0</formula>
    </cfRule>
  </conditionalFormatting>
  <conditionalFormatting sqref="F26">
    <cfRule type="expression" dxfId="3021" priority="7">
      <formula>F26&gt;0</formula>
    </cfRule>
    <cfRule type="expression" dxfId="3020" priority="8">
      <formula>F26&lt;0</formula>
    </cfRule>
  </conditionalFormatting>
  <conditionalFormatting sqref="F27:F28">
    <cfRule type="expression" dxfId="3019" priority="3">
      <formula>F27&gt;0</formula>
    </cfRule>
    <cfRule type="expression" dxfId="3018" priority="4">
      <formula>F27&lt;0</formula>
    </cfRule>
  </conditionalFormatting>
  <conditionalFormatting sqref="H27:H28">
    <cfRule type="expression" dxfId="3017" priority="1">
      <formula>H27&gt;0</formula>
    </cfRule>
    <cfRule type="expression" dxfId="301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5" priority="35">
      <formula>F47&gt;0</formula>
    </cfRule>
    <cfRule type="expression" dxfId="3014" priority="36">
      <formula>F47&lt;0</formula>
    </cfRule>
  </conditionalFormatting>
  <conditionalFormatting sqref="Q7">
    <cfRule type="expression" dxfId="3013" priority="33">
      <formula>Q7&gt;0</formula>
    </cfRule>
    <cfRule type="expression" dxfId="3012" priority="34">
      <formula>Q7&lt;0</formula>
    </cfRule>
  </conditionalFormatting>
  <conditionalFormatting sqref="Q8">
    <cfRule type="expression" dxfId="3011" priority="31">
      <formula>Q8&gt;0</formula>
    </cfRule>
    <cfRule type="expression" dxfId="3010" priority="32">
      <formula>Q8&lt;0</formula>
    </cfRule>
  </conditionalFormatting>
  <conditionalFormatting sqref="F30:F46">
    <cfRule type="expression" dxfId="3009" priority="29">
      <formula>F30&gt;0</formula>
    </cfRule>
    <cfRule type="expression" dxfId="3008" priority="30">
      <formula>F30&lt;0</formula>
    </cfRule>
  </conditionalFormatting>
  <conditionalFormatting sqref="H30:H46">
    <cfRule type="expression" dxfId="3007" priority="27">
      <formula>H30&gt;0</formula>
    </cfRule>
    <cfRule type="expression" dxfId="3006" priority="28">
      <formula>H30&lt;0</formula>
    </cfRule>
  </conditionalFormatting>
  <conditionalFormatting sqref="Q10">
    <cfRule type="expression" dxfId="3005" priority="25">
      <formula>Q10&gt;0</formula>
    </cfRule>
    <cfRule type="expression" dxfId="3004" priority="26">
      <formula>Q10&lt;0</formula>
    </cfRule>
  </conditionalFormatting>
  <conditionalFormatting sqref="J25:J38">
    <cfRule type="expression" dxfId="3003" priority="23">
      <formula>J25&gt;0</formula>
    </cfRule>
    <cfRule type="expression" dxfId="3002" priority="24">
      <formula>J25&lt;0</formula>
    </cfRule>
  </conditionalFormatting>
  <conditionalFormatting sqref="K25:K38">
    <cfRule type="expression" dxfId="3001" priority="21">
      <formula>K25&gt;0</formula>
    </cfRule>
    <cfRule type="expression" dxfId="3000" priority="22">
      <formula>K25&lt;0</formula>
    </cfRule>
  </conditionalFormatting>
  <conditionalFormatting sqref="L25 L38">
    <cfRule type="expression" dxfId="2999" priority="19">
      <formula>L25&gt;0</formula>
    </cfRule>
    <cfRule type="expression" dxfId="2998" priority="20">
      <formula>L25&lt;0</formula>
    </cfRule>
  </conditionalFormatting>
  <conditionalFormatting sqref="F89:F110">
    <cfRule type="expression" dxfId="2997" priority="17">
      <formula>F89&gt;0</formula>
    </cfRule>
    <cfRule type="expression" dxfId="2996" priority="18">
      <formula>F89&lt;0</formula>
    </cfRule>
  </conditionalFormatting>
  <conditionalFormatting sqref="H89:H110">
    <cfRule type="expression" dxfId="2995" priority="15">
      <formula>H89&gt;0</formula>
    </cfRule>
    <cfRule type="expression" dxfId="2994" priority="16">
      <formula>H89&lt;0</formula>
    </cfRule>
  </conditionalFormatting>
  <conditionalFormatting sqref="J89:J102">
    <cfRule type="expression" dxfId="2993" priority="13">
      <formula>J89&gt;0</formula>
    </cfRule>
    <cfRule type="expression" dxfId="2992" priority="14">
      <formula>J89&lt;0</formula>
    </cfRule>
  </conditionalFormatting>
  <conditionalFormatting sqref="K89:K102">
    <cfRule type="expression" dxfId="2991" priority="11">
      <formula>K89&gt;0</formula>
    </cfRule>
    <cfRule type="expression" dxfId="2990" priority="12">
      <formula>K89&lt;0</formula>
    </cfRule>
  </conditionalFormatting>
  <conditionalFormatting sqref="L89:L102">
    <cfRule type="expression" dxfId="2989" priority="9">
      <formula>L89&gt;0</formula>
    </cfRule>
    <cfRule type="expression" dxfId="2988" priority="10">
      <formula>L89&lt;0</formula>
    </cfRule>
  </conditionalFormatting>
  <conditionalFormatting sqref="F29 F25:F26">
    <cfRule type="expression" dxfId="2987" priority="7">
      <formula>F25&gt;0</formula>
    </cfRule>
    <cfRule type="expression" dxfId="2986" priority="8">
      <formula>F25&lt;0</formula>
    </cfRule>
  </conditionalFormatting>
  <conditionalFormatting sqref="H29 H25:H27">
    <cfRule type="expression" dxfId="2985" priority="5">
      <formula>H25&gt;0</formula>
    </cfRule>
    <cfRule type="expression" dxfId="2984" priority="6">
      <formula>H25&lt;0</formula>
    </cfRule>
  </conditionalFormatting>
  <conditionalFormatting sqref="F27:F28">
    <cfRule type="expression" dxfId="2983" priority="3">
      <formula>F27&gt;0</formula>
    </cfRule>
    <cfRule type="expression" dxfId="2982" priority="4">
      <formula>F27&lt;0</formula>
    </cfRule>
  </conditionalFormatting>
  <conditionalFormatting sqref="H28">
    <cfRule type="expression" dxfId="2981" priority="1">
      <formula>H28&gt;0</formula>
    </cfRule>
    <cfRule type="expression" dxfId="298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9" priority="43">
      <formula>F54&gt;0</formula>
    </cfRule>
    <cfRule type="expression" dxfId="2978" priority="44">
      <formula>F54&lt;0</formula>
    </cfRule>
  </conditionalFormatting>
  <conditionalFormatting sqref="Q7">
    <cfRule type="expression" dxfId="2977" priority="41">
      <formula>Q7&gt;0</formula>
    </cfRule>
    <cfRule type="expression" dxfId="2976" priority="42">
      <formula>Q7&lt;0</formula>
    </cfRule>
  </conditionalFormatting>
  <conditionalFormatting sqref="Q8">
    <cfRule type="expression" dxfId="2975" priority="39">
      <formula>Q8&gt;0</formula>
    </cfRule>
    <cfRule type="expression" dxfId="2974" priority="40">
      <formula>Q8&lt;0</formula>
    </cfRule>
  </conditionalFormatting>
  <conditionalFormatting sqref="F33:F36 F38:F53">
    <cfRule type="expression" dxfId="2973" priority="37">
      <formula>F33&gt;0</formula>
    </cfRule>
    <cfRule type="expression" dxfId="2972" priority="38">
      <formula>F33&lt;0</formula>
    </cfRule>
  </conditionalFormatting>
  <conditionalFormatting sqref="H33:H36 H38:H53">
    <cfRule type="expression" dxfId="2971" priority="35">
      <formula>H33&gt;0</formula>
    </cfRule>
    <cfRule type="expression" dxfId="2970" priority="36">
      <formula>H33&lt;0</formula>
    </cfRule>
  </conditionalFormatting>
  <conditionalFormatting sqref="Q10">
    <cfRule type="expression" dxfId="2969" priority="33">
      <formula>Q10&gt;0</formula>
    </cfRule>
    <cfRule type="expression" dxfId="2968" priority="34">
      <formula>Q10&lt;0</formula>
    </cfRule>
  </conditionalFormatting>
  <conditionalFormatting sqref="J25:J37">
    <cfRule type="expression" dxfId="2967" priority="31">
      <formula>J25&gt;0</formula>
    </cfRule>
    <cfRule type="expression" dxfId="2966" priority="32">
      <formula>J25&lt;0</formula>
    </cfRule>
  </conditionalFormatting>
  <conditionalFormatting sqref="K25:K38">
    <cfRule type="expression" dxfId="2965" priority="29">
      <formula>K25&gt;0</formula>
    </cfRule>
    <cfRule type="expression" dxfId="2964" priority="30">
      <formula>K25&lt;0</formula>
    </cfRule>
  </conditionalFormatting>
  <conditionalFormatting sqref="L25">
    <cfRule type="expression" dxfId="2963" priority="27">
      <formula>L25&gt;0</formula>
    </cfRule>
    <cfRule type="expression" dxfId="2962" priority="28">
      <formula>L25&lt;0</formula>
    </cfRule>
  </conditionalFormatting>
  <conditionalFormatting sqref="F89:F110">
    <cfRule type="expression" dxfId="2961" priority="25">
      <formula>F89&gt;0</formula>
    </cfRule>
    <cfRule type="expression" dxfId="2960" priority="26">
      <formula>F89&lt;0</formula>
    </cfRule>
  </conditionalFormatting>
  <conditionalFormatting sqref="H89:H110">
    <cfRule type="expression" dxfId="2959" priority="23">
      <formula>H89&gt;0</formula>
    </cfRule>
    <cfRule type="expression" dxfId="2958" priority="24">
      <formula>H89&lt;0</formula>
    </cfRule>
  </conditionalFormatting>
  <conditionalFormatting sqref="J89:J102">
    <cfRule type="expression" dxfId="2957" priority="21">
      <formula>J89&gt;0</formula>
    </cfRule>
    <cfRule type="expression" dxfId="2956" priority="22">
      <formula>J89&lt;0</formula>
    </cfRule>
  </conditionalFormatting>
  <conditionalFormatting sqref="K89:K102">
    <cfRule type="expression" dxfId="2955" priority="19">
      <formula>K89&gt;0</formula>
    </cfRule>
    <cfRule type="expression" dxfId="2954" priority="20">
      <formula>K89&lt;0</formula>
    </cfRule>
  </conditionalFormatting>
  <conditionalFormatting sqref="L89:L102">
    <cfRule type="expression" dxfId="2953" priority="17">
      <formula>L89&gt;0</formula>
    </cfRule>
    <cfRule type="expression" dxfId="2952" priority="18">
      <formula>L89&lt;0</formula>
    </cfRule>
  </conditionalFormatting>
  <conditionalFormatting sqref="F29:F32">
    <cfRule type="expression" dxfId="2951" priority="15">
      <formula>F29&gt;0</formula>
    </cfRule>
    <cfRule type="expression" dxfId="2950" priority="16">
      <formula>F29&lt;0</formula>
    </cfRule>
  </conditionalFormatting>
  <conditionalFormatting sqref="H29:H32">
    <cfRule type="expression" dxfId="2949" priority="13">
      <formula>H29&gt;0</formula>
    </cfRule>
    <cfRule type="expression" dxfId="2948" priority="14">
      <formula>H29&lt;0</formula>
    </cfRule>
  </conditionalFormatting>
  <conditionalFormatting sqref="F25:F28">
    <cfRule type="expression" dxfId="2947" priority="11">
      <formula>F25&gt;0</formula>
    </cfRule>
    <cfRule type="expression" dxfId="2946" priority="12">
      <formula>F25&lt;0</formula>
    </cfRule>
  </conditionalFormatting>
  <conditionalFormatting sqref="H25:H28">
    <cfRule type="expression" dxfId="2945" priority="9">
      <formula>H25&gt;0</formula>
    </cfRule>
    <cfRule type="expression" dxfId="2944" priority="10">
      <formula>H25&lt;0</formula>
    </cfRule>
  </conditionalFormatting>
  <conditionalFormatting sqref="F37">
    <cfRule type="expression" dxfId="2943" priority="7">
      <formula>F37&gt;0</formula>
    </cfRule>
    <cfRule type="expression" dxfId="2942" priority="8">
      <formula>F37&lt;0</formula>
    </cfRule>
  </conditionalFormatting>
  <conditionalFormatting sqref="H37">
    <cfRule type="expression" dxfId="2941" priority="5">
      <formula>H37&gt;0</formula>
    </cfRule>
    <cfRule type="expression" dxfId="2940" priority="6">
      <formula>H37&lt;0</formula>
    </cfRule>
  </conditionalFormatting>
  <conditionalFormatting sqref="J49">
    <cfRule type="expression" dxfId="2939" priority="3">
      <formula>J49&gt;0</formula>
    </cfRule>
    <cfRule type="expression" dxfId="2938" priority="4">
      <formula>J49&lt;0</formula>
    </cfRule>
  </conditionalFormatting>
  <conditionalFormatting sqref="J38:J48">
    <cfRule type="expression" dxfId="2937" priority="1">
      <formula>J38&gt;0</formula>
    </cfRule>
    <cfRule type="expression" dxfId="293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5" priority="35">
      <formula>F47&gt;0</formula>
    </cfRule>
    <cfRule type="expression" dxfId="2934" priority="36">
      <formula>F47&lt;0</formula>
    </cfRule>
  </conditionalFormatting>
  <conditionalFormatting sqref="Q7">
    <cfRule type="expression" dxfId="2933" priority="33">
      <formula>Q7&gt;0</formula>
    </cfRule>
    <cfRule type="expression" dxfId="2932" priority="34">
      <formula>Q7&lt;0</formula>
    </cfRule>
  </conditionalFormatting>
  <conditionalFormatting sqref="Q8">
    <cfRule type="expression" dxfId="2931" priority="31">
      <formula>Q8&gt;0</formula>
    </cfRule>
    <cfRule type="expression" dxfId="2930" priority="32">
      <formula>Q8&lt;0</formula>
    </cfRule>
  </conditionalFormatting>
  <conditionalFormatting sqref="F30:F46">
    <cfRule type="expression" dxfId="2929" priority="29">
      <formula>F30&gt;0</formula>
    </cfRule>
    <cfRule type="expression" dxfId="2928" priority="30">
      <formula>F30&lt;0</formula>
    </cfRule>
  </conditionalFormatting>
  <conditionalFormatting sqref="H30:H46">
    <cfRule type="expression" dxfId="2927" priority="27">
      <formula>H30&gt;0</formula>
    </cfRule>
    <cfRule type="expression" dxfId="2926" priority="28">
      <formula>H30&lt;0</formula>
    </cfRule>
  </conditionalFormatting>
  <conditionalFormatting sqref="Q10">
    <cfRule type="expression" dxfId="2925" priority="25">
      <formula>Q10&gt;0</formula>
    </cfRule>
    <cfRule type="expression" dxfId="2924" priority="26">
      <formula>Q10&lt;0</formula>
    </cfRule>
  </conditionalFormatting>
  <conditionalFormatting sqref="J25:J38">
    <cfRule type="expression" dxfId="2923" priority="23">
      <formula>J25&gt;0</formula>
    </cfRule>
    <cfRule type="expression" dxfId="2922" priority="24">
      <formula>J25&lt;0</formula>
    </cfRule>
  </conditionalFormatting>
  <conditionalFormatting sqref="K25:K38">
    <cfRule type="expression" dxfId="2921" priority="21">
      <formula>K25&gt;0</formula>
    </cfRule>
    <cfRule type="expression" dxfId="2920" priority="22">
      <formula>K25&lt;0</formula>
    </cfRule>
  </conditionalFormatting>
  <conditionalFormatting sqref="L25 L38">
    <cfRule type="expression" dxfId="2919" priority="19">
      <formula>L25&gt;0</formula>
    </cfRule>
    <cfRule type="expression" dxfId="2918" priority="20">
      <formula>L25&lt;0</formula>
    </cfRule>
  </conditionalFormatting>
  <conditionalFormatting sqref="F89:F110">
    <cfRule type="expression" dxfId="2917" priority="17">
      <formula>F89&gt;0</formula>
    </cfRule>
    <cfRule type="expression" dxfId="2916" priority="18">
      <formula>F89&lt;0</formula>
    </cfRule>
  </conditionalFormatting>
  <conditionalFormatting sqref="H89:H110">
    <cfRule type="expression" dxfId="2915" priority="15">
      <formula>H89&gt;0</formula>
    </cfRule>
    <cfRule type="expression" dxfId="2914" priority="16">
      <formula>H89&lt;0</formula>
    </cfRule>
  </conditionalFormatting>
  <conditionalFormatting sqref="J89:J102">
    <cfRule type="expression" dxfId="2913" priority="13">
      <formula>J89&gt;0</formula>
    </cfRule>
    <cfRule type="expression" dxfId="2912" priority="14">
      <formula>J89&lt;0</formula>
    </cfRule>
  </conditionalFormatting>
  <conditionalFormatting sqref="K89:K102">
    <cfRule type="expression" dxfId="2911" priority="11">
      <formula>K89&gt;0</formula>
    </cfRule>
    <cfRule type="expression" dxfId="2910" priority="12">
      <formula>K89&lt;0</formula>
    </cfRule>
  </conditionalFormatting>
  <conditionalFormatting sqref="L89:L102">
    <cfRule type="expression" dxfId="2909" priority="9">
      <formula>L89&gt;0</formula>
    </cfRule>
    <cfRule type="expression" dxfId="2908" priority="10">
      <formula>L89&lt;0</formula>
    </cfRule>
  </conditionalFormatting>
  <conditionalFormatting sqref="F29 F25:F27">
    <cfRule type="expression" dxfId="2907" priority="7">
      <formula>F25&gt;0</formula>
    </cfRule>
    <cfRule type="expression" dxfId="2906" priority="8">
      <formula>F25&lt;0</formula>
    </cfRule>
  </conditionalFormatting>
  <conditionalFormatting sqref="H25:H29">
    <cfRule type="expression" dxfId="2905" priority="5">
      <formula>H25&gt;0</formula>
    </cfRule>
    <cfRule type="expression" dxfId="2904" priority="6">
      <formula>H25&lt;0</formula>
    </cfRule>
  </conditionalFormatting>
  <conditionalFormatting sqref="F28">
    <cfRule type="expression" dxfId="2903" priority="3">
      <formula>F28&gt;0</formula>
    </cfRule>
    <cfRule type="expression" dxfId="290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93.91</v>
      </c>
      <c r="R4" s="425">
        <v>-8.8999999999999999E-3</v>
      </c>
      <c r="T4" s="693"/>
      <c r="U4" s="30"/>
    </row>
    <row r="5" spans="1:21" x14ac:dyDescent="0.25">
      <c r="B5" s="72"/>
      <c r="C5" s="4"/>
      <c r="D5" s="3"/>
      <c r="E5" s="3"/>
      <c r="F5" s="3"/>
      <c r="G5" s="72"/>
      <c r="H5" s="161"/>
      <c r="I5" s="3"/>
      <c r="J5" s="3"/>
      <c r="K5" s="3"/>
      <c r="L5" s="4"/>
      <c r="M5" s="4"/>
      <c r="O5" s="11" t="s">
        <v>67</v>
      </c>
      <c r="Q5" s="3">
        <f>Q4*Q2</f>
        <v>4695.5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-187.3100000000004</v>
      </c>
      <c r="R7">
        <v>50</v>
      </c>
      <c r="T7" s="1"/>
    </row>
    <row r="8" spans="1:21" x14ac:dyDescent="0.25">
      <c r="B8" s="72"/>
      <c r="C8" s="4"/>
      <c r="D8" s="3"/>
      <c r="E8" s="3"/>
      <c r="F8" s="3"/>
      <c r="G8" s="72"/>
      <c r="H8" s="161"/>
      <c r="I8" s="3"/>
      <c r="J8" s="3"/>
      <c r="K8" s="3"/>
      <c r="L8" s="4"/>
      <c r="M8" s="4"/>
      <c r="O8" s="11" t="s">
        <v>179</v>
      </c>
      <c r="P8" s="33"/>
      <c r="Q8" s="2">
        <f>K18+M18-F18+Q2*Q4</f>
        <v>-187.3100000000004</v>
      </c>
    </row>
    <row r="9" spans="1:21" x14ac:dyDescent="0.25">
      <c r="B9" s="4"/>
      <c r="C9" s="4"/>
      <c r="D9" s="3"/>
      <c r="E9" s="3"/>
      <c r="F9" s="3"/>
      <c r="G9" s="4"/>
      <c r="H9" s="161"/>
      <c r="I9" s="3"/>
      <c r="J9" s="3"/>
      <c r="K9" s="3"/>
      <c r="L9" s="4"/>
      <c r="M9" s="4"/>
      <c r="O9" s="11" t="s">
        <v>204</v>
      </c>
      <c r="Q9" s="134">
        <f>IF(Q2=0, 0, Q8/Q6)</f>
        <v>-3.8361107640887189E-2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9.3706740496219791E-3</v>
      </c>
      <c r="R11">
        <f>0.88/4</f>
        <v>0.22</v>
      </c>
    </row>
    <row r="12" spans="1:21" x14ac:dyDescent="0.25">
      <c r="H12" s="70"/>
      <c r="O12" s="11" t="s">
        <v>921</v>
      </c>
      <c r="Q12" s="1" t="s">
        <v>1354</v>
      </c>
    </row>
    <row r="13" spans="1:21" x14ac:dyDescent="0.25">
      <c r="H13" s="70"/>
      <c r="O13" s="11" t="s">
        <v>947</v>
      </c>
      <c r="Q13" s="2">
        <f>Q4/4.4</f>
        <v>21.343181818181815</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103.301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102.36190000000001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101.42280000000001</v>
      </c>
    </row>
    <row r="20" spans="1:16" x14ac:dyDescent="0.25">
      <c r="O20" s="81">
        <v>1.07</v>
      </c>
      <c r="P20" s="81">
        <f t="shared" si="0"/>
        <v>100.4837</v>
      </c>
    </row>
    <row r="21" spans="1:16" x14ac:dyDescent="0.25">
      <c r="O21" s="81">
        <v>1.06</v>
      </c>
      <c r="P21" s="81">
        <f t="shared" si="0"/>
        <v>99.544600000000003</v>
      </c>
    </row>
    <row r="22" spans="1:16" x14ac:dyDescent="0.25">
      <c r="O22" s="81">
        <v>1.05</v>
      </c>
      <c r="P22" s="81">
        <f t="shared" si="0"/>
        <v>98.605500000000006</v>
      </c>
    </row>
    <row r="23" spans="1:16" x14ac:dyDescent="0.25">
      <c r="O23" s="81">
        <v>1.04</v>
      </c>
      <c r="P23" s="81">
        <f t="shared" si="0"/>
        <v>97.666399999999996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96.7273</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95.788200000000003</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94.849099999999993</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93.91</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92.9709</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92.03179999999999</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91.092699999999994</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90.153599999999997</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89.214499999999987</v>
      </c>
    </row>
    <row r="33" spans="2:17" x14ac:dyDescent="0.25">
      <c r="B33" s="164"/>
      <c r="C33" s="10"/>
      <c r="D33" s="39"/>
      <c r="E33" s="39"/>
      <c r="F33" s="39"/>
      <c r="G33" s="39"/>
      <c r="H33" s="179"/>
      <c r="I33" s="39"/>
      <c r="J33" s="39"/>
      <c r="K33" s="39"/>
      <c r="L33" s="39"/>
      <c r="O33" s="81">
        <v>0.94</v>
      </c>
      <c r="P33" s="81">
        <f t="shared" si="0"/>
        <v>88.275399999999991</v>
      </c>
    </row>
    <row r="34" spans="2:17" x14ac:dyDescent="0.25">
      <c r="B34" s="164"/>
      <c r="C34" s="10"/>
      <c r="D34" s="39"/>
      <c r="E34" s="39"/>
      <c r="F34" s="39"/>
      <c r="G34" s="39"/>
      <c r="H34" s="179"/>
      <c r="I34" s="39"/>
      <c r="J34" s="39"/>
      <c r="K34" s="39"/>
      <c r="L34" s="39"/>
      <c r="O34" s="81">
        <v>0.93</v>
      </c>
      <c r="P34" s="81">
        <f t="shared" si="0"/>
        <v>87.336300000000008</v>
      </c>
    </row>
    <row r="35" spans="2:17" x14ac:dyDescent="0.25">
      <c r="B35" s="164"/>
      <c r="C35" s="10"/>
      <c r="D35" s="39"/>
      <c r="E35" s="39"/>
      <c r="F35" s="39"/>
      <c r="G35" s="39"/>
      <c r="H35" s="179"/>
      <c r="I35" s="39"/>
      <c r="J35" s="39"/>
      <c r="K35" s="39"/>
      <c r="L35" s="39"/>
      <c r="O35" s="81">
        <v>0.92</v>
      </c>
      <c r="P35" s="81">
        <f t="shared" si="0"/>
        <v>86.397199999999998</v>
      </c>
    </row>
    <row r="36" spans="2:17" x14ac:dyDescent="0.25">
      <c r="B36" s="164"/>
      <c r="C36" s="10"/>
      <c r="D36" s="39"/>
      <c r="E36" s="39"/>
      <c r="F36" s="39"/>
      <c r="G36" s="39"/>
      <c r="H36" s="179"/>
      <c r="I36" s="39"/>
      <c r="J36" s="39"/>
      <c r="K36" s="39"/>
      <c r="L36" s="39"/>
      <c r="O36" s="81">
        <v>0.91</v>
      </c>
      <c r="P36" s="81">
        <f t="shared" si="0"/>
        <v>85.458100000000002</v>
      </c>
    </row>
    <row r="37" spans="2:17" x14ac:dyDescent="0.25">
      <c r="B37" s="164"/>
      <c r="C37" s="10"/>
      <c r="D37" s="39"/>
      <c r="E37" s="39"/>
      <c r="F37" s="39"/>
      <c r="G37" s="39"/>
      <c r="H37" s="179"/>
      <c r="I37" s="39"/>
      <c r="J37" s="39"/>
      <c r="K37" s="39"/>
      <c r="L37" s="39"/>
      <c r="O37" s="81">
        <v>0.9</v>
      </c>
      <c r="P37" s="81">
        <f t="shared" si="0"/>
        <v>84.519000000000005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1" priority="43">
      <formula>F54&gt;0</formula>
    </cfRule>
    <cfRule type="expression" dxfId="2900" priority="44">
      <formula>F54&lt;0</formula>
    </cfRule>
  </conditionalFormatting>
  <conditionalFormatting sqref="Q7">
    <cfRule type="expression" dxfId="2899" priority="41">
      <formula>Q7&gt;0</formula>
    </cfRule>
    <cfRule type="expression" dxfId="2898" priority="42">
      <formula>Q7&lt;0</formula>
    </cfRule>
  </conditionalFormatting>
  <conditionalFormatting sqref="Q8">
    <cfRule type="expression" dxfId="2897" priority="39">
      <formula>Q8&gt;0</formula>
    </cfRule>
    <cfRule type="expression" dxfId="2896" priority="40">
      <formula>Q8&lt;0</formula>
    </cfRule>
  </conditionalFormatting>
  <conditionalFormatting sqref="F33:F36 F38:F53">
    <cfRule type="expression" dxfId="2895" priority="37">
      <formula>F33&gt;0</formula>
    </cfRule>
    <cfRule type="expression" dxfId="2894" priority="38">
      <formula>F33&lt;0</formula>
    </cfRule>
  </conditionalFormatting>
  <conditionalFormatting sqref="H33:H36 H38:H53">
    <cfRule type="expression" dxfId="2893" priority="35">
      <formula>H33&gt;0</formula>
    </cfRule>
    <cfRule type="expression" dxfId="2892" priority="36">
      <formula>H33&lt;0</formula>
    </cfRule>
  </conditionalFormatting>
  <conditionalFormatting sqref="Q10">
    <cfRule type="expression" dxfId="2891" priority="33">
      <formula>Q10&gt;0</formula>
    </cfRule>
    <cfRule type="expression" dxfId="2890" priority="34">
      <formula>Q10&lt;0</formula>
    </cfRule>
  </conditionalFormatting>
  <conditionalFormatting sqref="J25:J37">
    <cfRule type="expression" dxfId="2889" priority="31">
      <formula>J25&gt;0</formula>
    </cfRule>
    <cfRule type="expression" dxfId="2888" priority="32">
      <formula>J25&lt;0</formula>
    </cfRule>
  </conditionalFormatting>
  <conditionalFormatting sqref="K25:K38">
    <cfRule type="expression" dxfId="2887" priority="29">
      <formula>K25&gt;0</formula>
    </cfRule>
    <cfRule type="expression" dxfId="2886" priority="30">
      <formula>K25&lt;0</formula>
    </cfRule>
  </conditionalFormatting>
  <conditionalFormatting sqref="L25">
    <cfRule type="expression" dxfId="2885" priority="27">
      <formula>L25&gt;0</formula>
    </cfRule>
    <cfRule type="expression" dxfId="2884" priority="28">
      <formula>L25&lt;0</formula>
    </cfRule>
  </conditionalFormatting>
  <conditionalFormatting sqref="F89:F110">
    <cfRule type="expression" dxfId="2883" priority="25">
      <formula>F89&gt;0</formula>
    </cfRule>
    <cfRule type="expression" dxfId="2882" priority="26">
      <formula>F89&lt;0</formula>
    </cfRule>
  </conditionalFormatting>
  <conditionalFormatting sqref="H89:H110">
    <cfRule type="expression" dxfId="2881" priority="23">
      <formula>H89&gt;0</formula>
    </cfRule>
    <cfRule type="expression" dxfId="2880" priority="24">
      <formula>H89&lt;0</formula>
    </cfRule>
  </conditionalFormatting>
  <conditionalFormatting sqref="J89:J102">
    <cfRule type="expression" dxfId="2879" priority="21">
      <formula>J89&gt;0</formula>
    </cfRule>
    <cfRule type="expression" dxfId="2878" priority="22">
      <formula>J89&lt;0</formula>
    </cfRule>
  </conditionalFormatting>
  <conditionalFormatting sqref="K89:K102">
    <cfRule type="expression" dxfId="2877" priority="19">
      <formula>K89&gt;0</formula>
    </cfRule>
    <cfRule type="expression" dxfId="2876" priority="20">
      <formula>K89&lt;0</formula>
    </cfRule>
  </conditionalFormatting>
  <conditionalFormatting sqref="L89:L102">
    <cfRule type="expression" dxfId="2875" priority="17">
      <formula>L89&gt;0</formula>
    </cfRule>
    <cfRule type="expression" dxfId="2874" priority="18">
      <formula>L89&lt;0</formula>
    </cfRule>
  </conditionalFormatting>
  <conditionalFormatting sqref="F29:F32">
    <cfRule type="expression" dxfId="2873" priority="15">
      <formula>F29&gt;0</formula>
    </cfRule>
    <cfRule type="expression" dxfId="2872" priority="16">
      <formula>F29&lt;0</formula>
    </cfRule>
  </conditionalFormatting>
  <conditionalFormatting sqref="H29:H32">
    <cfRule type="expression" dxfId="2871" priority="13">
      <formula>H29&gt;0</formula>
    </cfRule>
    <cfRule type="expression" dxfId="2870" priority="14">
      <formula>H29&lt;0</formula>
    </cfRule>
  </conditionalFormatting>
  <conditionalFormatting sqref="F25:F28">
    <cfRule type="expression" dxfId="2869" priority="11">
      <formula>F25&gt;0</formula>
    </cfRule>
    <cfRule type="expression" dxfId="2868" priority="12">
      <formula>F25&lt;0</formula>
    </cfRule>
  </conditionalFormatting>
  <conditionalFormatting sqref="H25:H28">
    <cfRule type="expression" dxfId="2867" priority="9">
      <formula>H25&gt;0</formula>
    </cfRule>
    <cfRule type="expression" dxfId="2866" priority="10">
      <formula>H25&lt;0</formula>
    </cfRule>
  </conditionalFormatting>
  <conditionalFormatting sqref="F37">
    <cfRule type="expression" dxfId="2865" priority="7">
      <formula>F37&gt;0</formula>
    </cfRule>
    <cfRule type="expression" dxfId="2864" priority="8">
      <formula>F37&lt;0</formula>
    </cfRule>
  </conditionalFormatting>
  <conditionalFormatting sqref="H37">
    <cfRule type="expression" dxfId="2863" priority="5">
      <formula>H37&gt;0</formula>
    </cfRule>
    <cfRule type="expression" dxfId="2862" priority="6">
      <formula>H37&lt;0</formula>
    </cfRule>
  </conditionalFormatting>
  <conditionalFormatting sqref="J49">
    <cfRule type="expression" dxfId="2861" priority="3">
      <formula>J49&gt;0</formula>
    </cfRule>
    <cfRule type="expression" dxfId="2860" priority="4">
      <formula>J49&lt;0</formula>
    </cfRule>
  </conditionalFormatting>
  <conditionalFormatting sqref="J38:J48">
    <cfRule type="expression" dxfId="2859" priority="1">
      <formula>J38&gt;0</formula>
    </cfRule>
    <cfRule type="expression" dxfId="285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7" priority="35">
      <formula>F47&gt;0</formula>
    </cfRule>
    <cfRule type="expression" dxfId="2856" priority="36">
      <formula>F47&lt;0</formula>
    </cfRule>
  </conditionalFormatting>
  <conditionalFormatting sqref="Q7">
    <cfRule type="expression" dxfId="2855" priority="33">
      <formula>Q7&gt;0</formula>
    </cfRule>
    <cfRule type="expression" dxfId="2854" priority="34">
      <formula>Q7&lt;0</formula>
    </cfRule>
  </conditionalFormatting>
  <conditionalFormatting sqref="Q8">
    <cfRule type="expression" dxfId="2853" priority="31">
      <formula>Q8&gt;0</formula>
    </cfRule>
    <cfRule type="expression" dxfId="2852" priority="32">
      <formula>Q8&lt;0</formula>
    </cfRule>
  </conditionalFormatting>
  <conditionalFormatting sqref="F30:F46">
    <cfRule type="expression" dxfId="2851" priority="29">
      <formula>F30&gt;0</formula>
    </cfRule>
    <cfRule type="expression" dxfId="2850" priority="30">
      <formula>F30&lt;0</formula>
    </cfRule>
  </conditionalFormatting>
  <conditionalFormatting sqref="H30:H46">
    <cfRule type="expression" dxfId="2849" priority="27">
      <formula>H30&gt;0</formula>
    </cfRule>
    <cfRule type="expression" dxfId="2848" priority="28">
      <formula>H30&lt;0</formula>
    </cfRule>
  </conditionalFormatting>
  <conditionalFormatting sqref="Q10">
    <cfRule type="expression" dxfId="2847" priority="25">
      <formula>Q10&gt;0</formula>
    </cfRule>
    <cfRule type="expression" dxfId="2846" priority="26">
      <formula>Q10&lt;0</formula>
    </cfRule>
  </conditionalFormatting>
  <conditionalFormatting sqref="J25:J38">
    <cfRule type="expression" dxfId="2845" priority="23">
      <formula>J25&gt;0</formula>
    </cfRule>
    <cfRule type="expression" dxfId="2844" priority="24">
      <formula>J25&lt;0</formula>
    </cfRule>
  </conditionalFormatting>
  <conditionalFormatting sqref="K25:K38">
    <cfRule type="expression" dxfId="2843" priority="21">
      <formula>K25&gt;0</formula>
    </cfRule>
    <cfRule type="expression" dxfId="2842" priority="22">
      <formula>K25&lt;0</formula>
    </cfRule>
  </conditionalFormatting>
  <conditionalFormatting sqref="L25 L38">
    <cfRule type="expression" dxfId="2841" priority="19">
      <formula>L25&gt;0</formula>
    </cfRule>
    <cfRule type="expression" dxfId="2840" priority="20">
      <formula>L25&lt;0</formula>
    </cfRule>
  </conditionalFormatting>
  <conditionalFormatting sqref="F89:F110">
    <cfRule type="expression" dxfId="2839" priority="17">
      <formula>F89&gt;0</formula>
    </cfRule>
    <cfRule type="expression" dxfId="2838" priority="18">
      <formula>F89&lt;0</formula>
    </cfRule>
  </conditionalFormatting>
  <conditionalFormatting sqref="H89:H110">
    <cfRule type="expression" dxfId="2837" priority="15">
      <formula>H89&gt;0</formula>
    </cfRule>
    <cfRule type="expression" dxfId="2836" priority="16">
      <formula>H89&lt;0</formula>
    </cfRule>
  </conditionalFormatting>
  <conditionalFormatting sqref="J89:J102">
    <cfRule type="expression" dxfId="2835" priority="13">
      <formula>J89&gt;0</formula>
    </cfRule>
    <cfRule type="expression" dxfId="2834" priority="14">
      <formula>J89&lt;0</formula>
    </cfRule>
  </conditionalFormatting>
  <conditionalFormatting sqref="K89:K102">
    <cfRule type="expression" dxfId="2833" priority="11">
      <formula>K89&gt;0</formula>
    </cfRule>
    <cfRule type="expression" dxfId="2832" priority="12">
      <formula>K89&lt;0</formula>
    </cfRule>
  </conditionalFormatting>
  <conditionalFormatting sqref="L89:L102">
    <cfRule type="expression" dxfId="2831" priority="9">
      <formula>L89&gt;0</formula>
    </cfRule>
    <cfRule type="expression" dxfId="2830" priority="10">
      <formula>L89&lt;0</formula>
    </cfRule>
  </conditionalFormatting>
  <conditionalFormatting sqref="F25:F29">
    <cfRule type="expression" dxfId="2829" priority="7">
      <formula>F25&gt;0</formula>
    </cfRule>
    <cfRule type="expression" dxfId="2828" priority="8">
      <formula>F25&lt;0</formula>
    </cfRule>
  </conditionalFormatting>
  <conditionalFormatting sqref="H25:H29">
    <cfRule type="expression" dxfId="2827" priority="5">
      <formula>H25&gt;0</formula>
    </cfRule>
    <cfRule type="expression" dxfId="2826"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25" priority="43">
      <formula>F54&gt;0</formula>
    </cfRule>
    <cfRule type="expression" dxfId="2824" priority="44">
      <formula>F54&lt;0</formula>
    </cfRule>
  </conditionalFormatting>
  <conditionalFormatting sqref="Q7">
    <cfRule type="expression" dxfId="2823" priority="41">
      <formula>Q7&gt;0</formula>
    </cfRule>
    <cfRule type="expression" dxfId="2822" priority="42">
      <formula>Q7&lt;0</formula>
    </cfRule>
  </conditionalFormatting>
  <conditionalFormatting sqref="Q8">
    <cfRule type="expression" dxfId="2821" priority="39">
      <formula>Q8&gt;0</formula>
    </cfRule>
    <cfRule type="expression" dxfId="2820" priority="40">
      <formula>Q8&lt;0</formula>
    </cfRule>
  </conditionalFormatting>
  <conditionalFormatting sqref="F33:F36 F38:F53">
    <cfRule type="expression" dxfId="2819" priority="37">
      <formula>F33&gt;0</formula>
    </cfRule>
    <cfRule type="expression" dxfId="2818" priority="38">
      <formula>F33&lt;0</formula>
    </cfRule>
  </conditionalFormatting>
  <conditionalFormatting sqref="H33:H36 H38:H53">
    <cfRule type="expression" dxfId="2817" priority="35">
      <formula>H33&gt;0</formula>
    </cfRule>
    <cfRule type="expression" dxfId="2816" priority="36">
      <formula>H33&lt;0</formula>
    </cfRule>
  </conditionalFormatting>
  <conditionalFormatting sqref="Q10">
    <cfRule type="expression" dxfId="2815" priority="33">
      <formula>Q10&gt;0</formula>
    </cfRule>
    <cfRule type="expression" dxfId="2814" priority="34">
      <formula>Q10&lt;0</formula>
    </cfRule>
  </conditionalFormatting>
  <conditionalFormatting sqref="J25:J37">
    <cfRule type="expression" dxfId="2813" priority="31">
      <formula>J25&gt;0</formula>
    </cfRule>
    <cfRule type="expression" dxfId="2812" priority="32">
      <formula>J25&lt;0</formula>
    </cfRule>
  </conditionalFormatting>
  <conditionalFormatting sqref="K25:K38">
    <cfRule type="expression" dxfId="2811" priority="29">
      <formula>K25&gt;0</formula>
    </cfRule>
    <cfRule type="expression" dxfId="2810" priority="30">
      <formula>K25&lt;0</formula>
    </cfRule>
  </conditionalFormatting>
  <conditionalFormatting sqref="L25">
    <cfRule type="expression" dxfId="2809" priority="27">
      <formula>L25&gt;0</formula>
    </cfRule>
    <cfRule type="expression" dxfId="2808" priority="28">
      <formula>L25&lt;0</formula>
    </cfRule>
  </conditionalFormatting>
  <conditionalFormatting sqref="F89:F110">
    <cfRule type="expression" dxfId="2807" priority="25">
      <formula>F89&gt;0</formula>
    </cfRule>
    <cfRule type="expression" dxfId="2806" priority="26">
      <formula>F89&lt;0</formula>
    </cfRule>
  </conditionalFormatting>
  <conditionalFormatting sqref="H89:H110">
    <cfRule type="expression" dxfId="2805" priority="23">
      <formula>H89&gt;0</formula>
    </cfRule>
    <cfRule type="expression" dxfId="2804" priority="24">
      <formula>H89&lt;0</formula>
    </cfRule>
  </conditionalFormatting>
  <conditionalFormatting sqref="J89:J102">
    <cfRule type="expression" dxfId="2803" priority="21">
      <formula>J89&gt;0</formula>
    </cfRule>
    <cfRule type="expression" dxfId="2802" priority="22">
      <formula>J89&lt;0</formula>
    </cfRule>
  </conditionalFormatting>
  <conditionalFormatting sqref="K89:K102">
    <cfRule type="expression" dxfId="2801" priority="19">
      <formula>K89&gt;0</formula>
    </cfRule>
    <cfRule type="expression" dxfId="2800" priority="20">
      <formula>K89&lt;0</formula>
    </cfRule>
  </conditionalFormatting>
  <conditionalFormatting sqref="L89:L102">
    <cfRule type="expression" dxfId="2799" priority="17">
      <formula>L89&gt;0</formula>
    </cfRule>
    <cfRule type="expression" dxfId="2798" priority="18">
      <formula>L89&lt;0</formula>
    </cfRule>
  </conditionalFormatting>
  <conditionalFormatting sqref="F29:F32">
    <cfRule type="expression" dxfId="2797" priority="15">
      <formula>F29&gt;0</formula>
    </cfRule>
    <cfRule type="expression" dxfId="2796" priority="16">
      <formula>F29&lt;0</formula>
    </cfRule>
  </conditionalFormatting>
  <conditionalFormatting sqref="H29:H32">
    <cfRule type="expression" dxfId="2795" priority="13">
      <formula>H29&gt;0</formula>
    </cfRule>
    <cfRule type="expression" dxfId="2794" priority="14">
      <formula>H29&lt;0</formula>
    </cfRule>
  </conditionalFormatting>
  <conditionalFormatting sqref="F25:F28">
    <cfRule type="expression" dxfId="2793" priority="11">
      <formula>F25&gt;0</formula>
    </cfRule>
    <cfRule type="expression" dxfId="2792" priority="12">
      <formula>F25&lt;0</formula>
    </cfRule>
  </conditionalFormatting>
  <conditionalFormatting sqref="H25:H28">
    <cfRule type="expression" dxfId="2791" priority="9">
      <formula>H25&gt;0</formula>
    </cfRule>
    <cfRule type="expression" dxfId="2790" priority="10">
      <formula>H25&lt;0</formula>
    </cfRule>
  </conditionalFormatting>
  <conditionalFormatting sqref="F37">
    <cfRule type="expression" dxfId="2789" priority="7">
      <formula>F37&gt;0</formula>
    </cfRule>
    <cfRule type="expression" dxfId="2788" priority="8">
      <formula>F37&lt;0</formula>
    </cfRule>
  </conditionalFormatting>
  <conditionalFormatting sqref="H37">
    <cfRule type="expression" dxfId="2787" priority="5">
      <formula>H37&gt;0</formula>
    </cfRule>
    <cfRule type="expression" dxfId="2786" priority="6">
      <formula>H37&lt;0</formula>
    </cfRule>
  </conditionalFormatting>
  <conditionalFormatting sqref="J49">
    <cfRule type="expression" dxfId="2785" priority="3">
      <formula>J49&gt;0</formula>
    </cfRule>
    <cfRule type="expression" dxfId="2784" priority="4">
      <formula>J49&lt;0</formula>
    </cfRule>
  </conditionalFormatting>
  <conditionalFormatting sqref="J38:J48">
    <cfRule type="expression" dxfId="2783" priority="1">
      <formula>J38&gt;0</formula>
    </cfRule>
    <cfRule type="expression" dxfId="278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29.5899</v>
      </c>
      <c r="R4" s="425">
        <v>3.3999999999999998E-3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2958.99</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570.78999999999724</v>
      </c>
      <c r="R7" s="29">
        <v>43535</v>
      </c>
      <c r="T7" s="1"/>
    </row>
    <row r="8" spans="1:21" x14ac:dyDescent="0.25">
      <c r="B8" s="72"/>
      <c r="C8" s="4"/>
      <c r="D8" s="3"/>
      <c r="E8" s="3"/>
      <c r="F8" s="3"/>
      <c r="G8" s="72"/>
      <c r="H8" s="161"/>
      <c r="I8" s="3"/>
      <c r="J8" s="3"/>
      <c r="K8" s="3"/>
      <c r="L8" s="4"/>
      <c r="M8" s="4"/>
      <c r="O8" s="11" t="s">
        <v>179</v>
      </c>
      <c r="P8" s="33"/>
      <c r="Q8" s="2">
        <f>K18+M18-F18+Q2*Q4</f>
        <v>570.78999999999724</v>
      </c>
    </row>
    <row r="9" spans="1:21" x14ac:dyDescent="0.25">
      <c r="B9" s="4"/>
      <c r="C9" s="4"/>
      <c r="D9" s="3"/>
      <c r="E9" s="3"/>
      <c r="F9" s="3"/>
      <c r="G9" s="4"/>
      <c r="H9" s="161"/>
      <c r="I9" s="3"/>
      <c r="J9" s="3"/>
      <c r="K9" s="3"/>
      <c r="L9" s="4"/>
      <c r="M9" s="4"/>
      <c r="O9" s="11" t="s">
        <v>204</v>
      </c>
      <c r="Q9" s="134">
        <f>IF(Q2=0, 0, Q8/Q6)</f>
        <v>0.2390042709990774</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1.081450089388609E-2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32.54889</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32.252991000000002</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31.957092000000003</v>
      </c>
    </row>
    <row r="20" spans="1:16" x14ac:dyDescent="0.25">
      <c r="O20" s="81">
        <v>1.07</v>
      </c>
      <c r="P20" s="81">
        <f t="shared" si="0"/>
        <v>31.661193000000001</v>
      </c>
    </row>
    <row r="21" spans="1:16" x14ac:dyDescent="0.25">
      <c r="O21" s="81">
        <v>1.06</v>
      </c>
      <c r="P21" s="81">
        <f t="shared" si="0"/>
        <v>31.365294000000002</v>
      </c>
    </row>
    <row r="22" spans="1:16" x14ac:dyDescent="0.25">
      <c r="O22" s="81">
        <v>1.05</v>
      </c>
      <c r="P22" s="81">
        <f t="shared" si="0"/>
        <v>31.069395</v>
      </c>
    </row>
    <row r="23" spans="1:16" x14ac:dyDescent="0.25">
      <c r="O23" s="81">
        <v>1.04</v>
      </c>
      <c r="P23" s="81">
        <f t="shared" si="0"/>
        <v>30.773496000000002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30.477596999999999</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30.181698000000001</v>
      </c>
    </row>
    <row r="26" spans="1:16" x14ac:dyDescent="0.25">
      <c r="A26" s="881"/>
      <c r="B26" s="164">
        <v>43445</v>
      </c>
      <c r="C26" s="10">
        <v>0</v>
      </c>
      <c r="D26" s="39">
        <v>26.8</v>
      </c>
      <c r="E26" s="39">
        <v>26.79</v>
      </c>
      <c r="F26" s="39"/>
      <c r="G26" s="39"/>
      <c r="H26" s="179"/>
      <c r="I26" s="39"/>
      <c r="J26" s="39">
        <v>-3.1</v>
      </c>
      <c r="K26" s="39"/>
      <c r="L26" s="39"/>
      <c r="O26" s="81">
        <v>1.01</v>
      </c>
      <c r="P26" s="81">
        <f t="shared" si="0"/>
        <v>29.885798999999999</v>
      </c>
    </row>
    <row r="27" spans="1:16" x14ac:dyDescent="0.25">
      <c r="A27" s="881"/>
      <c r="B27" s="164">
        <v>43448</v>
      </c>
      <c r="C27" s="10">
        <v>200</v>
      </c>
      <c r="D27" s="39">
        <v>26.015499999999999</v>
      </c>
      <c r="E27" s="39">
        <v>25.84</v>
      </c>
      <c r="F27" s="39">
        <f>C27*(E27-D27)</f>
        <v>-35.099999999999909</v>
      </c>
      <c r="G27" s="39">
        <f>D27*C27</f>
        <v>5203.0999999999995</v>
      </c>
      <c r="H27" s="179">
        <f>(E27-D27)/D27</f>
        <v>-6.7459783590551612E-3</v>
      </c>
      <c r="I27" s="39"/>
      <c r="J27" s="39">
        <v>-35.1</v>
      </c>
      <c r="K27" s="39"/>
      <c r="L27" s="39"/>
      <c r="O27" s="81">
        <v>1</v>
      </c>
      <c r="P27" s="81">
        <f t="shared" si="0"/>
        <v>29.5899</v>
      </c>
    </row>
    <row r="28" spans="1:16" x14ac:dyDescent="0.25">
      <c r="A28" s="881"/>
      <c r="B28" s="164">
        <v>43454</v>
      </c>
      <c r="C28" s="10">
        <v>300</v>
      </c>
      <c r="D28" s="39">
        <v>24.983699999999999</v>
      </c>
      <c r="E28" s="39">
        <v>22.92</v>
      </c>
      <c r="F28" s="39">
        <f>C28*(E28-D28)</f>
        <v>-619.10999999999922</v>
      </c>
      <c r="G28" s="39">
        <f>D28*C28</f>
        <v>7495.11</v>
      </c>
      <c r="H28" s="179">
        <f>(E28-D28)/D28</f>
        <v>-8.2601856410379454E-2</v>
      </c>
      <c r="I28" s="39"/>
      <c r="J28" s="39"/>
      <c r="K28" s="39"/>
      <c r="L28" s="39"/>
      <c r="O28" s="81">
        <v>0.99</v>
      </c>
      <c r="P28" s="81">
        <f t="shared" si="0"/>
        <v>29.294001000000002</v>
      </c>
    </row>
    <row r="29" spans="1:16" x14ac:dyDescent="0.25">
      <c r="A29" s="881"/>
      <c r="B29" s="164">
        <v>43457</v>
      </c>
      <c r="C29" s="7">
        <v>200</v>
      </c>
      <c r="D29" s="43">
        <v>26.140699999999999</v>
      </c>
      <c r="E29" s="39">
        <v>21.91</v>
      </c>
      <c r="F29" s="39">
        <f t="shared" ref="F29:F32" si="1">C29*(E29-D29)</f>
        <v>-846.13999999999976</v>
      </c>
      <c r="G29" s="39">
        <f t="shared" ref="G29:G32" si="2">D29*C29</f>
        <v>5228.1399999999994</v>
      </c>
      <c r="H29" s="179">
        <f t="shared" ref="H29:H32" si="3">(E29-D29)/D29</f>
        <v>-0.16184340893702154</v>
      </c>
      <c r="I29" s="39"/>
      <c r="J29" s="39"/>
      <c r="K29" s="39"/>
      <c r="L29" s="39"/>
      <c r="O29" s="81">
        <v>0.98</v>
      </c>
      <c r="P29" s="81">
        <f t="shared" si="0"/>
        <v>28.998101999999999</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28.702203000000001</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28.406303999999999</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28.110405</v>
      </c>
    </row>
    <row r="33" spans="1:17" x14ac:dyDescent="0.25">
      <c r="A33" s="881"/>
      <c r="B33" s="164"/>
      <c r="C33" s="10"/>
      <c r="D33" s="39"/>
      <c r="E33" s="39"/>
      <c r="F33" s="39"/>
      <c r="G33" s="39"/>
      <c r="H33" s="179"/>
      <c r="I33" s="39"/>
      <c r="J33" s="39"/>
      <c r="K33" s="39"/>
      <c r="L33" s="39"/>
      <c r="O33" s="81">
        <v>0.94</v>
      </c>
      <c r="P33" s="81">
        <f t="shared" si="0"/>
        <v>27.814505999999998</v>
      </c>
    </row>
    <row r="34" spans="1:17" x14ac:dyDescent="0.25">
      <c r="A34" s="881"/>
      <c r="B34" s="164"/>
      <c r="C34" s="10"/>
      <c r="D34" s="39"/>
      <c r="E34" s="39"/>
      <c r="F34" s="39"/>
      <c r="G34" s="39"/>
      <c r="H34" s="179"/>
      <c r="I34" s="39"/>
      <c r="J34" s="39"/>
      <c r="K34" s="39"/>
      <c r="L34" s="39"/>
      <c r="O34" s="81">
        <v>0.93</v>
      </c>
      <c r="P34" s="81">
        <f t="shared" si="0"/>
        <v>27.518607000000003</v>
      </c>
    </row>
    <row r="35" spans="1:17" x14ac:dyDescent="0.25">
      <c r="A35" s="881"/>
      <c r="B35" s="164"/>
      <c r="C35" s="10"/>
      <c r="D35" s="39"/>
      <c r="E35" s="39"/>
      <c r="F35" s="39"/>
      <c r="G35" s="39"/>
      <c r="H35" s="179"/>
      <c r="I35" s="39"/>
      <c r="J35" s="39"/>
      <c r="K35" s="39"/>
      <c r="L35" s="39"/>
      <c r="O35" s="81">
        <v>0.92</v>
      </c>
      <c r="P35" s="81">
        <f t="shared" si="0"/>
        <v>27.222708000000001</v>
      </c>
    </row>
    <row r="36" spans="1:17" x14ac:dyDescent="0.25">
      <c r="A36" s="881"/>
      <c r="B36" s="164"/>
      <c r="C36" s="10"/>
      <c r="D36" s="39"/>
      <c r="E36" s="39"/>
      <c r="F36" s="39"/>
      <c r="G36" s="39"/>
      <c r="H36" s="179"/>
      <c r="I36" s="39"/>
      <c r="J36" s="39"/>
      <c r="K36" s="39"/>
      <c r="L36" s="39"/>
      <c r="O36" s="81">
        <v>0.91</v>
      </c>
      <c r="P36" s="81">
        <f t="shared" si="0"/>
        <v>26.926809000000002</v>
      </c>
    </row>
    <row r="37" spans="1:17" x14ac:dyDescent="0.25">
      <c r="A37" s="881"/>
      <c r="B37" s="164"/>
      <c r="C37" s="10"/>
      <c r="D37" s="39"/>
      <c r="E37" s="39"/>
      <c r="F37" s="39"/>
      <c r="G37" s="39"/>
      <c r="H37" s="179"/>
      <c r="I37" s="39"/>
      <c r="J37" s="39"/>
      <c r="K37" s="39"/>
      <c r="L37" s="39"/>
      <c r="O37" s="81">
        <v>0.9</v>
      </c>
      <c r="P37" s="81">
        <f t="shared" si="0"/>
        <v>26.63091</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81" priority="47">
      <formula>F54&gt;0</formula>
    </cfRule>
    <cfRule type="expression" dxfId="2780" priority="48">
      <formula>F54&lt;0</formula>
    </cfRule>
  </conditionalFormatting>
  <conditionalFormatting sqref="Q7">
    <cfRule type="expression" dxfId="2779" priority="45">
      <formula>Q7&gt;0</formula>
    </cfRule>
    <cfRule type="expression" dxfId="2778" priority="46">
      <formula>Q7&lt;0</formula>
    </cfRule>
  </conditionalFormatting>
  <conditionalFormatting sqref="Q8">
    <cfRule type="expression" dxfId="2777" priority="43">
      <formula>Q8&gt;0</formula>
    </cfRule>
    <cfRule type="expression" dxfId="2776" priority="44">
      <formula>Q8&lt;0</formula>
    </cfRule>
  </conditionalFormatting>
  <conditionalFormatting sqref="F33:F36 F38:F53">
    <cfRule type="expression" dxfId="2775" priority="41">
      <formula>F33&gt;0</formula>
    </cfRule>
    <cfRule type="expression" dxfId="2774" priority="42">
      <formula>F33&lt;0</formula>
    </cfRule>
  </conditionalFormatting>
  <conditionalFormatting sqref="H33:H36 H38:H53">
    <cfRule type="expression" dxfId="2773" priority="39">
      <formula>H33&gt;0</formula>
    </cfRule>
    <cfRule type="expression" dxfId="2772" priority="40">
      <formula>H33&lt;0</formula>
    </cfRule>
  </conditionalFormatting>
  <conditionalFormatting sqref="Q10">
    <cfRule type="expression" dxfId="2771" priority="37">
      <formula>Q10&gt;0</formula>
    </cfRule>
    <cfRule type="expression" dxfId="2770" priority="38">
      <formula>Q10&lt;0</formula>
    </cfRule>
  </conditionalFormatting>
  <conditionalFormatting sqref="J25:J37">
    <cfRule type="expression" dxfId="2769" priority="35">
      <formula>J25&gt;0</formula>
    </cfRule>
    <cfRule type="expression" dxfId="2768" priority="36">
      <formula>J25&lt;0</formula>
    </cfRule>
  </conditionalFormatting>
  <conditionalFormatting sqref="K25:K38">
    <cfRule type="expression" dxfId="2767" priority="33">
      <formula>K25&gt;0</formula>
    </cfRule>
    <cfRule type="expression" dxfId="2766" priority="34">
      <formula>K25&lt;0</formula>
    </cfRule>
  </conditionalFormatting>
  <conditionalFormatting sqref="L25">
    <cfRule type="expression" dxfId="2765" priority="31">
      <formula>L25&gt;0</formula>
    </cfRule>
    <cfRule type="expression" dxfId="2764" priority="32">
      <formula>L25&lt;0</formula>
    </cfRule>
  </conditionalFormatting>
  <conditionalFormatting sqref="F89:F110">
    <cfRule type="expression" dxfId="2763" priority="29">
      <formula>F89&gt;0</formula>
    </cfRule>
    <cfRule type="expression" dxfId="2762" priority="30">
      <formula>F89&lt;0</formula>
    </cfRule>
  </conditionalFormatting>
  <conditionalFormatting sqref="H89:H110">
    <cfRule type="expression" dxfId="2761" priority="27">
      <formula>H89&gt;0</formula>
    </cfRule>
    <cfRule type="expression" dxfId="2760" priority="28">
      <formula>H89&lt;0</formula>
    </cfRule>
  </conditionalFormatting>
  <conditionalFormatting sqref="J89:J102">
    <cfRule type="expression" dxfId="2759" priority="25">
      <formula>J89&gt;0</formula>
    </cfRule>
    <cfRule type="expression" dxfId="2758" priority="26">
      <formula>J89&lt;0</formula>
    </cfRule>
  </conditionalFormatting>
  <conditionalFormatting sqref="K89:K102">
    <cfRule type="expression" dxfId="2757" priority="23">
      <formula>K89&gt;0</formula>
    </cfRule>
    <cfRule type="expression" dxfId="2756" priority="24">
      <formula>K89&lt;0</formula>
    </cfRule>
  </conditionalFormatting>
  <conditionalFormatting sqref="L89:L102">
    <cfRule type="expression" dxfId="2755" priority="21">
      <formula>L89&gt;0</formula>
    </cfRule>
    <cfRule type="expression" dxfId="2754" priority="22">
      <formula>L89&lt;0</formula>
    </cfRule>
  </conditionalFormatting>
  <conditionalFormatting sqref="F31:F32">
    <cfRule type="expression" dxfId="2753" priority="19">
      <formula>F31&gt;0</formula>
    </cfRule>
    <cfRule type="expression" dxfId="2752" priority="20">
      <formula>F31&lt;0</formula>
    </cfRule>
  </conditionalFormatting>
  <conditionalFormatting sqref="H31:H32">
    <cfRule type="expression" dxfId="2751" priority="17">
      <formula>H31&gt;0</formula>
    </cfRule>
    <cfRule type="expression" dxfId="2750" priority="18">
      <formula>H31&lt;0</formula>
    </cfRule>
  </conditionalFormatting>
  <conditionalFormatting sqref="F25:F26">
    <cfRule type="expression" dxfId="2749" priority="15">
      <formula>F25&gt;0</formula>
    </cfRule>
    <cfRule type="expression" dxfId="2748" priority="16">
      <formula>F25&lt;0</formula>
    </cfRule>
  </conditionalFormatting>
  <conditionalFormatting sqref="H25:H26">
    <cfRule type="expression" dxfId="2747" priority="13">
      <formula>H25&gt;0</formula>
    </cfRule>
    <cfRule type="expression" dxfId="2746" priority="14">
      <formula>H25&lt;0</formula>
    </cfRule>
  </conditionalFormatting>
  <conditionalFormatting sqref="F37">
    <cfRule type="expression" dxfId="2745" priority="11">
      <formula>F37&gt;0</formula>
    </cfRule>
    <cfRule type="expression" dxfId="2744" priority="12">
      <formula>F37&lt;0</formula>
    </cfRule>
  </conditionalFormatting>
  <conditionalFormatting sqref="H37">
    <cfRule type="expression" dxfId="2743" priority="9">
      <formula>H37&gt;0</formula>
    </cfRule>
    <cfRule type="expression" dxfId="2742" priority="10">
      <formula>H37&lt;0</formula>
    </cfRule>
  </conditionalFormatting>
  <conditionalFormatting sqref="J49">
    <cfRule type="expression" dxfId="2741" priority="7">
      <formula>J49&gt;0</formula>
    </cfRule>
    <cfRule type="expression" dxfId="2740" priority="8">
      <formula>J49&lt;0</formula>
    </cfRule>
  </conditionalFormatting>
  <conditionalFormatting sqref="J38:J48">
    <cfRule type="expression" dxfId="2739" priority="5">
      <formula>J38&gt;0</formula>
    </cfRule>
    <cfRule type="expression" dxfId="2738" priority="6">
      <formula>J38&lt;0</formula>
    </cfRule>
  </conditionalFormatting>
  <conditionalFormatting sqref="F27:F30">
    <cfRule type="expression" dxfId="2737" priority="3">
      <formula>F27&gt;0</formula>
    </cfRule>
    <cfRule type="expression" dxfId="2736" priority="4">
      <formula>F27&lt;0</formula>
    </cfRule>
  </conditionalFormatting>
  <conditionalFormatting sqref="H27:H30">
    <cfRule type="expression" dxfId="2735" priority="1">
      <formula>H27&gt;0</formula>
    </cfRule>
    <cfRule type="expression" dxfId="2734"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3" priority="35">
      <formula>F47&gt;0</formula>
    </cfRule>
    <cfRule type="expression" dxfId="2732" priority="36">
      <formula>F47&lt;0</formula>
    </cfRule>
  </conditionalFormatting>
  <conditionalFormatting sqref="Q7">
    <cfRule type="expression" dxfId="2731" priority="33">
      <formula>Q7&gt;0</formula>
    </cfRule>
    <cfRule type="expression" dxfId="2730" priority="34">
      <formula>Q7&lt;0</formula>
    </cfRule>
  </conditionalFormatting>
  <conditionalFormatting sqref="Q8">
    <cfRule type="expression" dxfId="2729" priority="31">
      <formula>Q8&gt;0</formula>
    </cfRule>
    <cfRule type="expression" dxfId="2728" priority="32">
      <formula>Q8&lt;0</formula>
    </cfRule>
  </conditionalFormatting>
  <conditionalFormatting sqref="F30:F46">
    <cfRule type="expression" dxfId="2727" priority="29">
      <formula>F30&gt;0</formula>
    </cfRule>
    <cfRule type="expression" dxfId="2726" priority="30">
      <formula>F30&lt;0</formula>
    </cfRule>
  </conditionalFormatting>
  <conditionalFormatting sqref="H30:H46">
    <cfRule type="expression" dxfId="2725" priority="27">
      <formula>H30&gt;0</formula>
    </cfRule>
    <cfRule type="expression" dxfId="2724" priority="28">
      <formula>H30&lt;0</formula>
    </cfRule>
  </conditionalFormatting>
  <conditionalFormatting sqref="Q10">
    <cfRule type="expression" dxfId="2723" priority="25">
      <formula>Q10&gt;0</formula>
    </cfRule>
    <cfRule type="expression" dxfId="2722" priority="26">
      <formula>Q10&lt;0</formula>
    </cfRule>
  </conditionalFormatting>
  <conditionalFormatting sqref="J25:J38">
    <cfRule type="expression" dxfId="2721" priority="23">
      <formula>J25&gt;0</formula>
    </cfRule>
    <cfRule type="expression" dxfId="2720" priority="24">
      <formula>J25&lt;0</formula>
    </cfRule>
  </conditionalFormatting>
  <conditionalFormatting sqref="K25:K38">
    <cfRule type="expression" dxfId="2719" priority="21">
      <formula>K25&gt;0</formula>
    </cfRule>
    <cfRule type="expression" dxfId="2718" priority="22">
      <formula>K25&lt;0</formula>
    </cfRule>
  </conditionalFormatting>
  <conditionalFormatting sqref="L25 L38">
    <cfRule type="expression" dxfId="2717" priority="19">
      <formula>L25&gt;0</formula>
    </cfRule>
    <cfRule type="expression" dxfId="2716" priority="20">
      <formula>L25&lt;0</formula>
    </cfRule>
  </conditionalFormatting>
  <conditionalFormatting sqref="F89:F110">
    <cfRule type="expression" dxfId="2715" priority="17">
      <formula>F89&gt;0</formula>
    </cfRule>
    <cfRule type="expression" dxfId="2714" priority="18">
      <formula>F89&lt;0</formula>
    </cfRule>
  </conditionalFormatting>
  <conditionalFormatting sqref="H89:H110">
    <cfRule type="expression" dxfId="2713" priority="15">
      <formula>H89&gt;0</formula>
    </cfRule>
    <cfRule type="expression" dxfId="2712" priority="16">
      <formula>H89&lt;0</formula>
    </cfRule>
  </conditionalFormatting>
  <conditionalFormatting sqref="J89:J102">
    <cfRule type="expression" dxfId="2711" priority="13">
      <formula>J89&gt;0</formula>
    </cfRule>
    <cfRule type="expression" dxfId="2710" priority="14">
      <formula>J89&lt;0</formula>
    </cfRule>
  </conditionalFormatting>
  <conditionalFormatting sqref="K89:K102">
    <cfRule type="expression" dxfId="2709" priority="11">
      <formula>K89&gt;0</formula>
    </cfRule>
    <cfRule type="expression" dxfId="2708" priority="12">
      <formula>K89&lt;0</formula>
    </cfRule>
  </conditionalFormatting>
  <conditionalFormatting sqref="L89:L102">
    <cfRule type="expression" dxfId="2707" priority="9">
      <formula>L89&gt;0</formula>
    </cfRule>
    <cfRule type="expression" dxfId="2706" priority="10">
      <formula>L89&lt;0</formula>
    </cfRule>
  </conditionalFormatting>
  <conditionalFormatting sqref="F29 F25:F26">
    <cfRule type="expression" dxfId="2705" priority="7">
      <formula>F25&gt;0</formula>
    </cfRule>
    <cfRule type="expression" dxfId="2704" priority="8">
      <formula>F25&lt;0</formula>
    </cfRule>
  </conditionalFormatting>
  <conditionalFormatting sqref="H29 H25:H27">
    <cfRule type="expression" dxfId="2703" priority="5">
      <formula>H25&gt;0</formula>
    </cfRule>
    <cfRule type="expression" dxfId="2702" priority="6">
      <formula>H25&lt;0</formula>
    </cfRule>
  </conditionalFormatting>
  <conditionalFormatting sqref="F27:F28">
    <cfRule type="expression" dxfId="2701" priority="3">
      <formula>F27&gt;0</formula>
    </cfRule>
    <cfRule type="expression" dxfId="2700" priority="4">
      <formula>F27&lt;0</formula>
    </cfRule>
  </conditionalFormatting>
  <conditionalFormatting sqref="H28">
    <cfRule type="expression" dxfId="2699" priority="1">
      <formula>H28&gt;0</formula>
    </cfRule>
    <cfRule type="expression" dxfId="2698"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7" priority="35">
      <formula>F47&gt;0</formula>
    </cfRule>
    <cfRule type="expression" dxfId="2696" priority="36">
      <formula>F47&lt;0</formula>
    </cfRule>
  </conditionalFormatting>
  <conditionalFormatting sqref="Q7">
    <cfRule type="expression" dxfId="2695" priority="33">
      <formula>Q7&gt;0</formula>
    </cfRule>
    <cfRule type="expression" dxfId="2694" priority="34">
      <formula>Q7&lt;0</formula>
    </cfRule>
  </conditionalFormatting>
  <conditionalFormatting sqref="Q8">
    <cfRule type="expression" dxfId="2693" priority="31">
      <formula>Q8&gt;0</formula>
    </cfRule>
    <cfRule type="expression" dxfId="2692" priority="32">
      <formula>Q8&lt;0</formula>
    </cfRule>
  </conditionalFormatting>
  <conditionalFormatting sqref="F30:F46">
    <cfRule type="expression" dxfId="2691" priority="29">
      <formula>F30&gt;0</formula>
    </cfRule>
    <cfRule type="expression" dxfId="2690" priority="30">
      <formula>F30&lt;0</formula>
    </cfRule>
  </conditionalFormatting>
  <conditionalFormatting sqref="H30:H46">
    <cfRule type="expression" dxfId="2689" priority="27">
      <formula>H30&gt;0</formula>
    </cfRule>
    <cfRule type="expression" dxfId="2688" priority="28">
      <formula>H30&lt;0</formula>
    </cfRule>
  </conditionalFormatting>
  <conditionalFormatting sqref="Q10">
    <cfRule type="expression" dxfId="2687" priority="25">
      <formula>Q10&gt;0</formula>
    </cfRule>
    <cfRule type="expression" dxfId="2686" priority="26">
      <formula>Q10&lt;0</formula>
    </cfRule>
  </conditionalFormatting>
  <conditionalFormatting sqref="J25:J38">
    <cfRule type="expression" dxfId="2685" priority="23">
      <formula>J25&gt;0</formula>
    </cfRule>
    <cfRule type="expression" dxfId="2684" priority="24">
      <formula>J25&lt;0</formula>
    </cfRule>
  </conditionalFormatting>
  <conditionalFormatting sqref="K25:K38">
    <cfRule type="expression" dxfId="2683" priority="21">
      <formula>K25&gt;0</formula>
    </cfRule>
    <cfRule type="expression" dxfId="2682" priority="22">
      <formula>K25&lt;0</formula>
    </cfRule>
  </conditionalFormatting>
  <conditionalFormatting sqref="L25 L38">
    <cfRule type="expression" dxfId="2681" priority="19">
      <formula>L25&gt;0</formula>
    </cfRule>
    <cfRule type="expression" dxfId="2680" priority="20">
      <formula>L25&lt;0</formula>
    </cfRule>
  </conditionalFormatting>
  <conditionalFormatting sqref="F89:F110">
    <cfRule type="expression" dxfId="2679" priority="17">
      <formula>F89&gt;0</formula>
    </cfRule>
    <cfRule type="expression" dxfId="2678" priority="18">
      <formula>F89&lt;0</formula>
    </cfRule>
  </conditionalFormatting>
  <conditionalFormatting sqref="H89:H110">
    <cfRule type="expression" dxfId="2677" priority="15">
      <formula>H89&gt;0</formula>
    </cfRule>
    <cfRule type="expression" dxfId="2676" priority="16">
      <formula>H89&lt;0</formula>
    </cfRule>
  </conditionalFormatting>
  <conditionalFormatting sqref="J89:J102">
    <cfRule type="expression" dxfId="2675" priority="13">
      <formula>J89&gt;0</formula>
    </cfRule>
    <cfRule type="expression" dxfId="2674" priority="14">
      <formula>J89&lt;0</formula>
    </cfRule>
  </conditionalFormatting>
  <conditionalFormatting sqref="K89:K102">
    <cfRule type="expression" dxfId="2673" priority="11">
      <formula>K89&gt;0</formula>
    </cfRule>
    <cfRule type="expression" dxfId="2672" priority="12">
      <formula>K89&lt;0</formula>
    </cfRule>
  </conditionalFormatting>
  <conditionalFormatting sqref="L89:L102">
    <cfRule type="expression" dxfId="2671" priority="9">
      <formula>L89&gt;0</formula>
    </cfRule>
    <cfRule type="expression" dxfId="2670" priority="10">
      <formula>L89&lt;0</formula>
    </cfRule>
  </conditionalFormatting>
  <conditionalFormatting sqref="F29 F25:F26">
    <cfRule type="expression" dxfId="2669" priority="7">
      <formula>F25&gt;0</formula>
    </cfRule>
    <cfRule type="expression" dxfId="2668" priority="8">
      <formula>F25&lt;0</formula>
    </cfRule>
  </conditionalFormatting>
  <conditionalFormatting sqref="H29 H25:H27">
    <cfRule type="expression" dxfId="2667" priority="5">
      <formula>H25&gt;0</formula>
    </cfRule>
    <cfRule type="expression" dxfId="2666" priority="6">
      <formula>H25&lt;0</formula>
    </cfRule>
  </conditionalFormatting>
  <conditionalFormatting sqref="F27:F28">
    <cfRule type="expression" dxfId="2665" priority="3">
      <formula>F27&gt;0</formula>
    </cfRule>
    <cfRule type="expression" dxfId="2664" priority="4">
      <formula>F27&lt;0</formula>
    </cfRule>
  </conditionalFormatting>
  <conditionalFormatting sqref="H28">
    <cfRule type="expression" dxfId="2663" priority="1">
      <formula>H28&gt;0</formula>
    </cfRule>
    <cfRule type="expression" dxfId="266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16.52</v>
      </c>
      <c r="R4" s="424">
        <v>-8.9999999999999993E-3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29736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37530.051000001491</v>
      </c>
      <c r="R7">
        <v>1200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22914.479999999865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3.3591457622347236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1.2106537530266345E-2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26.222222222222221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20.154399999999999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19.9892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19.823999999999998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19.658799999999999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19.493599999999997</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19.328399999999998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19.1632</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18.997999999999998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18.832799999999999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18.667599999999997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18.502400000000002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18.337200000000003</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18.172000000000001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18.006800000000002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17.8416</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17.676400000000001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17.511199999999999</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17.346</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17.180800000000001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17.015599999999999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16.8504</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16.685199999999998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16.52</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16.354800000000001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16.189599999999999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16.0244</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15.8592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15.693999999999999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15.528799999999999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15.3636</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15.198399999999999</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15.033200000000001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14.868</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14.7028</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14.537599999999999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14.372399999999999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14.2072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14.042</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659">
        <v>43496</v>
      </c>
      <c r="C118" s="7">
        <v>200</v>
      </c>
      <c r="D118" s="77">
        <v>15.8</v>
      </c>
      <c r="E118" s="43">
        <v>0</v>
      </c>
      <c r="F118" s="43">
        <f t="shared" si="6"/>
        <v>3160</v>
      </c>
      <c r="G118" s="29"/>
    </row>
    <row r="119" spans="1:13" x14ac:dyDescent="0.25">
      <c r="B119" s="659">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37" si="59">C334*(E334-D334)</f>
        <v>20990.000000000004</v>
      </c>
      <c r="G334" s="39">
        <f t="shared" ref="G334:G337" si="60">D334*C334</f>
        <v>11110</v>
      </c>
      <c r="H334" s="179">
        <f t="shared" ref="H334:H337"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ref="F338:F341" si="62">C338*(E338-D338)</f>
        <v>13497.900000000001</v>
      </c>
      <c r="G338" s="39">
        <f t="shared" ref="G338:G341" si="63">D338*C338</f>
        <v>19418.099999999999</v>
      </c>
      <c r="H338" s="179">
        <f t="shared" ref="H338:H341" si="64">(E338-D338)/D338</f>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62"/>
        <v>17226</v>
      </c>
      <c r="G339" s="39">
        <f t="shared" si="63"/>
        <v>16782</v>
      </c>
      <c r="H339" s="179">
        <f t="shared" si="64"/>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62"/>
        <v>18557.8</v>
      </c>
      <c r="G340" s="39">
        <f t="shared" si="63"/>
        <v>10882.199999999999</v>
      </c>
      <c r="H340" s="179">
        <f t="shared" si="64"/>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62"/>
        <v>18425.759999999998</v>
      </c>
      <c r="G341" s="39">
        <f t="shared" si="63"/>
        <v>16662.239999999998</v>
      </c>
      <c r="H341" s="179">
        <f t="shared" si="64"/>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ref="F342:F345" si="65">C342*(E342-D342)</f>
        <v>18529.8</v>
      </c>
      <c r="G342" s="39">
        <f t="shared" ref="G342:G345" si="66">D342*C342</f>
        <v>10710.2</v>
      </c>
      <c r="H342" s="179">
        <f t="shared" ref="H342:H345" si="67">(E342-D342)/D342</f>
        <v>1.7301077477544768</v>
      </c>
      <c r="I342" s="39"/>
      <c r="J342" s="39"/>
      <c r="K342" s="39">
        <f t="shared" ref="K342:K349" si="68">F342+$Q$10</f>
        <v>33145.371000001629</v>
      </c>
      <c r="L342" s="39">
        <v>47.06</v>
      </c>
    </row>
    <row r="343" spans="1:12" x14ac:dyDescent="0.25">
      <c r="A343">
        <v>1000</v>
      </c>
      <c r="B343" s="150">
        <v>43470</v>
      </c>
      <c r="C343" s="10">
        <v>2000</v>
      </c>
      <c r="D343" s="190">
        <v>5.3550000000000004</v>
      </c>
      <c r="E343" s="39">
        <v>15.41</v>
      </c>
      <c r="F343" s="39">
        <f t="shared" si="65"/>
        <v>20110</v>
      </c>
      <c r="G343" s="39">
        <f t="shared" si="66"/>
        <v>10710</v>
      </c>
      <c r="H343" s="179">
        <f t="shared" si="67"/>
        <v>1.8776844070961716</v>
      </c>
      <c r="I343" s="39"/>
      <c r="J343" s="39"/>
      <c r="K343" s="39">
        <f t="shared" si="68"/>
        <v>34725.571000001626</v>
      </c>
      <c r="L343" s="39"/>
    </row>
    <row r="344" spans="1:12" x14ac:dyDescent="0.25">
      <c r="A344">
        <v>800</v>
      </c>
      <c r="B344" s="150">
        <v>43475</v>
      </c>
      <c r="C344" s="10">
        <v>1800</v>
      </c>
      <c r="D344" s="190">
        <v>4.1368</v>
      </c>
      <c r="E344" s="39">
        <v>16.350000000000001</v>
      </c>
      <c r="F344" s="39">
        <f t="shared" si="65"/>
        <v>21983.760000000002</v>
      </c>
      <c r="G344" s="39">
        <f t="shared" si="66"/>
        <v>7446.24</v>
      </c>
      <c r="H344" s="179">
        <f t="shared" si="67"/>
        <v>2.9523303036163218</v>
      </c>
      <c r="I344" s="39"/>
      <c r="J344" s="39"/>
      <c r="K344" s="39">
        <f t="shared" si="68"/>
        <v>36599.331000001628</v>
      </c>
      <c r="L344" s="39">
        <v>52.2</v>
      </c>
    </row>
    <row r="345" spans="1:12" x14ac:dyDescent="0.25">
      <c r="A345">
        <v>1000</v>
      </c>
      <c r="B345" s="150">
        <v>43479</v>
      </c>
      <c r="C345" s="357">
        <v>2000</v>
      </c>
      <c r="D345" s="764">
        <v>5.3029999999999999</v>
      </c>
      <c r="E345" s="39">
        <v>15.83</v>
      </c>
      <c r="F345" s="39">
        <f t="shared" si="65"/>
        <v>21054.000000000004</v>
      </c>
      <c r="G345" s="39">
        <f t="shared" si="66"/>
        <v>10606</v>
      </c>
      <c r="H345" s="179">
        <f t="shared" si="67"/>
        <v>1.9851027720158403</v>
      </c>
      <c r="I345" s="39"/>
      <c r="J345" s="39"/>
      <c r="K345" s="39">
        <f t="shared" si="68"/>
        <v>35669.571000001626</v>
      </c>
      <c r="L345" s="39">
        <v>51.11</v>
      </c>
    </row>
    <row r="346" spans="1:12" x14ac:dyDescent="0.25">
      <c r="A346">
        <v>1000</v>
      </c>
      <c r="B346" s="150">
        <v>43483</v>
      </c>
      <c r="C346" s="10">
        <v>1800</v>
      </c>
      <c r="D346" s="190">
        <v>4.1135000000000002</v>
      </c>
      <c r="E346" s="39">
        <v>16.010000000000002</v>
      </c>
      <c r="F346" s="39">
        <f t="shared" ref="F346:F349" si="69">C346*(E346-D346)</f>
        <v>21413.7</v>
      </c>
      <c r="G346" s="39">
        <f t="shared" ref="G346:G349" si="70">D346*C346</f>
        <v>7404.3</v>
      </c>
      <c r="H346" s="179">
        <f t="shared" ref="H346:H349" si="71">(E346-D346)/D346</f>
        <v>2.8920627203111708</v>
      </c>
      <c r="I346" s="39"/>
      <c r="J346" s="39"/>
      <c r="K346" s="39">
        <f t="shared" si="68"/>
        <v>36029.271000001623</v>
      </c>
      <c r="L346" s="39"/>
    </row>
    <row r="347" spans="1:12" x14ac:dyDescent="0.25">
      <c r="A347">
        <v>1000</v>
      </c>
      <c r="B347" s="150">
        <v>43487</v>
      </c>
      <c r="C347" s="357">
        <v>2000</v>
      </c>
      <c r="D347" s="764">
        <v>5.27</v>
      </c>
      <c r="E347" s="39">
        <v>15.69</v>
      </c>
      <c r="F347" s="39">
        <f t="shared" si="69"/>
        <v>20840</v>
      </c>
      <c r="G347" s="39">
        <f t="shared" si="70"/>
        <v>10540</v>
      </c>
      <c r="H347" s="179">
        <f t="shared" si="71"/>
        <v>1.9772296015180266</v>
      </c>
      <c r="I347" s="39"/>
      <c r="J347" s="39"/>
      <c r="K347" s="39">
        <f t="shared" si="68"/>
        <v>35455.571000001626</v>
      </c>
      <c r="L347" s="39">
        <v>53.01</v>
      </c>
    </row>
    <row r="348" spans="1:12" x14ac:dyDescent="0.25">
      <c r="A348">
        <v>1000</v>
      </c>
      <c r="B348" s="150">
        <v>43490</v>
      </c>
      <c r="C348" s="10">
        <v>1800</v>
      </c>
      <c r="D348" s="190">
        <v>4.0690999999999997</v>
      </c>
      <c r="E348" s="39">
        <v>15.9</v>
      </c>
      <c r="F348" s="39">
        <f t="shared" si="69"/>
        <v>21295.62</v>
      </c>
      <c r="G348" s="39">
        <f t="shared" si="70"/>
        <v>7324.3799999999992</v>
      </c>
      <c r="H348" s="179">
        <f t="shared" si="71"/>
        <v>2.907497972524637</v>
      </c>
      <c r="I348" s="39"/>
      <c r="J348" s="39"/>
      <c r="K348" s="39">
        <f t="shared" si="68"/>
        <v>35911.191000001621</v>
      </c>
      <c r="L348" s="39">
        <v>53.55</v>
      </c>
    </row>
    <row r="349" spans="1:12" x14ac:dyDescent="0.25">
      <c r="A349">
        <v>1000</v>
      </c>
      <c r="B349" s="150">
        <v>43496</v>
      </c>
      <c r="C349" s="357">
        <v>2000</v>
      </c>
      <c r="D349" s="764">
        <v>5.242</v>
      </c>
      <c r="E349" s="39">
        <v>15.8</v>
      </c>
      <c r="F349" s="39">
        <f t="shared" si="69"/>
        <v>21116</v>
      </c>
      <c r="G349" s="39">
        <f t="shared" si="70"/>
        <v>10484</v>
      </c>
      <c r="H349" s="179">
        <f t="shared" si="71"/>
        <v>2.0141167493323158</v>
      </c>
      <c r="I349" s="39"/>
      <c r="J349" s="39"/>
      <c r="K349" s="39">
        <f t="shared" si="68"/>
        <v>35731.571000001626</v>
      </c>
      <c r="L349" s="39"/>
    </row>
    <row r="350" spans="1:12" x14ac:dyDescent="0.25">
      <c r="A350">
        <v>1400</v>
      </c>
      <c r="B350" s="150">
        <v>43498</v>
      </c>
      <c r="C350" s="10">
        <v>2200</v>
      </c>
      <c r="D350" s="190">
        <v>6.2388000000000003</v>
      </c>
      <c r="E350" s="39">
        <v>16</v>
      </c>
      <c r="F350" s="39">
        <f t="shared" ref="F350:F353" si="72">C350*(E350-D350)</f>
        <v>21474.639999999996</v>
      </c>
      <c r="G350" s="39">
        <f t="shared" ref="G350:G353" si="73">D350*C350</f>
        <v>13725.36</v>
      </c>
      <c r="H350" s="179">
        <f t="shared" ref="H350:H353" si="74">(E350-D350)/D350</f>
        <v>1.5645957555940242</v>
      </c>
      <c r="I350" s="39"/>
      <c r="J350" s="39"/>
      <c r="K350" s="39">
        <f t="shared" ref="K350:K353" si="75">F350+$Q$10</f>
        <v>36090.211000001626</v>
      </c>
      <c r="L350" s="39">
        <v>55.26</v>
      </c>
    </row>
    <row r="351" spans="1:12" x14ac:dyDescent="0.25">
      <c r="A351">
        <v>1400</v>
      </c>
      <c r="B351" s="150">
        <v>43503</v>
      </c>
      <c r="C351" s="10">
        <v>2400</v>
      </c>
      <c r="D351" s="190">
        <v>6.9870000000000001</v>
      </c>
      <c r="E351" s="39">
        <v>15.27</v>
      </c>
      <c r="F351" s="39">
        <f t="shared" si="72"/>
        <v>19879.199999999997</v>
      </c>
      <c r="G351" s="39">
        <f t="shared" si="73"/>
        <v>16768.8</v>
      </c>
      <c r="H351" s="179">
        <f t="shared" si="74"/>
        <v>1.185487333619579</v>
      </c>
      <c r="I351" s="39" t="s">
        <v>1249</v>
      </c>
      <c r="J351" s="39"/>
      <c r="K351" s="39">
        <f t="shared" si="75"/>
        <v>34494.771000001623</v>
      </c>
      <c r="L351" s="39">
        <v>52.48</v>
      </c>
    </row>
    <row r="352" spans="1:12" x14ac:dyDescent="0.25">
      <c r="A352">
        <v>1000</v>
      </c>
      <c r="B352" s="150">
        <v>43510</v>
      </c>
      <c r="C352" s="357">
        <v>2000</v>
      </c>
      <c r="D352" s="764">
        <v>5.109</v>
      </c>
      <c r="E352" s="39">
        <v>16.91</v>
      </c>
      <c r="F352" s="39">
        <f t="shared" si="72"/>
        <v>23602</v>
      </c>
      <c r="G352" s="39">
        <f t="shared" si="73"/>
        <v>10218</v>
      </c>
      <c r="H352" s="179">
        <f t="shared" si="74"/>
        <v>2.3098453709140734</v>
      </c>
      <c r="I352" s="39"/>
      <c r="J352" s="39"/>
      <c r="K352" s="39">
        <f t="shared" si="75"/>
        <v>38217.571000001626</v>
      </c>
      <c r="L352" s="39">
        <v>54.6</v>
      </c>
    </row>
    <row r="353" spans="1:14" ht="15" customHeight="1" x14ac:dyDescent="0.25">
      <c r="A353">
        <v>1000</v>
      </c>
      <c r="B353" s="150">
        <v>43510</v>
      </c>
      <c r="C353" s="10">
        <v>1800</v>
      </c>
      <c r="D353" s="190">
        <v>3.79</v>
      </c>
      <c r="E353" s="39">
        <v>16.91</v>
      </c>
      <c r="F353" s="39">
        <f t="shared" si="72"/>
        <v>23616</v>
      </c>
      <c r="G353" s="39">
        <f t="shared" si="73"/>
        <v>6822</v>
      </c>
      <c r="H353" s="179">
        <f t="shared" si="74"/>
        <v>3.4617414248021112</v>
      </c>
      <c r="I353" s="39"/>
      <c r="J353" s="39"/>
      <c r="K353" s="39">
        <f t="shared" si="75"/>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76">IF(C360=0, 0,D360*C360)</f>
        <v>68120</v>
      </c>
      <c r="H360" s="301">
        <f t="shared" ref="H360:H366" si="77">IF(C360=0, D360, (E360-D360)/D360)</f>
        <v>-0.48091603053435117</v>
      </c>
      <c r="I360" s="299"/>
    </row>
    <row r="361" spans="1:14" x14ac:dyDescent="0.25">
      <c r="B361" s="546">
        <v>42307</v>
      </c>
      <c r="C361" s="298">
        <v>0</v>
      </c>
      <c r="D361" s="547" t="s">
        <v>128</v>
      </c>
      <c r="E361" s="299">
        <v>17.55</v>
      </c>
      <c r="F361" s="299">
        <v>-30722.2</v>
      </c>
      <c r="G361" s="299">
        <f t="shared" si="76"/>
        <v>0</v>
      </c>
      <c r="H361" s="301" t="str">
        <f t="shared" si="77"/>
        <v>N/A</v>
      </c>
      <c r="I361" s="299"/>
    </row>
    <row r="362" spans="1:14" x14ac:dyDescent="0.25">
      <c r="B362" s="546">
        <v>42310</v>
      </c>
      <c r="C362" s="298">
        <v>0</v>
      </c>
      <c r="D362" s="547" t="s">
        <v>128</v>
      </c>
      <c r="E362" s="299">
        <v>19.010000000000002</v>
      </c>
      <c r="F362" s="299">
        <v>-30693.25</v>
      </c>
      <c r="G362" s="299">
        <f t="shared" si="76"/>
        <v>0</v>
      </c>
      <c r="H362" s="301" t="str">
        <f t="shared" si="77"/>
        <v>N/A</v>
      </c>
      <c r="I362" s="299"/>
    </row>
    <row r="363" spans="1:14" x14ac:dyDescent="0.25">
      <c r="B363" s="546">
        <v>42314</v>
      </c>
      <c r="C363" s="298">
        <v>2500</v>
      </c>
      <c r="D363" s="547">
        <v>30.24</v>
      </c>
      <c r="E363" s="299">
        <v>18.29</v>
      </c>
      <c r="F363" s="299">
        <v>-29878.25</v>
      </c>
      <c r="G363" s="299">
        <f t="shared" si="76"/>
        <v>75600</v>
      </c>
      <c r="H363" s="301">
        <f t="shared" si="77"/>
        <v>-0.39517195767195767</v>
      </c>
      <c r="I363" s="299"/>
    </row>
    <row r="364" spans="1:14" ht="15" customHeight="1" x14ac:dyDescent="0.25">
      <c r="B364" s="546">
        <v>42318</v>
      </c>
      <c r="C364" s="298">
        <v>0</v>
      </c>
      <c r="D364" s="547" t="s">
        <v>128</v>
      </c>
      <c r="E364" s="299">
        <v>18.78</v>
      </c>
      <c r="F364" s="299">
        <v>-28604.09</v>
      </c>
      <c r="G364" s="299">
        <f t="shared" si="76"/>
        <v>0</v>
      </c>
      <c r="H364" s="301" t="str">
        <f t="shared" si="77"/>
        <v>N/A</v>
      </c>
      <c r="I364" s="299"/>
      <c r="N364" s="70"/>
    </row>
    <row r="365" spans="1:14" x14ac:dyDescent="0.25">
      <c r="B365" s="546">
        <v>42328</v>
      </c>
      <c r="C365" s="298">
        <v>3078</v>
      </c>
      <c r="D365" s="547">
        <v>26.76</v>
      </c>
      <c r="E365" s="299">
        <v>17.440000000000001</v>
      </c>
      <c r="F365" s="299">
        <v>-28696.448999999906</v>
      </c>
      <c r="G365" s="299">
        <f t="shared" si="76"/>
        <v>82367.28</v>
      </c>
      <c r="H365" s="301">
        <f t="shared" si="77"/>
        <v>-0.34828101644245141</v>
      </c>
      <c r="I365" s="299"/>
    </row>
    <row r="366" spans="1:14" x14ac:dyDescent="0.25">
      <c r="B366" s="546">
        <v>42331</v>
      </c>
      <c r="C366" s="298">
        <v>0</v>
      </c>
      <c r="D366" s="547" t="s">
        <v>128</v>
      </c>
      <c r="E366" s="299">
        <v>17.53</v>
      </c>
      <c r="F366" s="299">
        <v>-28051.068999999901</v>
      </c>
      <c r="G366" s="299">
        <f t="shared" si="76"/>
        <v>0</v>
      </c>
      <c r="H366" s="301" t="str">
        <f t="shared" si="77"/>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78">C368*(E368-D368)</f>
        <v>-29017.579999999998</v>
      </c>
      <c r="G368" s="299">
        <f t="shared" ref="G368:G397" si="79">D368*C368</f>
        <v>91417.900000000009</v>
      </c>
      <c r="H368" s="300">
        <f t="shared" ref="H368:H397" si="80">(E368-D368)/D368</f>
        <v>-0.31741682974559682</v>
      </c>
      <c r="I368" s="299"/>
    </row>
    <row r="369" spans="2:14" x14ac:dyDescent="0.25">
      <c r="B369" s="546">
        <v>42340</v>
      </c>
      <c r="C369" s="298">
        <v>4178</v>
      </c>
      <c r="D369" s="547">
        <v>24.29</v>
      </c>
      <c r="E369" s="299">
        <v>16.670000000000002</v>
      </c>
      <c r="F369" s="299">
        <f t="shared" si="78"/>
        <v>-31836.35999999999</v>
      </c>
      <c r="G369" s="299">
        <f t="shared" si="79"/>
        <v>101483.62</v>
      </c>
      <c r="H369" s="300">
        <f t="shared" si="80"/>
        <v>-0.31370934540963352</v>
      </c>
      <c r="I369" s="299"/>
    </row>
    <row r="370" spans="2:14" x14ac:dyDescent="0.25">
      <c r="B370" s="546">
        <v>42342</v>
      </c>
      <c r="C370" s="298">
        <v>4678</v>
      </c>
      <c r="D370" s="547">
        <v>23.39</v>
      </c>
      <c r="E370" s="299">
        <v>16.12</v>
      </c>
      <c r="F370" s="299">
        <f t="shared" si="78"/>
        <v>-34009.06</v>
      </c>
      <c r="G370" s="299">
        <f t="shared" si="79"/>
        <v>109418.42</v>
      </c>
      <c r="H370" s="300">
        <f t="shared" si="80"/>
        <v>-0.31081658828559211</v>
      </c>
      <c r="I370" s="299"/>
    </row>
    <row r="371" spans="2:14" x14ac:dyDescent="0.25">
      <c r="B371" s="546">
        <v>42342</v>
      </c>
      <c r="C371" s="298">
        <v>4178</v>
      </c>
      <c r="D371" s="547">
        <v>24.26</v>
      </c>
      <c r="E371" s="299">
        <v>16.12</v>
      </c>
      <c r="F371" s="299">
        <f t="shared" si="78"/>
        <v>-34008.920000000006</v>
      </c>
      <c r="G371" s="299">
        <f t="shared" si="79"/>
        <v>101358.28000000001</v>
      </c>
      <c r="H371" s="300">
        <f t="shared" si="80"/>
        <v>-0.33553173948887055</v>
      </c>
      <c r="I371" s="299"/>
    </row>
    <row r="372" spans="2:14" x14ac:dyDescent="0.25">
      <c r="B372" s="546">
        <v>42345</v>
      </c>
      <c r="C372" s="298">
        <v>4678</v>
      </c>
      <c r="D372" s="547">
        <v>23.24</v>
      </c>
      <c r="E372" s="299">
        <v>14.78</v>
      </c>
      <c r="F372" s="299">
        <f t="shared" si="78"/>
        <v>-39575.879999999997</v>
      </c>
      <c r="G372" s="299">
        <f t="shared" si="79"/>
        <v>108716.71999999999</v>
      </c>
      <c r="H372" s="300">
        <f t="shared" si="80"/>
        <v>-0.36402753872633387</v>
      </c>
      <c r="I372" s="299"/>
    </row>
    <row r="373" spans="2:14" x14ac:dyDescent="0.25">
      <c r="B373" s="546">
        <v>42347</v>
      </c>
      <c r="C373" s="298">
        <v>4778</v>
      </c>
      <c r="D373" s="547">
        <v>23.06</v>
      </c>
      <c r="E373" s="299">
        <v>14.92</v>
      </c>
      <c r="F373" s="299">
        <f t="shared" si="78"/>
        <v>-38892.919999999991</v>
      </c>
      <c r="G373" s="299">
        <f t="shared" si="79"/>
        <v>110180.68</v>
      </c>
      <c r="H373" s="300">
        <f t="shared" si="80"/>
        <v>-0.3529921942758022</v>
      </c>
      <c r="I373" s="299"/>
    </row>
    <row r="374" spans="2:14" x14ac:dyDescent="0.25">
      <c r="B374" s="546">
        <v>42348</v>
      </c>
      <c r="C374" s="298">
        <v>4178</v>
      </c>
      <c r="D374" s="547">
        <v>24.23</v>
      </c>
      <c r="E374" s="299">
        <v>14.74</v>
      </c>
      <c r="F374" s="299">
        <f t="shared" si="78"/>
        <v>-39649.22</v>
      </c>
      <c r="G374" s="299">
        <f t="shared" si="79"/>
        <v>101232.94</v>
      </c>
      <c r="H374" s="300">
        <f t="shared" si="80"/>
        <v>-0.39166322740404458</v>
      </c>
      <c r="I374" s="299"/>
    </row>
    <row r="375" spans="2:14" x14ac:dyDescent="0.25">
      <c r="B375" s="546">
        <v>42349</v>
      </c>
      <c r="C375" s="298">
        <v>3678</v>
      </c>
      <c r="D375" s="547">
        <v>25.57</v>
      </c>
      <c r="E375" s="299">
        <v>14.34</v>
      </c>
      <c r="F375" s="299">
        <f t="shared" si="78"/>
        <v>-41303.94</v>
      </c>
      <c r="G375" s="299">
        <f t="shared" si="79"/>
        <v>94046.46</v>
      </c>
      <c r="H375" s="300">
        <f t="shared" si="80"/>
        <v>-0.43918654673445445</v>
      </c>
      <c r="I375" s="299"/>
    </row>
    <row r="376" spans="2:14" x14ac:dyDescent="0.25">
      <c r="B376" s="546">
        <v>42352</v>
      </c>
      <c r="C376" s="298">
        <v>4178</v>
      </c>
      <c r="D376" s="547">
        <v>24.18</v>
      </c>
      <c r="E376" s="299">
        <v>13.96</v>
      </c>
      <c r="F376" s="299">
        <f t="shared" si="78"/>
        <v>-42699.159999999996</v>
      </c>
      <c r="G376" s="299">
        <f t="shared" si="79"/>
        <v>101024.04</v>
      </c>
      <c r="H376" s="300">
        <f t="shared" si="80"/>
        <v>-0.42266335814722905</v>
      </c>
      <c r="I376" s="299"/>
    </row>
    <row r="377" spans="2:14" x14ac:dyDescent="0.25">
      <c r="B377" s="546">
        <v>42355</v>
      </c>
      <c r="C377" s="298">
        <v>4678</v>
      </c>
      <c r="D377" s="547">
        <v>22.98</v>
      </c>
      <c r="E377" s="299">
        <v>12.78</v>
      </c>
      <c r="F377" s="299">
        <f t="shared" si="78"/>
        <v>-47715.600000000006</v>
      </c>
      <c r="G377" s="299">
        <f t="shared" si="79"/>
        <v>107500.44</v>
      </c>
      <c r="H377" s="300">
        <f t="shared" si="80"/>
        <v>-0.44386422976501311</v>
      </c>
      <c r="I377" s="299"/>
    </row>
    <row r="378" spans="2:14" x14ac:dyDescent="0.25">
      <c r="B378" s="546">
        <v>42356</v>
      </c>
      <c r="C378" s="298">
        <v>5178</v>
      </c>
      <c r="D378" s="547">
        <v>21.99</v>
      </c>
      <c r="E378" s="299">
        <v>12.95</v>
      </c>
      <c r="F378" s="299">
        <f t="shared" si="78"/>
        <v>-46809.119999999995</v>
      </c>
      <c r="G378" s="299">
        <f t="shared" si="79"/>
        <v>113864.21999999999</v>
      </c>
      <c r="H378" s="300">
        <f t="shared" si="80"/>
        <v>-0.41109595270577537</v>
      </c>
      <c r="I378" s="299"/>
    </row>
    <row r="379" spans="2:14" x14ac:dyDescent="0.25">
      <c r="B379" s="546">
        <v>42356</v>
      </c>
      <c r="C379" s="298">
        <v>6178</v>
      </c>
      <c r="D379" s="547">
        <v>20.48</v>
      </c>
      <c r="E379" s="299">
        <v>12.76</v>
      </c>
      <c r="F379" s="299">
        <f t="shared" si="78"/>
        <v>-47694.16</v>
      </c>
      <c r="G379" s="299">
        <f t="shared" si="79"/>
        <v>126525.44</v>
      </c>
      <c r="H379" s="300">
        <f t="shared" si="80"/>
        <v>-0.376953125</v>
      </c>
      <c r="I379" s="299"/>
    </row>
    <row r="380" spans="2:14" x14ac:dyDescent="0.25">
      <c r="B380" s="546">
        <v>42356</v>
      </c>
      <c r="C380" s="298">
        <v>6400</v>
      </c>
      <c r="D380" s="547">
        <v>20.2</v>
      </c>
      <c r="E380" s="299">
        <v>12.68</v>
      </c>
      <c r="F380" s="299">
        <f t="shared" si="78"/>
        <v>-48128</v>
      </c>
      <c r="G380" s="299">
        <f t="shared" si="79"/>
        <v>129280</v>
      </c>
      <c r="H380" s="300">
        <f t="shared" si="80"/>
        <v>-0.37227722772277227</v>
      </c>
      <c r="I380" s="299"/>
    </row>
    <row r="381" spans="2:14" x14ac:dyDescent="0.25">
      <c r="B381" s="546">
        <v>42359</v>
      </c>
      <c r="C381" s="298">
        <v>5178</v>
      </c>
      <c r="D381" s="547">
        <v>21.96</v>
      </c>
      <c r="E381" s="299">
        <v>12.66</v>
      </c>
      <c r="F381" s="299">
        <f t="shared" si="78"/>
        <v>-48155.4</v>
      </c>
      <c r="G381" s="299">
        <f t="shared" si="79"/>
        <v>113708.88</v>
      </c>
      <c r="H381" s="300">
        <f t="shared" si="80"/>
        <v>-0.42349726775956287</v>
      </c>
      <c r="I381" s="299"/>
    </row>
    <row r="382" spans="2:14" x14ac:dyDescent="0.25">
      <c r="B382" s="546">
        <v>42361</v>
      </c>
      <c r="C382" s="298">
        <v>4178</v>
      </c>
      <c r="D382" s="547">
        <v>24.07</v>
      </c>
      <c r="E382" s="299">
        <v>13.96</v>
      </c>
      <c r="F382" s="299">
        <f t="shared" si="78"/>
        <v>-42239.579999999994</v>
      </c>
      <c r="G382" s="299">
        <f t="shared" si="79"/>
        <v>100564.46</v>
      </c>
      <c r="H382" s="300">
        <f t="shared" si="80"/>
        <v>-0.42002492729538843</v>
      </c>
      <c r="I382" s="299"/>
      <c r="N382" s="70"/>
    </row>
    <row r="383" spans="2:14" x14ac:dyDescent="0.25">
      <c r="B383" s="546">
        <v>42361</v>
      </c>
      <c r="C383" s="298">
        <v>4178</v>
      </c>
      <c r="D383" s="547">
        <v>24.03</v>
      </c>
      <c r="E383" s="299">
        <v>13.96</v>
      </c>
      <c r="F383" s="299">
        <f t="shared" si="78"/>
        <v>-42072.46</v>
      </c>
      <c r="G383" s="299">
        <f t="shared" si="79"/>
        <v>100397.34000000001</v>
      </c>
      <c r="H383" s="300">
        <f t="shared" si="80"/>
        <v>-0.41905950894714938</v>
      </c>
      <c r="I383" s="299"/>
    </row>
    <row r="384" spans="2:14" x14ac:dyDescent="0.25">
      <c r="B384" s="546">
        <v>42366</v>
      </c>
      <c r="C384" s="319">
        <v>6678</v>
      </c>
      <c r="D384" s="548">
        <v>19.91</v>
      </c>
      <c r="E384" s="299">
        <v>13.09</v>
      </c>
      <c r="F384" s="299">
        <f t="shared" si="78"/>
        <v>-45543.96</v>
      </c>
      <c r="G384" s="299">
        <f t="shared" si="79"/>
        <v>132958.98000000001</v>
      </c>
      <c r="H384" s="300">
        <f t="shared" si="80"/>
        <v>-0.34254143646408841</v>
      </c>
      <c r="I384" s="299"/>
    </row>
    <row r="385" spans="2:9" ht="15" customHeight="1" x14ac:dyDescent="0.25">
      <c r="B385" s="546">
        <v>42367</v>
      </c>
      <c r="C385" s="319">
        <v>8678</v>
      </c>
      <c r="D385" s="548">
        <v>18.32</v>
      </c>
      <c r="E385" s="299">
        <v>13.03</v>
      </c>
      <c r="F385" s="299">
        <f t="shared" si="78"/>
        <v>-45906.62000000001</v>
      </c>
      <c r="G385" s="299">
        <f t="shared" si="79"/>
        <v>158980.96</v>
      </c>
      <c r="H385" s="300">
        <f t="shared" si="80"/>
        <v>-0.28875545851528389</v>
      </c>
      <c r="I385" s="299"/>
    </row>
    <row r="386" spans="2:9" x14ac:dyDescent="0.25">
      <c r="B386" s="546">
        <v>42368</v>
      </c>
      <c r="C386" s="298">
        <v>9678</v>
      </c>
      <c r="D386" s="547">
        <v>17.73</v>
      </c>
      <c r="E386" s="299">
        <v>12.38</v>
      </c>
      <c r="F386" s="299">
        <f t="shared" si="78"/>
        <v>-51777.299999999996</v>
      </c>
      <c r="G386" s="299">
        <f t="shared" si="79"/>
        <v>171590.94</v>
      </c>
      <c r="H386" s="301">
        <f t="shared" si="80"/>
        <v>-0.30174844895657077</v>
      </c>
      <c r="I386" s="299"/>
    </row>
    <row r="387" spans="2:9" x14ac:dyDescent="0.25">
      <c r="B387" s="546">
        <v>42369</v>
      </c>
      <c r="C387" s="298">
        <v>8678</v>
      </c>
      <c r="D387" s="547">
        <v>18.312999999999999</v>
      </c>
      <c r="E387" s="299">
        <v>12.59</v>
      </c>
      <c r="F387" s="299">
        <f t="shared" si="78"/>
        <v>-49664.193999999989</v>
      </c>
      <c r="G387" s="299">
        <f t="shared" si="79"/>
        <v>158920.21399999998</v>
      </c>
      <c r="H387" s="301">
        <f t="shared" si="80"/>
        <v>-0.3125102386282968</v>
      </c>
      <c r="I387" s="299"/>
    </row>
    <row r="388" spans="2:9" x14ac:dyDescent="0.25">
      <c r="B388" s="546">
        <v>42374</v>
      </c>
      <c r="C388" s="298">
        <v>7678</v>
      </c>
      <c r="D388" s="547">
        <v>19.010000000000002</v>
      </c>
      <c r="E388" s="299">
        <v>12.76</v>
      </c>
      <c r="F388" s="299">
        <f t="shared" si="78"/>
        <v>-47987.500000000015</v>
      </c>
      <c r="G388" s="299">
        <f t="shared" si="79"/>
        <v>145958.78</v>
      </c>
      <c r="H388" s="301">
        <f t="shared" si="80"/>
        <v>-0.32877432930036832</v>
      </c>
      <c r="I388" s="299"/>
    </row>
    <row r="389" spans="2:9" x14ac:dyDescent="0.25">
      <c r="B389" s="546">
        <v>42375</v>
      </c>
      <c r="C389" s="298">
        <v>8678</v>
      </c>
      <c r="D389" s="547">
        <v>18.257000000000001</v>
      </c>
      <c r="E389" s="299">
        <v>12.76</v>
      </c>
      <c r="F389" s="299">
        <f t="shared" si="78"/>
        <v>-47702.966000000015</v>
      </c>
      <c r="G389" s="299">
        <f t="shared" si="79"/>
        <v>158434.24600000001</v>
      </c>
      <c r="H389" s="301">
        <f t="shared" si="80"/>
        <v>-0.30108999287944355</v>
      </c>
      <c r="I389" s="299"/>
    </row>
    <row r="390" spans="2:9" x14ac:dyDescent="0.25">
      <c r="B390" s="546">
        <v>42375</v>
      </c>
      <c r="C390" s="298">
        <v>9678</v>
      </c>
      <c r="D390" s="547">
        <v>17.579999999999998</v>
      </c>
      <c r="E390" s="299">
        <v>11.28</v>
      </c>
      <c r="F390" s="299">
        <f t="shared" si="78"/>
        <v>-60971.399999999987</v>
      </c>
      <c r="G390" s="299">
        <f t="shared" si="79"/>
        <v>170139.24</v>
      </c>
      <c r="H390" s="301">
        <f t="shared" si="80"/>
        <v>-0.35836177474402725</v>
      </c>
      <c r="I390" s="299"/>
    </row>
    <row r="391" spans="2:9" x14ac:dyDescent="0.25">
      <c r="B391" s="546">
        <v>42398</v>
      </c>
      <c r="C391" s="298">
        <v>9278</v>
      </c>
      <c r="D391" s="547">
        <v>17.93</v>
      </c>
      <c r="E391" s="299">
        <v>9.56</v>
      </c>
      <c r="F391" s="299">
        <f t="shared" si="78"/>
        <v>-77656.859999999986</v>
      </c>
      <c r="G391" s="299">
        <f t="shared" si="79"/>
        <v>166354.54</v>
      </c>
      <c r="H391" s="301">
        <f t="shared" si="80"/>
        <v>-0.46681539319576126</v>
      </c>
      <c r="I391" s="299"/>
    </row>
    <row r="392" spans="2:9" x14ac:dyDescent="0.25">
      <c r="B392" s="546">
        <v>42402</v>
      </c>
      <c r="C392" s="298">
        <v>9678</v>
      </c>
      <c r="D392" s="547">
        <v>17.559999999999999</v>
      </c>
      <c r="E392" s="299">
        <v>8.74</v>
      </c>
      <c r="F392" s="299">
        <f t="shared" si="78"/>
        <v>-85359.959999999992</v>
      </c>
      <c r="G392" s="299">
        <f t="shared" si="79"/>
        <v>169945.68</v>
      </c>
      <c r="H392" s="301">
        <f t="shared" si="80"/>
        <v>-0.50227790432801822</v>
      </c>
      <c r="I392" s="299"/>
    </row>
    <row r="393" spans="2:9" x14ac:dyDescent="0.25">
      <c r="B393" s="546">
        <v>42411</v>
      </c>
      <c r="C393" s="298">
        <v>9678</v>
      </c>
      <c r="D393" s="547">
        <v>17.553999999999998</v>
      </c>
      <c r="E393" s="299">
        <v>7.13</v>
      </c>
      <c r="F393" s="299">
        <f t="shared" si="78"/>
        <v>-100883.47199999999</v>
      </c>
      <c r="G393" s="299">
        <f t="shared" si="79"/>
        <v>169887.61199999999</v>
      </c>
      <c r="H393" s="300">
        <f t="shared" si="80"/>
        <v>-0.59382476928335426</v>
      </c>
      <c r="I393" s="299"/>
    </row>
    <row r="394" spans="2:9" x14ac:dyDescent="0.25">
      <c r="B394" s="546">
        <v>42412</v>
      </c>
      <c r="C394" s="298">
        <v>9678</v>
      </c>
      <c r="D394" s="547">
        <v>17.55</v>
      </c>
      <c r="E394" s="299">
        <v>7.46</v>
      </c>
      <c r="F394" s="299">
        <f t="shared" si="78"/>
        <v>-97651.02</v>
      </c>
      <c r="G394" s="299">
        <f t="shared" si="79"/>
        <v>169848.9</v>
      </c>
      <c r="H394" s="300">
        <f t="shared" si="80"/>
        <v>-0.57492877492877492</v>
      </c>
      <c r="I394" s="299"/>
    </row>
    <row r="395" spans="2:9" x14ac:dyDescent="0.25">
      <c r="B395" s="546">
        <v>42416</v>
      </c>
      <c r="C395" s="298">
        <v>9178</v>
      </c>
      <c r="D395" s="547">
        <v>18.084</v>
      </c>
      <c r="E395" s="299">
        <v>7.49</v>
      </c>
      <c r="F395" s="299">
        <f t="shared" si="78"/>
        <v>-97231.731999999989</v>
      </c>
      <c r="G395" s="299">
        <f t="shared" si="79"/>
        <v>165974.95199999999</v>
      </c>
      <c r="H395" s="300">
        <f t="shared" si="80"/>
        <v>-0.58582172085821715</v>
      </c>
      <c r="I395" s="299"/>
    </row>
    <row r="396" spans="2:9" x14ac:dyDescent="0.25">
      <c r="B396" s="546">
        <v>42416</v>
      </c>
      <c r="C396" s="298">
        <v>9678</v>
      </c>
      <c r="D396" s="547">
        <v>17.536999999999999</v>
      </c>
      <c r="E396" s="299">
        <v>7.49</v>
      </c>
      <c r="F396" s="299">
        <f t="shared" si="78"/>
        <v>-97234.865999999995</v>
      </c>
      <c r="G396" s="299">
        <f t="shared" si="79"/>
        <v>169723.08599999998</v>
      </c>
      <c r="H396" s="300">
        <f t="shared" si="80"/>
        <v>-0.57290300507498426</v>
      </c>
      <c r="I396" s="299"/>
    </row>
    <row r="397" spans="2:9" x14ac:dyDescent="0.25">
      <c r="B397" s="546">
        <v>42418</v>
      </c>
      <c r="C397" s="298">
        <v>13478</v>
      </c>
      <c r="D397" s="547">
        <v>14.673999999999999</v>
      </c>
      <c r="E397" s="299">
        <v>6.93</v>
      </c>
      <c r="F397" s="299">
        <f t="shared" si="78"/>
        <v>-104373.632</v>
      </c>
      <c r="G397" s="299">
        <f t="shared" si="79"/>
        <v>197776.17199999999</v>
      </c>
      <c r="H397" s="300">
        <f t="shared" si="80"/>
        <v>-0.52773613193403301</v>
      </c>
      <c r="I397" s="299"/>
    </row>
    <row r="398" spans="2:9" x14ac:dyDescent="0.25">
      <c r="B398" s="546">
        <v>42422</v>
      </c>
      <c r="C398" s="298">
        <v>10978</v>
      </c>
      <c r="D398" s="547">
        <v>16.314</v>
      </c>
      <c r="E398" s="299">
        <v>7.49</v>
      </c>
      <c r="F398" s="299">
        <f t="shared" si="78"/>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78"/>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81">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81"/>
        <v>-94166.28</v>
      </c>
      <c r="G401" s="299">
        <f t="shared" ref="G401:G408" si="82">IF(C401=0, 0,D401*C401)</f>
        <v>165387.56</v>
      </c>
      <c r="H401" s="300">
        <f t="shared" ref="H401:H408" si="83">IF(C401=0, D401, (E401-D401)/D401)</f>
        <v>-0.5693673695893452</v>
      </c>
      <c r="I401" s="299"/>
    </row>
    <row r="402" spans="2:14" x14ac:dyDescent="0.25">
      <c r="B402" s="546">
        <v>42426</v>
      </c>
      <c r="C402" s="298">
        <v>8178</v>
      </c>
      <c r="D402" s="547">
        <v>19.245999999999999</v>
      </c>
      <c r="E402" s="299">
        <v>8</v>
      </c>
      <c r="F402" s="299">
        <f t="shared" si="81"/>
        <v>-91969.787999999986</v>
      </c>
      <c r="G402" s="299">
        <f t="shared" si="82"/>
        <v>157393.788</v>
      </c>
      <c r="H402" s="300">
        <f t="shared" si="83"/>
        <v>-0.58432921126467829</v>
      </c>
      <c r="I402" s="299"/>
    </row>
    <row r="403" spans="2:14" x14ac:dyDescent="0.25">
      <c r="B403" s="546">
        <v>42426</v>
      </c>
      <c r="C403" s="298">
        <v>6678</v>
      </c>
      <c r="D403" s="547">
        <v>21.75</v>
      </c>
      <c r="E403" s="299">
        <v>8.1</v>
      </c>
      <c r="F403" s="299">
        <f t="shared" si="81"/>
        <v>-91154.7</v>
      </c>
      <c r="G403" s="299">
        <f t="shared" si="82"/>
        <v>145246.5</v>
      </c>
      <c r="H403" s="300">
        <f t="shared" si="83"/>
        <v>-0.62758620689655176</v>
      </c>
      <c r="I403" s="299"/>
    </row>
    <row r="404" spans="2:14" x14ac:dyDescent="0.25">
      <c r="B404" s="546">
        <v>42426</v>
      </c>
      <c r="C404" s="298">
        <v>8678</v>
      </c>
      <c r="D404" s="547">
        <v>18.568999999999999</v>
      </c>
      <c r="E404" s="299">
        <v>7.94</v>
      </c>
      <c r="F404" s="299">
        <f t="shared" si="81"/>
        <v>-92238.461999999985</v>
      </c>
      <c r="G404" s="299">
        <f t="shared" si="82"/>
        <v>161141.78199999998</v>
      </c>
      <c r="H404" s="300">
        <f t="shared" si="83"/>
        <v>-0.57240562227368186</v>
      </c>
      <c r="I404" s="299"/>
    </row>
    <row r="405" spans="2:14" x14ac:dyDescent="0.25">
      <c r="B405" s="546">
        <v>42429</v>
      </c>
      <c r="C405" s="298">
        <v>7678</v>
      </c>
      <c r="D405" s="547">
        <v>19.876000000000001</v>
      </c>
      <c r="E405" s="299">
        <v>8.2100000000000009</v>
      </c>
      <c r="F405" s="299">
        <f t="shared" si="81"/>
        <v>-89571.54800000001</v>
      </c>
      <c r="G405" s="299">
        <f t="shared" si="82"/>
        <v>152607.92800000001</v>
      </c>
      <c r="H405" s="300">
        <f t="shared" si="83"/>
        <v>-0.58693902193600322</v>
      </c>
      <c r="I405" s="299"/>
    </row>
    <row r="406" spans="2:14" x14ac:dyDescent="0.25">
      <c r="B406" s="546">
        <v>42429</v>
      </c>
      <c r="C406" s="298">
        <v>9678</v>
      </c>
      <c r="D406" s="547">
        <v>17.463000000000001</v>
      </c>
      <c r="E406" s="299">
        <v>8.2100000000000009</v>
      </c>
      <c r="F406" s="299">
        <f t="shared" si="81"/>
        <v>-89550.534</v>
      </c>
      <c r="G406" s="299">
        <f t="shared" si="82"/>
        <v>169006.91400000002</v>
      </c>
      <c r="H406" s="300">
        <f t="shared" si="83"/>
        <v>-0.5298631392086125</v>
      </c>
      <c r="I406" s="299"/>
    </row>
    <row r="407" spans="2:14" ht="15" customHeight="1" x14ac:dyDescent="0.25">
      <c r="B407" s="546">
        <v>42429</v>
      </c>
      <c r="C407" s="298">
        <v>9178</v>
      </c>
      <c r="D407" s="547">
        <v>17.981000000000002</v>
      </c>
      <c r="E407" s="299">
        <v>8.2100000000000009</v>
      </c>
      <c r="F407" s="299">
        <f t="shared" si="81"/>
        <v>-89678.238000000012</v>
      </c>
      <c r="G407" s="299">
        <f t="shared" si="82"/>
        <v>165029.61800000002</v>
      </c>
      <c r="H407" s="300">
        <f t="shared" si="83"/>
        <v>-0.5434069295367332</v>
      </c>
      <c r="I407" s="299"/>
    </row>
    <row r="408" spans="2:14" x14ac:dyDescent="0.25">
      <c r="B408" s="546">
        <v>42429</v>
      </c>
      <c r="C408" s="298">
        <v>9678</v>
      </c>
      <c r="D408" s="547">
        <v>17.459</v>
      </c>
      <c r="E408" s="299">
        <v>8.2100000000000009</v>
      </c>
      <c r="F408" s="299">
        <f t="shared" si="81"/>
        <v>-89511.821999999986</v>
      </c>
      <c r="G408" s="299">
        <f t="shared" si="82"/>
        <v>168968.20199999999</v>
      </c>
      <c r="H408" s="300">
        <f t="shared" si="83"/>
        <v>-0.5297554270004009</v>
      </c>
      <c r="I408" s="299"/>
    </row>
    <row r="409" spans="2:14" x14ac:dyDescent="0.25">
      <c r="B409" s="546">
        <v>42429</v>
      </c>
      <c r="C409" s="298">
        <v>9178</v>
      </c>
      <c r="D409" s="547">
        <v>17.975999999999999</v>
      </c>
      <c r="E409" s="299">
        <v>8.2100000000000009</v>
      </c>
      <c r="F409" s="299">
        <f t="shared" ref="F409:F420" si="84">C409*(E409-D409)</f>
        <v>-89632.347999999984</v>
      </c>
      <c r="G409" s="299">
        <f t="shared" ref="G409:G420" si="85">IF(C409=0, 0,D409*C409)</f>
        <v>164983.728</v>
      </c>
      <c r="H409" s="300">
        <f t="shared" ref="H409:H460" si="86">IF(C409=0, D409, (E409-D409)/D409)</f>
        <v>-0.54327992879394738</v>
      </c>
      <c r="I409" s="299" t="s">
        <v>185</v>
      </c>
    </row>
    <row r="410" spans="2:14" x14ac:dyDescent="0.25">
      <c r="B410" s="546">
        <v>42430</v>
      </c>
      <c r="C410" s="319">
        <v>10178</v>
      </c>
      <c r="D410" s="548">
        <v>16.974</v>
      </c>
      <c r="E410" s="299">
        <v>7.8</v>
      </c>
      <c r="F410" s="299">
        <f t="shared" si="84"/>
        <v>-93372.971999999994</v>
      </c>
      <c r="G410" s="299">
        <f t="shared" si="85"/>
        <v>172761.372</v>
      </c>
      <c r="H410" s="300">
        <f t="shared" si="86"/>
        <v>-0.54047366560622123</v>
      </c>
      <c r="I410" s="299"/>
    </row>
    <row r="411" spans="2:14" x14ac:dyDescent="0.25">
      <c r="B411" s="546">
        <v>42430</v>
      </c>
      <c r="C411" s="319">
        <v>9678</v>
      </c>
      <c r="D411" s="548">
        <v>17.440000000000001</v>
      </c>
      <c r="E411" s="299">
        <v>7.96</v>
      </c>
      <c r="F411" s="299">
        <f t="shared" si="84"/>
        <v>-91747.44</v>
      </c>
      <c r="G411" s="299">
        <f t="shared" si="85"/>
        <v>168784.32</v>
      </c>
      <c r="H411" s="300">
        <f t="shared" si="86"/>
        <v>-0.54357798165137616</v>
      </c>
      <c r="I411" s="299"/>
    </row>
    <row r="412" spans="2:14" x14ac:dyDescent="0.25">
      <c r="B412" s="546">
        <v>42431</v>
      </c>
      <c r="C412" s="298">
        <v>8678</v>
      </c>
      <c r="D412" s="547">
        <v>18.405999999999999</v>
      </c>
      <c r="E412" s="299">
        <v>9.1</v>
      </c>
      <c r="F412" s="299">
        <f t="shared" si="84"/>
        <v>-80757.467999999993</v>
      </c>
      <c r="G412" s="299">
        <f t="shared" si="85"/>
        <v>159727.26799999998</v>
      </c>
      <c r="H412" s="301">
        <f t="shared" si="86"/>
        <v>-0.50559600130392257</v>
      </c>
      <c r="I412" s="299"/>
    </row>
    <row r="413" spans="2:14" x14ac:dyDescent="0.25">
      <c r="B413" s="546">
        <v>42432</v>
      </c>
      <c r="C413" s="298">
        <v>9278</v>
      </c>
      <c r="D413" s="547">
        <v>17.771999999999998</v>
      </c>
      <c r="E413" s="299">
        <v>9.9700000000000006</v>
      </c>
      <c r="F413" s="299">
        <f t="shared" si="84"/>
        <v>-72386.955999999976</v>
      </c>
      <c r="G413" s="299">
        <f t="shared" si="85"/>
        <v>164888.61599999998</v>
      </c>
      <c r="H413" s="301">
        <f t="shared" si="86"/>
        <v>-0.43900517668242173</v>
      </c>
      <c r="I413" s="299"/>
      <c r="N413" s="29"/>
    </row>
    <row r="414" spans="2:14" ht="15" customHeight="1" x14ac:dyDescent="0.25">
      <c r="B414" s="546">
        <v>42433</v>
      </c>
      <c r="C414" s="298">
        <v>9278</v>
      </c>
      <c r="D414" s="547">
        <v>17.771999999999998</v>
      </c>
      <c r="E414" s="299">
        <v>11</v>
      </c>
      <c r="F414" s="299">
        <f t="shared" si="84"/>
        <v>-62830.615999999987</v>
      </c>
      <c r="G414" s="299">
        <f t="shared" si="85"/>
        <v>164888.61599999998</v>
      </c>
      <c r="H414" s="301">
        <f t="shared" si="86"/>
        <v>-0.38104884087328378</v>
      </c>
      <c r="I414" s="299"/>
    </row>
    <row r="415" spans="2:14" x14ac:dyDescent="0.25">
      <c r="B415" s="546">
        <v>42439</v>
      </c>
      <c r="C415" s="298">
        <v>9278</v>
      </c>
      <c r="D415" s="547">
        <v>17.718</v>
      </c>
      <c r="E415" s="299">
        <v>10.59</v>
      </c>
      <c r="F415" s="299">
        <f t="shared" si="84"/>
        <v>-66133.584000000003</v>
      </c>
      <c r="G415" s="299">
        <f t="shared" si="85"/>
        <v>164387.60399999999</v>
      </c>
      <c r="H415" s="301">
        <f t="shared" si="86"/>
        <v>-0.40230274297324753</v>
      </c>
      <c r="I415" s="299" t="s">
        <v>184</v>
      </c>
    </row>
    <row r="416" spans="2:14" x14ac:dyDescent="0.25">
      <c r="B416" s="546">
        <v>42440</v>
      </c>
      <c r="C416" s="298">
        <v>9278</v>
      </c>
      <c r="D416" s="547">
        <v>17.712</v>
      </c>
      <c r="E416" s="299">
        <v>11.12</v>
      </c>
      <c r="F416" s="299">
        <f t="shared" si="84"/>
        <v>-61160.576000000008</v>
      </c>
      <c r="G416" s="299">
        <f t="shared" si="85"/>
        <v>164331.93599999999</v>
      </c>
      <c r="H416" s="301">
        <f t="shared" si="86"/>
        <v>-0.37217705510388438</v>
      </c>
      <c r="I416" s="299"/>
    </row>
    <row r="417" spans="2:9" x14ac:dyDescent="0.25">
      <c r="B417" s="546">
        <v>42446</v>
      </c>
      <c r="C417" s="298">
        <v>9278</v>
      </c>
      <c r="D417" s="547">
        <v>17.704999999999998</v>
      </c>
      <c r="E417" s="299">
        <v>11.45</v>
      </c>
      <c r="F417" s="299">
        <f t="shared" si="84"/>
        <v>-58033.889999999992</v>
      </c>
      <c r="G417" s="299">
        <f t="shared" si="85"/>
        <v>164266.99</v>
      </c>
      <c r="H417" s="301">
        <f t="shared" si="86"/>
        <v>-0.353290031064671</v>
      </c>
      <c r="I417" s="299"/>
    </row>
    <row r="418" spans="2:9" x14ac:dyDescent="0.25">
      <c r="B418" s="546">
        <v>42447</v>
      </c>
      <c r="C418" s="298">
        <v>7928</v>
      </c>
      <c r="D418" s="547">
        <v>18.734999999999999</v>
      </c>
      <c r="E418" s="299">
        <v>11.63</v>
      </c>
      <c r="F418" s="299">
        <f t="shared" si="84"/>
        <v>-56328.439999999988</v>
      </c>
      <c r="G418" s="299">
        <f t="shared" si="85"/>
        <v>148531.07999999999</v>
      </c>
      <c r="H418" s="301">
        <f t="shared" si="86"/>
        <v>-0.37923672271150249</v>
      </c>
      <c r="I418" s="299"/>
    </row>
    <row r="419" spans="2:9" x14ac:dyDescent="0.25">
      <c r="B419" s="546">
        <v>42450</v>
      </c>
      <c r="C419" s="298">
        <v>9278</v>
      </c>
      <c r="D419" s="547">
        <v>17.670000000000002</v>
      </c>
      <c r="E419" s="299">
        <v>11.43</v>
      </c>
      <c r="F419" s="299">
        <f t="shared" si="84"/>
        <v>-57894.720000000016</v>
      </c>
      <c r="G419" s="299">
        <f t="shared" si="85"/>
        <v>163942.26</v>
      </c>
      <c r="H419" s="300">
        <f t="shared" si="86"/>
        <v>-0.35314091680814946</v>
      </c>
      <c r="I419" s="299"/>
    </row>
    <row r="420" spans="2:9" x14ac:dyDescent="0.25">
      <c r="B420" s="546">
        <v>42451</v>
      </c>
      <c r="C420" s="298">
        <v>9628</v>
      </c>
      <c r="D420" s="547">
        <v>17.428000000000001</v>
      </c>
      <c r="E420" s="299">
        <v>11.31</v>
      </c>
      <c r="F420" s="299">
        <f t="shared" si="84"/>
        <v>-58904.104000000007</v>
      </c>
      <c r="G420" s="299">
        <f t="shared" si="85"/>
        <v>167796.78400000001</v>
      </c>
      <c r="H420" s="300">
        <f t="shared" si="86"/>
        <v>-0.35104429653431263</v>
      </c>
      <c r="I420" s="299"/>
    </row>
    <row r="421" spans="2:9" x14ac:dyDescent="0.25">
      <c r="B421" s="546">
        <v>42453</v>
      </c>
      <c r="C421" s="298">
        <v>13278</v>
      </c>
      <c r="D421" s="547">
        <v>15.5565</v>
      </c>
      <c r="E421" s="299">
        <v>10.29</v>
      </c>
      <c r="F421" s="299">
        <f t="shared" ref="F421:F460" si="87">C421*(E421-D421)</f>
        <v>-69928.587000000014</v>
      </c>
      <c r="G421" s="299">
        <f t="shared" ref="G421:G460" si="88">IF(C421=0, 0,D421*C421)</f>
        <v>206559.20699999999</v>
      </c>
      <c r="H421" s="300">
        <f t="shared" si="86"/>
        <v>-0.33854016006171056</v>
      </c>
      <c r="I421" s="299"/>
    </row>
    <row r="422" spans="2:9" x14ac:dyDescent="0.25">
      <c r="B422" s="546">
        <v>42459</v>
      </c>
      <c r="C422" s="298">
        <v>11278</v>
      </c>
      <c r="D422" s="547">
        <v>16.408899999999999</v>
      </c>
      <c r="E422" s="299">
        <v>10.53</v>
      </c>
      <c r="F422" s="299">
        <f t="shared" si="87"/>
        <v>-66302.234199999992</v>
      </c>
      <c r="G422" s="299">
        <f t="shared" si="88"/>
        <v>185059.5742</v>
      </c>
      <c r="H422" s="300">
        <f t="shared" si="86"/>
        <v>-0.35827508242478168</v>
      </c>
      <c r="I422" s="299"/>
    </row>
    <row r="423" spans="2:9" x14ac:dyDescent="0.25">
      <c r="B423" s="546">
        <v>42460</v>
      </c>
      <c r="C423" s="298">
        <v>9678</v>
      </c>
      <c r="D423" s="547">
        <v>17.311699999999998</v>
      </c>
      <c r="E423" s="299">
        <v>11.14</v>
      </c>
      <c r="F423" s="299">
        <f t="shared" si="87"/>
        <v>-59729.712599999977</v>
      </c>
      <c r="G423" s="299">
        <f t="shared" si="88"/>
        <v>167542.63259999998</v>
      </c>
      <c r="H423" s="300">
        <f t="shared" si="86"/>
        <v>-0.35650456049954643</v>
      </c>
      <c r="I423" s="299"/>
    </row>
    <row r="424" spans="2:9" ht="15" customHeight="1" x14ac:dyDescent="0.25">
      <c r="B424" s="546">
        <v>42461</v>
      </c>
      <c r="C424" s="298">
        <v>11678</v>
      </c>
      <c r="D424" s="547">
        <v>16.116</v>
      </c>
      <c r="E424" s="299">
        <v>10.53</v>
      </c>
      <c r="F424" s="299">
        <f t="shared" si="87"/>
        <v>-65233.308000000005</v>
      </c>
      <c r="G424" s="299">
        <f t="shared" si="88"/>
        <v>188202.64799999999</v>
      </c>
      <c r="H424" s="300">
        <f t="shared" si="86"/>
        <v>-0.34661206254653765</v>
      </c>
      <c r="I424" s="299"/>
    </row>
    <row r="425" spans="2:9" x14ac:dyDescent="0.25">
      <c r="B425" s="546">
        <v>42461</v>
      </c>
      <c r="C425" s="298">
        <v>9678</v>
      </c>
      <c r="D425" s="547">
        <v>17.266200000000001</v>
      </c>
      <c r="E425" s="299">
        <v>10.56</v>
      </c>
      <c r="F425" s="299">
        <f t="shared" si="87"/>
        <v>-64902.603600000009</v>
      </c>
      <c r="G425" s="299">
        <f t="shared" si="88"/>
        <v>167102.28360000002</v>
      </c>
      <c r="H425" s="300">
        <f t="shared" si="86"/>
        <v>-0.388400458699656</v>
      </c>
      <c r="I425" s="299"/>
    </row>
    <row r="426" spans="2:9" x14ac:dyDescent="0.25">
      <c r="B426" s="546">
        <v>42464</v>
      </c>
      <c r="C426" s="298">
        <v>9778</v>
      </c>
      <c r="D426" s="547">
        <v>17.196100000000001</v>
      </c>
      <c r="E426" s="299">
        <v>10.4</v>
      </c>
      <c r="F426" s="299">
        <f t="shared" si="87"/>
        <v>-66452.265800000008</v>
      </c>
      <c r="G426" s="299">
        <f t="shared" si="88"/>
        <v>168143.46580000001</v>
      </c>
      <c r="H426" s="300">
        <f t="shared" si="86"/>
        <v>-0.3952117049796175</v>
      </c>
      <c r="I426" s="299"/>
    </row>
    <row r="427" spans="2:9" x14ac:dyDescent="0.25">
      <c r="B427" s="546">
        <v>42465</v>
      </c>
      <c r="C427" s="298">
        <v>9678</v>
      </c>
      <c r="D427" s="547">
        <v>17.262699999999999</v>
      </c>
      <c r="E427" s="299">
        <v>10.63</v>
      </c>
      <c r="F427" s="299">
        <f t="shared" si="87"/>
        <v>-64191.270599999982</v>
      </c>
      <c r="G427" s="299">
        <f t="shared" si="88"/>
        <v>167068.4106</v>
      </c>
      <c r="H427" s="300">
        <f t="shared" si="86"/>
        <v>-0.38422147172806098</v>
      </c>
      <c r="I427" s="299"/>
    </row>
    <row r="428" spans="2:9" x14ac:dyDescent="0.25">
      <c r="B428" s="546">
        <v>42469</v>
      </c>
      <c r="C428" s="298">
        <v>8678</v>
      </c>
      <c r="D428" s="547">
        <v>17.895700000000001</v>
      </c>
      <c r="E428" s="299">
        <v>11.78</v>
      </c>
      <c r="F428" s="299">
        <f t="shared" si="87"/>
        <v>-53072.044600000016</v>
      </c>
      <c r="G428" s="299">
        <f t="shared" si="88"/>
        <v>155298.88460000002</v>
      </c>
      <c r="H428" s="300">
        <f t="shared" si="86"/>
        <v>-0.34174131215878684</v>
      </c>
      <c r="I428" s="299"/>
    </row>
    <row r="429" spans="2:9" x14ac:dyDescent="0.25">
      <c r="B429" s="546">
        <v>42471</v>
      </c>
      <c r="C429" s="298">
        <v>9678</v>
      </c>
      <c r="D429" s="547">
        <v>17.2514</v>
      </c>
      <c r="E429" s="299">
        <v>11.67</v>
      </c>
      <c r="F429" s="299">
        <f t="shared" si="87"/>
        <v>-54016.789200000007</v>
      </c>
      <c r="G429" s="299">
        <f t="shared" si="88"/>
        <v>166959.04920000001</v>
      </c>
      <c r="H429" s="300">
        <f t="shared" si="86"/>
        <v>-0.32353316252593994</v>
      </c>
      <c r="I429" s="299"/>
    </row>
    <row r="430" spans="2:9" x14ac:dyDescent="0.25">
      <c r="B430" s="546">
        <v>42472</v>
      </c>
      <c r="C430" s="298">
        <v>8288</v>
      </c>
      <c r="D430" s="547">
        <v>17.96</v>
      </c>
      <c r="E430" s="299">
        <v>13.05</v>
      </c>
      <c r="F430" s="299">
        <f t="shared" si="87"/>
        <v>-40694.080000000002</v>
      </c>
      <c r="G430" s="299">
        <f t="shared" si="88"/>
        <v>148852.48000000001</v>
      </c>
      <c r="H430" s="300">
        <f t="shared" si="86"/>
        <v>-0.27338530066815142</v>
      </c>
      <c r="I430" s="299"/>
    </row>
    <row r="431" spans="2:9" ht="15" customHeight="1" x14ac:dyDescent="0.25">
      <c r="B431" s="546">
        <v>42473</v>
      </c>
      <c r="C431" s="298">
        <v>9258</v>
      </c>
      <c r="D431" s="547">
        <v>17.415800000000001</v>
      </c>
      <c r="E431" s="299">
        <v>12.92</v>
      </c>
      <c r="F431" s="299">
        <f t="shared" si="87"/>
        <v>-41622.116400000006</v>
      </c>
      <c r="G431" s="299">
        <f t="shared" si="88"/>
        <v>161235.47640000001</v>
      </c>
      <c r="H431" s="300">
        <f t="shared" si="86"/>
        <v>-0.2581449029042594</v>
      </c>
      <c r="I431" s="299"/>
    </row>
    <row r="432" spans="2:9" x14ac:dyDescent="0.25">
      <c r="B432" s="546">
        <v>42474</v>
      </c>
      <c r="C432" s="298">
        <v>9678</v>
      </c>
      <c r="D432" s="547">
        <v>17.2135</v>
      </c>
      <c r="E432" s="299">
        <v>13.11</v>
      </c>
      <c r="F432" s="299">
        <f t="shared" si="87"/>
        <v>-39713.673000000003</v>
      </c>
      <c r="G432" s="299">
        <f t="shared" si="88"/>
        <v>166592.253</v>
      </c>
      <c r="H432" s="300">
        <f t="shared" si="86"/>
        <v>-0.23838847416272113</v>
      </c>
      <c r="I432" s="299"/>
    </row>
    <row r="433" spans="2:9" x14ac:dyDescent="0.25">
      <c r="B433" s="546">
        <v>42474</v>
      </c>
      <c r="C433" s="298">
        <v>9178</v>
      </c>
      <c r="D433" s="547">
        <v>17.433299999999999</v>
      </c>
      <c r="E433" s="299">
        <v>13.11</v>
      </c>
      <c r="F433" s="299">
        <f t="shared" si="87"/>
        <v>-39679.2474</v>
      </c>
      <c r="G433" s="299">
        <f t="shared" si="88"/>
        <v>160002.82739999998</v>
      </c>
      <c r="H433" s="300">
        <f t="shared" si="86"/>
        <v>-0.24799091394056202</v>
      </c>
      <c r="I433" s="299"/>
    </row>
    <row r="434" spans="2:9" x14ac:dyDescent="0.25">
      <c r="B434" s="546">
        <v>42475</v>
      </c>
      <c r="C434" s="298">
        <v>9678</v>
      </c>
      <c r="D434" s="547">
        <v>17.205100000000002</v>
      </c>
      <c r="E434" s="299">
        <v>13.01</v>
      </c>
      <c r="F434" s="299">
        <f t="shared" si="87"/>
        <v>-40600.177800000019</v>
      </c>
      <c r="G434" s="299">
        <f t="shared" si="88"/>
        <v>166510.9578</v>
      </c>
      <c r="H434" s="300">
        <f t="shared" si="86"/>
        <v>-0.24382886469709572</v>
      </c>
      <c r="I434" s="299"/>
    </row>
    <row r="435" spans="2:9" x14ac:dyDescent="0.25">
      <c r="B435" s="546">
        <v>42478</v>
      </c>
      <c r="C435" s="298">
        <v>9178</v>
      </c>
      <c r="D435" s="547">
        <v>17.412400000000002</v>
      </c>
      <c r="E435" s="299">
        <v>13.36</v>
      </c>
      <c r="F435" s="299">
        <f t="shared" si="87"/>
        <v>-37192.92720000002</v>
      </c>
      <c r="G435" s="299">
        <f t="shared" si="88"/>
        <v>159811.00720000002</v>
      </c>
      <c r="H435" s="300">
        <f t="shared" si="86"/>
        <v>-0.232730697663734</v>
      </c>
      <c r="I435" s="299"/>
    </row>
    <row r="436" spans="2:9" x14ac:dyDescent="0.25">
      <c r="B436" s="546">
        <v>42484</v>
      </c>
      <c r="C436" s="319">
        <v>9178</v>
      </c>
      <c r="D436" s="548">
        <v>17.412400000000002</v>
      </c>
      <c r="E436" s="299">
        <v>14.34</v>
      </c>
      <c r="F436" s="299">
        <f t="shared" si="87"/>
        <v>-28198.487200000018</v>
      </c>
      <c r="G436" s="299">
        <f t="shared" si="88"/>
        <v>159811.00720000002</v>
      </c>
      <c r="H436" s="300">
        <f t="shared" si="86"/>
        <v>-0.17644896740254082</v>
      </c>
      <c r="I436" s="299"/>
    </row>
    <row r="437" spans="2:9" ht="15" customHeight="1" x14ac:dyDescent="0.25">
      <c r="B437" s="546">
        <v>42485</v>
      </c>
      <c r="C437" s="319">
        <v>9678</v>
      </c>
      <c r="D437" s="548">
        <v>17.233499999999999</v>
      </c>
      <c r="E437" s="299">
        <v>13.83</v>
      </c>
      <c r="F437" s="299">
        <f t="shared" si="87"/>
        <v>-32939.072999999997</v>
      </c>
      <c r="G437" s="299">
        <f t="shared" si="88"/>
        <v>166785.81299999999</v>
      </c>
      <c r="H437" s="300">
        <f t="shared" si="86"/>
        <v>-0.19749325441726867</v>
      </c>
      <c r="I437" s="299"/>
    </row>
    <row r="438" spans="2:9" x14ac:dyDescent="0.25">
      <c r="B438" s="546">
        <v>42486</v>
      </c>
      <c r="C438" s="298">
        <v>9178</v>
      </c>
      <c r="D438" s="547">
        <v>17.390599999999999</v>
      </c>
      <c r="E438" s="299">
        <v>14.44</v>
      </c>
      <c r="F438" s="299">
        <f t="shared" si="87"/>
        <v>-27080.606799999998</v>
      </c>
      <c r="G438" s="299">
        <f t="shared" si="88"/>
        <v>159610.92679999999</v>
      </c>
      <c r="H438" s="301">
        <f t="shared" si="86"/>
        <v>-0.16966637148804525</v>
      </c>
      <c r="I438" s="299"/>
    </row>
    <row r="439" spans="2:9" x14ac:dyDescent="0.25">
      <c r="B439" s="546">
        <v>42487</v>
      </c>
      <c r="C439" s="298">
        <v>9178</v>
      </c>
      <c r="D439" s="547">
        <v>17.376300000000001</v>
      </c>
      <c r="E439" s="299">
        <v>14.84</v>
      </c>
      <c r="F439" s="299">
        <f t="shared" si="87"/>
        <v>-23278.161400000005</v>
      </c>
      <c r="G439" s="299">
        <f t="shared" si="88"/>
        <v>159479.6814</v>
      </c>
      <c r="H439" s="301">
        <f t="shared" si="86"/>
        <v>-0.14596317973331496</v>
      </c>
      <c r="I439" s="299"/>
    </row>
    <row r="440" spans="2:9" x14ac:dyDescent="0.25">
      <c r="B440" s="546">
        <v>42488</v>
      </c>
      <c r="C440" s="298">
        <v>9678</v>
      </c>
      <c r="D440" s="547">
        <v>17.2287</v>
      </c>
      <c r="E440" s="299">
        <v>14.35</v>
      </c>
      <c r="F440" s="299">
        <f t="shared" si="87"/>
        <v>-27860.058600000004</v>
      </c>
      <c r="G440" s="299">
        <f t="shared" si="88"/>
        <v>166739.35860000001</v>
      </c>
      <c r="H440" s="301">
        <f t="shared" si="86"/>
        <v>-0.16708747612994598</v>
      </c>
      <c r="I440" s="299"/>
    </row>
    <row r="441" spans="2:9" x14ac:dyDescent="0.25">
      <c r="B441" s="546">
        <v>42489</v>
      </c>
      <c r="C441" s="298">
        <v>9678</v>
      </c>
      <c r="D441" s="547">
        <v>17.179200000000002</v>
      </c>
      <c r="E441" s="299">
        <v>14.09</v>
      </c>
      <c r="F441" s="299">
        <f t="shared" si="87"/>
        <v>-29897.277600000016</v>
      </c>
      <c r="G441" s="299">
        <f t="shared" si="88"/>
        <v>166260.29760000002</v>
      </c>
      <c r="H441" s="301">
        <f t="shared" si="86"/>
        <v>-0.17982211045916</v>
      </c>
      <c r="I441" s="299"/>
    </row>
    <row r="442" spans="2:9" x14ac:dyDescent="0.25">
      <c r="B442" s="546">
        <v>42492</v>
      </c>
      <c r="C442" s="298">
        <v>9678</v>
      </c>
      <c r="D442" s="547">
        <v>17.136399999999998</v>
      </c>
      <c r="E442" s="299">
        <v>13.55</v>
      </c>
      <c r="F442" s="299">
        <f t="shared" si="87"/>
        <v>-34709.179199999977</v>
      </c>
      <c r="G442" s="299">
        <f t="shared" si="88"/>
        <v>165846.07919999998</v>
      </c>
      <c r="H442" s="301">
        <f t="shared" si="86"/>
        <v>-0.20928549753740563</v>
      </c>
      <c r="I442" s="299"/>
    </row>
    <row r="443" spans="2:9" x14ac:dyDescent="0.25">
      <c r="B443" s="546">
        <v>42493</v>
      </c>
      <c r="C443" s="298">
        <v>9678</v>
      </c>
      <c r="D443" s="547">
        <v>17.1221</v>
      </c>
      <c r="E443" s="299">
        <v>12.79</v>
      </c>
      <c r="F443" s="299">
        <f t="shared" si="87"/>
        <v>-41926.063800000004</v>
      </c>
      <c r="G443" s="299">
        <f t="shared" si="88"/>
        <v>165707.6838</v>
      </c>
      <c r="H443" s="301">
        <f t="shared" si="86"/>
        <v>-0.25301218892542388</v>
      </c>
      <c r="I443" s="299"/>
    </row>
    <row r="444" spans="2:9" x14ac:dyDescent="0.25">
      <c r="B444" s="546">
        <v>42494</v>
      </c>
      <c r="C444" s="298">
        <v>11678</v>
      </c>
      <c r="D444" s="547">
        <v>16.316800000000001</v>
      </c>
      <c r="E444" s="299">
        <v>12.17</v>
      </c>
      <c r="F444" s="299">
        <f t="shared" si="87"/>
        <v>-48426.330400000006</v>
      </c>
      <c r="G444" s="299">
        <f t="shared" si="88"/>
        <v>190547.59040000002</v>
      </c>
      <c r="H444" s="301">
        <f t="shared" si="86"/>
        <v>-0.25414296920964896</v>
      </c>
      <c r="I444" s="299"/>
    </row>
    <row r="445" spans="2:9" x14ac:dyDescent="0.25">
      <c r="B445" s="546">
        <v>42495</v>
      </c>
      <c r="C445" s="298">
        <v>9678</v>
      </c>
      <c r="D445" s="547">
        <v>17.0684</v>
      </c>
      <c r="E445" s="299">
        <v>12.07</v>
      </c>
      <c r="F445" s="299">
        <f t="shared" si="87"/>
        <v>-48374.515200000002</v>
      </c>
      <c r="G445" s="299">
        <f t="shared" si="88"/>
        <v>165187.97520000002</v>
      </c>
      <c r="H445" s="300">
        <f t="shared" si="86"/>
        <v>-0.29284525790349419</v>
      </c>
      <c r="I445" s="299"/>
    </row>
    <row r="446" spans="2:9" x14ac:dyDescent="0.25">
      <c r="B446" s="546">
        <v>42499</v>
      </c>
      <c r="C446" s="298">
        <v>10678</v>
      </c>
      <c r="D446" s="547">
        <v>16.537600000000001</v>
      </c>
      <c r="E446" s="299">
        <v>11.44</v>
      </c>
      <c r="F446" s="299">
        <f t="shared" si="87"/>
        <v>-54432.172800000015</v>
      </c>
      <c r="G446" s="299">
        <f t="shared" si="88"/>
        <v>176588.49280000001</v>
      </c>
      <c r="H446" s="300">
        <f t="shared" si="86"/>
        <v>-0.30824303405572762</v>
      </c>
      <c r="I446" s="299"/>
    </row>
    <row r="447" spans="2:9" x14ac:dyDescent="0.25">
      <c r="B447" s="546">
        <v>42500</v>
      </c>
      <c r="C447" s="298">
        <v>9678</v>
      </c>
      <c r="D447" s="547">
        <v>17.042100000000001</v>
      </c>
      <c r="E447" s="299">
        <v>11.94</v>
      </c>
      <c r="F447" s="299">
        <f t="shared" si="87"/>
        <v>-49378.123800000016</v>
      </c>
      <c r="G447" s="299">
        <f t="shared" si="88"/>
        <v>164933.44380000001</v>
      </c>
      <c r="H447" s="300">
        <f t="shared" si="86"/>
        <v>-0.2993821184009014</v>
      </c>
      <c r="I447" s="299"/>
    </row>
    <row r="448" spans="2:9" x14ac:dyDescent="0.25">
      <c r="B448" s="546">
        <v>42502</v>
      </c>
      <c r="C448" s="298">
        <v>10678</v>
      </c>
      <c r="D448" s="547">
        <v>16.601800000000001</v>
      </c>
      <c r="E448" s="299">
        <v>12.33</v>
      </c>
      <c r="F448" s="299">
        <f t="shared" si="87"/>
        <v>-45614.280400000011</v>
      </c>
      <c r="G448" s="299">
        <f t="shared" si="88"/>
        <v>177274.02040000001</v>
      </c>
      <c r="H448" s="300">
        <f t="shared" si="86"/>
        <v>-0.25730944837306802</v>
      </c>
      <c r="I448" s="299"/>
    </row>
    <row r="449" spans="2:9" x14ac:dyDescent="0.25">
      <c r="B449" s="546">
        <v>42502</v>
      </c>
      <c r="C449" s="298">
        <v>9678</v>
      </c>
      <c r="D449" s="547">
        <v>17.0334</v>
      </c>
      <c r="E449" s="299">
        <v>12.33</v>
      </c>
      <c r="F449" s="299">
        <f t="shared" si="87"/>
        <v>-45519.5052</v>
      </c>
      <c r="G449" s="299">
        <f t="shared" si="88"/>
        <v>164849.2452</v>
      </c>
      <c r="H449" s="300">
        <f t="shared" si="86"/>
        <v>-0.27612807777660364</v>
      </c>
      <c r="I449" s="299"/>
    </row>
    <row r="450" spans="2:9" x14ac:dyDescent="0.25">
      <c r="B450" s="546">
        <v>42503</v>
      </c>
      <c r="C450" s="298">
        <v>9678</v>
      </c>
      <c r="D450" s="547">
        <v>17.029299999999999</v>
      </c>
      <c r="E450" s="299">
        <v>12.3</v>
      </c>
      <c r="F450" s="299">
        <f t="shared" si="87"/>
        <v>-45770.165399999983</v>
      </c>
      <c r="G450" s="299">
        <f t="shared" si="88"/>
        <v>164809.56539999999</v>
      </c>
      <c r="H450" s="300">
        <f t="shared" si="86"/>
        <v>-0.27771546687180321</v>
      </c>
      <c r="I450" s="299"/>
    </row>
    <row r="451" spans="2:9" x14ac:dyDescent="0.25">
      <c r="B451" s="546">
        <v>42506</v>
      </c>
      <c r="C451" s="298">
        <v>9678</v>
      </c>
      <c r="D451" s="547">
        <v>17.027699999999999</v>
      </c>
      <c r="E451" s="299">
        <v>12.78</v>
      </c>
      <c r="F451" s="299">
        <f t="shared" si="87"/>
        <v>-41109.240599999997</v>
      </c>
      <c r="G451" s="299">
        <f t="shared" si="88"/>
        <v>164794.08059999999</v>
      </c>
      <c r="H451" s="300">
        <f t="shared" si="86"/>
        <v>-0.24945823569830336</v>
      </c>
      <c r="I451" s="299"/>
    </row>
    <row r="452" spans="2:9" x14ac:dyDescent="0.25">
      <c r="B452" s="546">
        <v>42513</v>
      </c>
      <c r="C452" s="298">
        <v>9178</v>
      </c>
      <c r="D452" s="547">
        <v>17.244399999999999</v>
      </c>
      <c r="E452" s="299">
        <v>13.19</v>
      </c>
      <c r="F452" s="299">
        <f t="shared" si="87"/>
        <v>-37211.283199999991</v>
      </c>
      <c r="G452" s="299">
        <f t="shared" si="88"/>
        <v>158269.10319999998</v>
      </c>
      <c r="H452" s="300">
        <f t="shared" si="86"/>
        <v>-0.23511400802579385</v>
      </c>
      <c r="I452" s="299"/>
    </row>
    <row r="453" spans="2:9" x14ac:dyDescent="0.25">
      <c r="B453" s="546">
        <v>42514</v>
      </c>
      <c r="C453" s="298">
        <v>9678</v>
      </c>
      <c r="D453" s="547">
        <v>17.026</v>
      </c>
      <c r="E453" s="299">
        <v>13.02</v>
      </c>
      <c r="F453" s="299">
        <f t="shared" si="87"/>
        <v>-38770.067999999999</v>
      </c>
      <c r="G453" s="299">
        <f t="shared" si="88"/>
        <v>164777.628</v>
      </c>
      <c r="H453" s="300">
        <f t="shared" si="86"/>
        <v>-0.23528720779983556</v>
      </c>
      <c r="I453" s="299"/>
    </row>
    <row r="454" spans="2:9" x14ac:dyDescent="0.25">
      <c r="B454" s="546">
        <v>42515</v>
      </c>
      <c r="C454" s="298">
        <v>9178</v>
      </c>
      <c r="D454" s="547">
        <v>17.206800000000001</v>
      </c>
      <c r="E454" s="299">
        <v>13.54</v>
      </c>
      <c r="F454" s="299">
        <f t="shared" si="87"/>
        <v>-33653.890400000018</v>
      </c>
      <c r="G454" s="299">
        <f t="shared" si="88"/>
        <v>157924.0104</v>
      </c>
      <c r="H454" s="300">
        <f t="shared" si="86"/>
        <v>-0.21310179696399109</v>
      </c>
      <c r="I454" s="299"/>
    </row>
    <row r="455" spans="2:9" x14ac:dyDescent="0.25">
      <c r="B455" s="546">
        <v>42516</v>
      </c>
      <c r="C455" s="298">
        <v>9678</v>
      </c>
      <c r="D455" s="547">
        <v>17.003799999999998</v>
      </c>
      <c r="E455" s="299">
        <v>13.17</v>
      </c>
      <c r="F455" s="299">
        <f t="shared" si="87"/>
        <v>-37103.516399999986</v>
      </c>
      <c r="G455" s="299">
        <f t="shared" si="88"/>
        <v>164562.77639999997</v>
      </c>
      <c r="H455" s="300">
        <f t="shared" si="86"/>
        <v>-0.22546724849739463</v>
      </c>
      <c r="I455" s="299"/>
    </row>
    <row r="456" spans="2:9" x14ac:dyDescent="0.25">
      <c r="B456" s="546">
        <v>42517</v>
      </c>
      <c r="C456" s="298">
        <v>9678</v>
      </c>
      <c r="D456" s="547">
        <v>16.999700000000001</v>
      </c>
      <c r="E456" s="299">
        <v>12.9</v>
      </c>
      <c r="F456" s="299">
        <f t="shared" si="87"/>
        <v>-39676.8966</v>
      </c>
      <c r="G456" s="299">
        <f t="shared" si="88"/>
        <v>164523.09660000002</v>
      </c>
      <c r="H456" s="300">
        <f t="shared" si="86"/>
        <v>-0.2411630793484591</v>
      </c>
      <c r="I456" s="299"/>
    </row>
    <row r="457" spans="2:9" x14ac:dyDescent="0.25">
      <c r="B457" s="546">
        <v>42525</v>
      </c>
      <c r="C457" s="298">
        <v>9678</v>
      </c>
      <c r="D457" s="547">
        <v>16.9956</v>
      </c>
      <c r="E457" s="299">
        <v>13.32</v>
      </c>
      <c r="F457" s="299">
        <f t="shared" si="87"/>
        <v>-35572.456799999993</v>
      </c>
      <c r="G457" s="299">
        <f t="shared" si="88"/>
        <v>164483.41680000001</v>
      </c>
      <c r="H457" s="300">
        <f t="shared" si="86"/>
        <v>-0.21626773988561743</v>
      </c>
      <c r="I457" s="299"/>
    </row>
    <row r="458" spans="2:9" ht="15" customHeight="1" x14ac:dyDescent="0.25">
      <c r="B458" s="546">
        <v>42527</v>
      </c>
      <c r="C458" s="298">
        <v>8178</v>
      </c>
      <c r="D458" s="547">
        <v>17.568999999999999</v>
      </c>
      <c r="E458" s="299">
        <v>13.96</v>
      </c>
      <c r="F458" s="299">
        <f t="shared" si="87"/>
        <v>-29514.401999999984</v>
      </c>
      <c r="G458" s="299">
        <f t="shared" si="88"/>
        <v>143679.28200000001</v>
      </c>
      <c r="H458" s="300">
        <f t="shared" si="86"/>
        <v>-0.20541863509590746</v>
      </c>
      <c r="I458" s="299"/>
    </row>
    <row r="459" spans="2:9" x14ac:dyDescent="0.25">
      <c r="B459" s="546">
        <v>42528</v>
      </c>
      <c r="C459" s="298">
        <v>7678</v>
      </c>
      <c r="D459" s="547">
        <v>17.759599999999999</v>
      </c>
      <c r="E459" s="299">
        <v>14.62</v>
      </c>
      <c r="F459" s="299">
        <f t="shared" si="87"/>
        <v>-24105.848799999996</v>
      </c>
      <c r="G459" s="299">
        <f t="shared" si="88"/>
        <v>136358.20879999999</v>
      </c>
      <c r="H459" s="300">
        <f t="shared" si="86"/>
        <v>-0.17678326088425414</v>
      </c>
      <c r="I459" s="299"/>
    </row>
    <row r="460" spans="2:9" x14ac:dyDescent="0.25">
      <c r="B460" s="546">
        <v>42529</v>
      </c>
      <c r="C460" s="298">
        <v>8178</v>
      </c>
      <c r="D460" s="547">
        <v>17.5654</v>
      </c>
      <c r="E460" s="299">
        <v>14.53</v>
      </c>
      <c r="F460" s="299">
        <f t="shared" si="87"/>
        <v>-24823.50120000001</v>
      </c>
      <c r="G460" s="299">
        <f t="shared" si="88"/>
        <v>143649.8412</v>
      </c>
      <c r="H460" s="300">
        <f t="shared" si="86"/>
        <v>-0.17280562924840887</v>
      </c>
      <c r="I460" s="299"/>
    </row>
    <row r="461" spans="2:9" x14ac:dyDescent="0.25">
      <c r="B461" s="546">
        <v>42531</v>
      </c>
      <c r="C461" s="298">
        <v>8978</v>
      </c>
      <c r="D461" s="547">
        <v>17.1751</v>
      </c>
      <c r="E461" s="299">
        <v>13.42</v>
      </c>
      <c r="F461" s="299">
        <f t="shared" ref="F461:F469" si="89">C461*(E461-D461)</f>
        <v>-33713.287800000006</v>
      </c>
      <c r="G461" s="299">
        <f t="shared" ref="G461:G469" si="90">IF(C461=0, 0,D461*C461)</f>
        <v>154198.0478</v>
      </c>
      <c r="H461" s="300">
        <f t="shared" ref="H461:H469" si="91">IF(C461=0, D461, (E461-D461)/D461)</f>
        <v>-0.21863628159370255</v>
      </c>
      <c r="I461" s="299"/>
    </row>
    <row r="462" spans="2:9" x14ac:dyDescent="0.25">
      <c r="B462" s="546">
        <v>42531</v>
      </c>
      <c r="C462" s="319">
        <v>9278</v>
      </c>
      <c r="D462" s="548">
        <v>17.1052</v>
      </c>
      <c r="E462" s="299">
        <v>13.42</v>
      </c>
      <c r="F462" s="299">
        <f t="shared" si="89"/>
        <v>-34191.285600000003</v>
      </c>
      <c r="G462" s="299">
        <f t="shared" si="90"/>
        <v>158702.04560000001</v>
      </c>
      <c r="H462" s="300">
        <f t="shared" si="91"/>
        <v>-0.21544325702125669</v>
      </c>
      <c r="I462" s="299"/>
    </row>
    <row r="463" spans="2:9" x14ac:dyDescent="0.25">
      <c r="B463" s="546">
        <v>42532</v>
      </c>
      <c r="C463" s="298">
        <v>9278</v>
      </c>
      <c r="D463" s="547">
        <v>17.053000000000001</v>
      </c>
      <c r="E463" s="299">
        <v>13.42</v>
      </c>
      <c r="F463" s="299">
        <f t="shared" si="89"/>
        <v>-33706.974000000009</v>
      </c>
      <c r="G463" s="299">
        <f t="shared" si="90"/>
        <v>158217.734</v>
      </c>
      <c r="H463" s="300">
        <f t="shared" si="91"/>
        <v>-0.21304169354365804</v>
      </c>
      <c r="I463" s="299" t="s">
        <v>181</v>
      </c>
    </row>
    <row r="464" spans="2:9" x14ac:dyDescent="0.25">
      <c r="B464" s="546">
        <v>42535</v>
      </c>
      <c r="C464" s="298">
        <v>9678</v>
      </c>
      <c r="D464" s="547">
        <v>16.879300000000001</v>
      </c>
      <c r="E464" s="299">
        <v>13.23</v>
      </c>
      <c r="F464" s="299">
        <f t="shared" si="89"/>
        <v>-35317.9254</v>
      </c>
      <c r="G464" s="299">
        <f t="shared" si="90"/>
        <v>163357.86540000001</v>
      </c>
      <c r="H464" s="300">
        <f t="shared" si="91"/>
        <v>-0.21619972392220058</v>
      </c>
      <c r="I464" s="299" t="s">
        <v>213</v>
      </c>
    </row>
    <row r="465" spans="2:9" x14ac:dyDescent="0.25">
      <c r="B465" s="546">
        <v>42536</v>
      </c>
      <c r="C465" s="298">
        <v>9278</v>
      </c>
      <c r="D465" s="547">
        <v>17.027999999999999</v>
      </c>
      <c r="E465" s="299">
        <v>13.06</v>
      </c>
      <c r="F465" s="299">
        <f t="shared" si="89"/>
        <v>-36815.103999999985</v>
      </c>
      <c r="G465" s="299">
        <f t="shared" si="90"/>
        <v>157985.78399999999</v>
      </c>
      <c r="H465" s="300">
        <f t="shared" si="91"/>
        <v>-0.23302795395818643</v>
      </c>
      <c r="I465" s="299"/>
    </row>
    <row r="466" spans="2:9" x14ac:dyDescent="0.25">
      <c r="B466" s="546">
        <v>42537</v>
      </c>
      <c r="C466" s="319">
        <v>9278</v>
      </c>
      <c r="D466" s="548">
        <v>17.0168</v>
      </c>
      <c r="E466" s="299">
        <v>12.67</v>
      </c>
      <c r="F466" s="299">
        <f t="shared" si="89"/>
        <v>-40329.610399999998</v>
      </c>
      <c r="G466" s="299">
        <f t="shared" si="90"/>
        <v>157881.87039999999</v>
      </c>
      <c r="H466" s="300">
        <f t="shared" si="91"/>
        <v>-0.25544168116214566</v>
      </c>
      <c r="I466" s="299"/>
    </row>
    <row r="467" spans="2:9" x14ac:dyDescent="0.25">
      <c r="B467" s="546">
        <v>42538</v>
      </c>
      <c r="C467" s="319">
        <v>9278</v>
      </c>
      <c r="D467" s="548">
        <v>17.0061</v>
      </c>
      <c r="E467" s="299">
        <v>13.16</v>
      </c>
      <c r="F467" s="299">
        <f t="shared" si="89"/>
        <v>-35684.1158</v>
      </c>
      <c r="G467" s="299">
        <f t="shared" si="90"/>
        <v>157782.59580000001</v>
      </c>
      <c r="H467" s="300">
        <f t="shared" si="91"/>
        <v>-0.2261600249322302</v>
      </c>
      <c r="I467" s="299"/>
    </row>
    <row r="468" spans="2:9" x14ac:dyDescent="0.25">
      <c r="B468" s="546">
        <v>42541</v>
      </c>
      <c r="C468" s="298">
        <v>7678</v>
      </c>
      <c r="D468" s="547">
        <v>17.568000000000001</v>
      </c>
      <c r="E468" s="299">
        <v>14.48</v>
      </c>
      <c r="F468" s="299">
        <f t="shared" si="89"/>
        <v>-23709.664000000008</v>
      </c>
      <c r="G468" s="299">
        <f t="shared" si="90"/>
        <v>134887.10400000002</v>
      </c>
      <c r="H468" s="301">
        <f t="shared" si="91"/>
        <v>-0.17577413479052828</v>
      </c>
      <c r="I468" s="299"/>
    </row>
    <row r="469" spans="2:9" x14ac:dyDescent="0.25">
      <c r="B469" s="546">
        <v>42542</v>
      </c>
      <c r="C469" s="298">
        <v>6800</v>
      </c>
      <c r="D469" s="547">
        <v>17.892099999999999</v>
      </c>
      <c r="E469" s="299">
        <v>15.09</v>
      </c>
      <c r="F469" s="299">
        <f t="shared" si="89"/>
        <v>-19054.279999999995</v>
      </c>
      <c r="G469" s="299">
        <f t="shared" si="90"/>
        <v>121666.28</v>
      </c>
      <c r="H469" s="301">
        <f t="shared" si="91"/>
        <v>-0.15661101827063337</v>
      </c>
      <c r="I469" s="299"/>
    </row>
    <row r="470" spans="2:9" x14ac:dyDescent="0.25">
      <c r="B470" s="546">
        <v>42543</v>
      </c>
      <c r="C470" s="298">
        <v>7300</v>
      </c>
      <c r="D470" s="547">
        <v>17.6769</v>
      </c>
      <c r="E470" s="299">
        <v>14.75</v>
      </c>
      <c r="F470" s="299">
        <f t="shared" ref="F470:F478" si="92">C470*(E470-D470)</f>
        <v>-21366.37</v>
      </c>
      <c r="G470" s="299">
        <f t="shared" ref="G470:G478" si="93">IF(C470=0, 0,D470*C470)</f>
        <v>129041.37</v>
      </c>
      <c r="H470" s="301">
        <f t="shared" ref="H470:H478" si="94">IF(C470=0, D470, (E470-D470)/D470)</f>
        <v>-0.16557767481854849</v>
      </c>
      <c r="I470" s="299"/>
    </row>
    <row r="471" spans="2:9" x14ac:dyDescent="0.25">
      <c r="B471" s="546">
        <v>42544</v>
      </c>
      <c r="C471" s="298">
        <v>6800</v>
      </c>
      <c r="D471" s="547">
        <v>17.856100000000001</v>
      </c>
      <c r="E471" s="299">
        <v>15.27</v>
      </c>
      <c r="F471" s="299">
        <f t="shared" si="92"/>
        <v>-17585.480000000014</v>
      </c>
      <c r="G471" s="299">
        <f t="shared" si="93"/>
        <v>121421.48000000001</v>
      </c>
      <c r="H471" s="301">
        <f t="shared" si="94"/>
        <v>-0.1448300580753917</v>
      </c>
      <c r="I471" s="299"/>
    </row>
    <row r="472" spans="2:9" x14ac:dyDescent="0.25">
      <c r="B472" s="546">
        <v>42545</v>
      </c>
      <c r="C472" s="298">
        <v>7678</v>
      </c>
      <c r="D472" s="547">
        <v>17.462</v>
      </c>
      <c r="E472" s="299">
        <v>14.41</v>
      </c>
      <c r="F472" s="299">
        <f t="shared" si="92"/>
        <v>-23433.255999999998</v>
      </c>
      <c r="G472" s="299">
        <f t="shared" si="93"/>
        <v>134073.236</v>
      </c>
      <c r="H472" s="301">
        <f t="shared" si="94"/>
        <v>-0.17477952124613444</v>
      </c>
      <c r="I472" s="299"/>
    </row>
    <row r="473" spans="2:9" x14ac:dyDescent="0.25">
      <c r="B473" s="546">
        <v>42545</v>
      </c>
      <c r="C473" s="298">
        <v>8013</v>
      </c>
      <c r="D473" s="547">
        <v>17.32</v>
      </c>
      <c r="E473" s="299">
        <v>14.68</v>
      </c>
      <c r="F473" s="299">
        <f t="shared" si="92"/>
        <v>-21154.320000000003</v>
      </c>
      <c r="G473" s="299">
        <f t="shared" si="93"/>
        <v>138785.16</v>
      </c>
      <c r="H473" s="301">
        <f t="shared" si="94"/>
        <v>-0.15242494226327949</v>
      </c>
      <c r="I473" s="299"/>
    </row>
    <row r="474" spans="2:9" x14ac:dyDescent="0.25">
      <c r="B474" s="546">
        <v>42548</v>
      </c>
      <c r="C474" s="298">
        <v>8978</v>
      </c>
      <c r="D474" s="547">
        <v>16.943300000000001</v>
      </c>
      <c r="E474" s="299">
        <v>13.66</v>
      </c>
      <c r="F474" s="299">
        <f t="shared" si="92"/>
        <v>-29477.467400000005</v>
      </c>
      <c r="G474" s="299">
        <f t="shared" si="93"/>
        <v>152116.9474</v>
      </c>
      <c r="H474" s="301">
        <f t="shared" si="94"/>
        <v>-0.19378161279089673</v>
      </c>
      <c r="I474" s="299"/>
    </row>
    <row r="475" spans="2:9" x14ac:dyDescent="0.25">
      <c r="B475" s="546">
        <v>42548</v>
      </c>
      <c r="C475" s="298">
        <v>9278</v>
      </c>
      <c r="D475" s="547">
        <v>16.834599999999998</v>
      </c>
      <c r="E475" s="299">
        <v>13.66</v>
      </c>
      <c r="F475" s="299">
        <f t="shared" si="92"/>
        <v>-29453.938799999982</v>
      </c>
      <c r="G475" s="299">
        <f t="shared" si="93"/>
        <v>156191.41879999998</v>
      </c>
      <c r="H475" s="300">
        <f t="shared" si="94"/>
        <v>-0.18857590913951019</v>
      </c>
      <c r="I475" s="299"/>
    </row>
    <row r="476" spans="2:9" x14ac:dyDescent="0.25">
      <c r="B476" s="546">
        <v>42549</v>
      </c>
      <c r="C476" s="298">
        <v>8178</v>
      </c>
      <c r="D476" s="547">
        <v>17.124400000000001</v>
      </c>
      <c r="E476" s="299">
        <v>14.78</v>
      </c>
      <c r="F476" s="299">
        <f t="shared" si="92"/>
        <v>-19172.503200000017</v>
      </c>
      <c r="G476" s="299">
        <f t="shared" si="93"/>
        <v>140043.3432</v>
      </c>
      <c r="H476" s="300">
        <f t="shared" si="94"/>
        <v>-0.13690406671182651</v>
      </c>
      <c r="I476" s="299">
        <v>17</v>
      </c>
    </row>
    <row r="477" spans="2:9" x14ac:dyDescent="0.25">
      <c r="B477" s="546">
        <v>42552</v>
      </c>
      <c r="C477" s="298">
        <v>7678</v>
      </c>
      <c r="D477" s="547">
        <v>17.2315</v>
      </c>
      <c r="E477" s="299">
        <v>15.48</v>
      </c>
      <c r="F477" s="299">
        <f t="shared" si="92"/>
        <v>-13448.017</v>
      </c>
      <c r="G477" s="299">
        <f t="shared" si="93"/>
        <v>132303.45699999999</v>
      </c>
      <c r="H477" s="300">
        <f t="shared" si="94"/>
        <v>-0.1016452427240809</v>
      </c>
      <c r="I477" s="299">
        <v>17</v>
      </c>
    </row>
    <row r="478" spans="2:9" ht="15" customHeight="1" x14ac:dyDescent="0.25">
      <c r="B478" s="546">
        <v>42552</v>
      </c>
      <c r="C478" s="298">
        <v>7300</v>
      </c>
      <c r="D478" s="547">
        <v>17.313400000000001</v>
      </c>
      <c r="E478" s="299">
        <v>15.65</v>
      </c>
      <c r="F478" s="299">
        <f t="shared" si="92"/>
        <v>-12142.820000000009</v>
      </c>
      <c r="G478" s="299">
        <f t="shared" si="93"/>
        <v>126387.82</v>
      </c>
      <c r="H478" s="300">
        <f t="shared" si="94"/>
        <v>-9.6075871868032903E-2</v>
      </c>
      <c r="I478" s="299"/>
    </row>
    <row r="479" spans="2:9" x14ac:dyDescent="0.25">
      <c r="B479" s="546">
        <v>42552</v>
      </c>
      <c r="C479" s="298">
        <v>6800</v>
      </c>
      <c r="D479" s="547">
        <v>17.446100000000001</v>
      </c>
      <c r="E479" s="299">
        <v>15.7</v>
      </c>
      <c r="F479" s="299">
        <f t="shared" ref="F479:F500" si="95">C479*(E479-D479)</f>
        <v>-11873.480000000014</v>
      </c>
      <c r="G479" s="299">
        <f t="shared" ref="G479:G500" si="96">IF(C479=0, 0,D479*C479)</f>
        <v>118633.48000000001</v>
      </c>
      <c r="H479" s="300">
        <f t="shared" ref="H479:H500" si="97">IF(C479=0, D479, (E479-D479)/D479)</f>
        <v>-0.10008540590733757</v>
      </c>
      <c r="I479" s="299"/>
    </row>
    <row r="480" spans="2:9" x14ac:dyDescent="0.25">
      <c r="B480" s="546">
        <v>42552</v>
      </c>
      <c r="C480" s="298">
        <v>6000</v>
      </c>
      <c r="D480" s="547">
        <v>17.668199999999999</v>
      </c>
      <c r="E480" s="299">
        <v>15.68</v>
      </c>
      <c r="F480" s="299">
        <f t="shared" si="95"/>
        <v>-11929.199999999995</v>
      </c>
      <c r="G480" s="299">
        <f t="shared" si="96"/>
        <v>106009.2</v>
      </c>
      <c r="H480" s="300">
        <f t="shared" si="97"/>
        <v>-0.11252985589929926</v>
      </c>
      <c r="I480" s="299"/>
    </row>
    <row r="481" spans="2:9" x14ac:dyDescent="0.25">
      <c r="B481" s="546">
        <v>42556</v>
      </c>
      <c r="C481" s="298">
        <v>8178</v>
      </c>
      <c r="D481" s="547">
        <v>16.978899999999999</v>
      </c>
      <c r="E481" s="299">
        <v>14.72</v>
      </c>
      <c r="F481" s="299">
        <f t="shared" si="95"/>
        <v>-18473.284199999991</v>
      </c>
      <c r="G481" s="299">
        <f t="shared" si="96"/>
        <v>138853.4442</v>
      </c>
      <c r="H481" s="300">
        <f t="shared" si="97"/>
        <v>-0.13304159869013887</v>
      </c>
      <c r="I481" s="299">
        <v>16.75</v>
      </c>
    </row>
    <row r="482" spans="2:9" x14ac:dyDescent="0.25">
      <c r="B482" s="546">
        <v>42556</v>
      </c>
      <c r="C482" s="298">
        <v>8678</v>
      </c>
      <c r="D482" s="547">
        <v>16.843</v>
      </c>
      <c r="E482" s="299">
        <v>14.72</v>
      </c>
      <c r="F482" s="299">
        <f t="shared" si="95"/>
        <v>-18423.393999999993</v>
      </c>
      <c r="G482" s="299">
        <f t="shared" si="96"/>
        <v>146163.554</v>
      </c>
      <c r="H482" s="300">
        <f t="shared" si="97"/>
        <v>-0.12604642878347083</v>
      </c>
      <c r="I482" s="299"/>
    </row>
    <row r="483" spans="2:9" x14ac:dyDescent="0.25">
      <c r="B483" s="546">
        <v>42557</v>
      </c>
      <c r="C483" s="298">
        <v>8178</v>
      </c>
      <c r="D483" s="547">
        <v>16.960599999999999</v>
      </c>
      <c r="E483" s="299">
        <v>14.84</v>
      </c>
      <c r="F483" s="299">
        <f t="shared" si="95"/>
        <v>-17342.266799999998</v>
      </c>
      <c r="G483" s="299">
        <f t="shared" si="96"/>
        <v>138703.7868</v>
      </c>
      <c r="H483" s="300">
        <f t="shared" si="97"/>
        <v>-0.12503095409360515</v>
      </c>
      <c r="I483" s="299">
        <v>16.75</v>
      </c>
    </row>
    <row r="484" spans="2:9" x14ac:dyDescent="0.25">
      <c r="B484" s="546">
        <v>42557</v>
      </c>
      <c r="C484" s="298">
        <v>8678</v>
      </c>
      <c r="D484" s="547">
        <v>16.835000000000001</v>
      </c>
      <c r="E484" s="299">
        <v>14.84</v>
      </c>
      <c r="F484" s="299">
        <f t="shared" si="95"/>
        <v>-17312.610000000008</v>
      </c>
      <c r="G484" s="299">
        <f t="shared" si="96"/>
        <v>146094.13</v>
      </c>
      <c r="H484" s="300">
        <f t="shared" si="97"/>
        <v>-0.11850311850311855</v>
      </c>
      <c r="I484" s="299"/>
    </row>
    <row r="485" spans="2:9" x14ac:dyDescent="0.25">
      <c r="B485" s="546">
        <v>42559</v>
      </c>
      <c r="C485" s="298">
        <v>8678</v>
      </c>
      <c r="D485" s="547">
        <v>16.835000000000001</v>
      </c>
      <c r="E485" s="299">
        <v>14.92</v>
      </c>
      <c r="F485" s="299">
        <f t="shared" si="95"/>
        <v>-16618.370000000006</v>
      </c>
      <c r="G485" s="299">
        <f t="shared" si="96"/>
        <v>146094.13</v>
      </c>
      <c r="H485" s="300">
        <f t="shared" si="97"/>
        <v>-0.1137511137511138</v>
      </c>
      <c r="I485" s="299"/>
    </row>
    <row r="486" spans="2:9" x14ac:dyDescent="0.25">
      <c r="B486" s="546">
        <v>42562</v>
      </c>
      <c r="C486" s="298">
        <v>8678</v>
      </c>
      <c r="D486" s="547">
        <v>16.835000000000001</v>
      </c>
      <c r="E486" s="299">
        <v>14.69</v>
      </c>
      <c r="F486" s="299">
        <f t="shared" si="95"/>
        <v>-18614.310000000012</v>
      </c>
      <c r="G486" s="299">
        <f t="shared" si="96"/>
        <v>146094.13</v>
      </c>
      <c r="H486" s="300">
        <f t="shared" si="97"/>
        <v>-0.12741312741312749</v>
      </c>
      <c r="I486" s="299"/>
    </row>
    <row r="487" spans="2:9" ht="15" customHeight="1" x14ac:dyDescent="0.25">
      <c r="B487" s="546">
        <v>42563</v>
      </c>
      <c r="C487" s="298">
        <v>8678</v>
      </c>
      <c r="D487" s="547">
        <v>16.835000000000001</v>
      </c>
      <c r="E487" s="299">
        <v>15.6</v>
      </c>
      <c r="F487" s="299">
        <f t="shared" si="95"/>
        <v>-10717.330000000011</v>
      </c>
      <c r="G487" s="299">
        <f t="shared" si="96"/>
        <v>146094.13</v>
      </c>
      <c r="H487" s="300">
        <f t="shared" si="97"/>
        <v>-7.3359073359073421E-2</v>
      </c>
      <c r="I487" s="299"/>
    </row>
    <row r="488" spans="2:9" x14ac:dyDescent="0.25">
      <c r="B488" s="546">
        <v>42564</v>
      </c>
      <c r="C488" s="298">
        <v>8738</v>
      </c>
      <c r="D488" s="547">
        <v>16.816099999999999</v>
      </c>
      <c r="E488" s="299">
        <v>15.29</v>
      </c>
      <c r="F488" s="299">
        <f t="shared" si="95"/>
        <v>-13335.061799999996</v>
      </c>
      <c r="G488" s="299">
        <f t="shared" si="96"/>
        <v>146939.08179999999</v>
      </c>
      <c r="H488" s="300">
        <f t="shared" si="97"/>
        <v>-9.0752314745987453E-2</v>
      </c>
      <c r="I488" s="299"/>
    </row>
    <row r="489" spans="2:9" x14ac:dyDescent="0.25">
      <c r="B489" s="546">
        <v>42566</v>
      </c>
      <c r="C489" s="298">
        <v>8738</v>
      </c>
      <c r="D489" s="547">
        <v>16.816099999999999</v>
      </c>
      <c r="E489" s="299">
        <v>15.21</v>
      </c>
      <c r="F489" s="299">
        <f t="shared" si="95"/>
        <v>-14034.101799999982</v>
      </c>
      <c r="G489" s="299">
        <f t="shared" si="96"/>
        <v>146939.08179999999</v>
      </c>
      <c r="H489" s="300">
        <f t="shared" si="97"/>
        <v>-9.5509660384988079E-2</v>
      </c>
      <c r="I489" s="299"/>
    </row>
    <row r="490" spans="2:9" x14ac:dyDescent="0.25">
      <c r="B490" s="546">
        <v>42570</v>
      </c>
      <c r="C490" s="298">
        <v>9138</v>
      </c>
      <c r="D490" s="547">
        <v>16.733499999999999</v>
      </c>
      <c r="E490" s="299">
        <v>14.75</v>
      </c>
      <c r="F490" s="299">
        <f t="shared" si="95"/>
        <v>-18125.222999999994</v>
      </c>
      <c r="G490" s="299">
        <f t="shared" si="96"/>
        <v>152910.723</v>
      </c>
      <c r="H490" s="300">
        <f t="shared" si="97"/>
        <v>-0.1185346759494427</v>
      </c>
      <c r="I490" s="299"/>
    </row>
    <row r="491" spans="2:9" x14ac:dyDescent="0.25">
      <c r="B491" s="546">
        <v>42571</v>
      </c>
      <c r="C491" s="319">
        <v>9138</v>
      </c>
      <c r="D491" s="548">
        <v>16.7227</v>
      </c>
      <c r="E491" s="299">
        <v>14.84</v>
      </c>
      <c r="F491" s="299">
        <f t="shared" si="95"/>
        <v>-17204.112599999997</v>
      </c>
      <c r="G491" s="299">
        <f t="shared" si="96"/>
        <v>152812.03260000001</v>
      </c>
      <c r="H491" s="300">
        <f t="shared" si="97"/>
        <v>-0.11258349429218965</v>
      </c>
      <c r="I491" s="299"/>
    </row>
    <row r="492" spans="2:9" x14ac:dyDescent="0.25">
      <c r="B492" s="546">
        <v>42572</v>
      </c>
      <c r="C492" s="298">
        <v>9138</v>
      </c>
      <c r="D492" s="547">
        <v>16.718900000000001</v>
      </c>
      <c r="E492" s="299">
        <v>14.42</v>
      </c>
      <c r="F492" s="299">
        <f t="shared" si="95"/>
        <v>-21007.348200000015</v>
      </c>
      <c r="G492" s="299">
        <f t="shared" si="96"/>
        <v>152777.3082</v>
      </c>
      <c r="H492" s="300">
        <f t="shared" si="97"/>
        <v>-0.13750306539305823</v>
      </c>
      <c r="I492" s="299"/>
    </row>
    <row r="493" spans="2:9" x14ac:dyDescent="0.25">
      <c r="B493" s="546">
        <v>42573</v>
      </c>
      <c r="C493" s="298">
        <v>9278</v>
      </c>
      <c r="D493" s="547">
        <v>16.679099999999998</v>
      </c>
      <c r="E493" s="299">
        <v>14.11</v>
      </c>
      <c r="F493" s="299">
        <f t="shared" si="95"/>
        <v>-23836.109799999987</v>
      </c>
      <c r="G493" s="299">
        <f t="shared" si="96"/>
        <v>154748.68979999999</v>
      </c>
      <c r="H493" s="300">
        <f t="shared" si="97"/>
        <v>-0.15403109280476759</v>
      </c>
      <c r="I493" s="299"/>
    </row>
    <row r="494" spans="2:9" x14ac:dyDescent="0.25">
      <c r="B494" s="546">
        <v>42576</v>
      </c>
      <c r="C494" s="298">
        <v>9478</v>
      </c>
      <c r="D494" s="547">
        <v>16.613099999999999</v>
      </c>
      <c r="E494" s="299">
        <v>13.58</v>
      </c>
      <c r="F494" s="299">
        <f t="shared" si="95"/>
        <v>-28747.721799999992</v>
      </c>
      <c r="G494" s="299">
        <f t="shared" si="96"/>
        <v>157458.96179999999</v>
      </c>
      <c r="H494" s="300">
        <f t="shared" si="97"/>
        <v>-0.18257278894366491</v>
      </c>
      <c r="I494" s="299"/>
    </row>
    <row r="495" spans="2:9" x14ac:dyDescent="0.25">
      <c r="B495" s="546">
        <v>42577</v>
      </c>
      <c r="C495" s="319">
        <v>9278</v>
      </c>
      <c r="D495" s="548">
        <v>16.674199999999999</v>
      </c>
      <c r="E495" s="299">
        <v>13.78</v>
      </c>
      <c r="F495" s="299">
        <f t="shared" si="95"/>
        <v>-26852.387599999998</v>
      </c>
      <c r="G495" s="299">
        <f t="shared" si="96"/>
        <v>154703.22759999998</v>
      </c>
      <c r="H495" s="300">
        <f t="shared" si="97"/>
        <v>-0.17357354475776948</v>
      </c>
      <c r="I495" s="299">
        <v>16.53</v>
      </c>
    </row>
    <row r="496" spans="2:9" x14ac:dyDescent="0.25">
      <c r="B496" s="546">
        <v>42578</v>
      </c>
      <c r="C496" s="319">
        <v>9478</v>
      </c>
      <c r="D496" s="548">
        <v>16.6004</v>
      </c>
      <c r="E496" s="299">
        <v>13.13</v>
      </c>
      <c r="F496" s="299">
        <f t="shared" si="95"/>
        <v>-32892.451199999996</v>
      </c>
      <c r="G496" s="299">
        <f t="shared" si="96"/>
        <v>157338.5912</v>
      </c>
      <c r="H496" s="300">
        <f t="shared" si="97"/>
        <v>-0.20905520348907253</v>
      </c>
      <c r="I496" s="299"/>
    </row>
    <row r="497" spans="2:9" x14ac:dyDescent="0.25">
      <c r="B497" s="546">
        <v>42580</v>
      </c>
      <c r="C497" s="298">
        <v>9478</v>
      </c>
      <c r="D497" s="547">
        <v>16.599</v>
      </c>
      <c r="E497" s="299">
        <v>13.64</v>
      </c>
      <c r="F497" s="299">
        <f t="shared" si="95"/>
        <v>-28045.401999999998</v>
      </c>
      <c r="G497" s="299">
        <f t="shared" si="96"/>
        <v>157325.32200000001</v>
      </c>
      <c r="H497" s="301">
        <f t="shared" si="97"/>
        <v>-0.17826375082836313</v>
      </c>
      <c r="I497" s="299"/>
    </row>
    <row r="498" spans="2:9" x14ac:dyDescent="0.25">
      <c r="B498" s="546">
        <v>42580</v>
      </c>
      <c r="C498" s="298">
        <v>9278</v>
      </c>
      <c r="D498" s="547">
        <v>16.664000000000001</v>
      </c>
      <c r="E498" s="299">
        <v>13.64</v>
      </c>
      <c r="F498" s="299">
        <f t="shared" si="95"/>
        <v>-28056.67200000001</v>
      </c>
      <c r="G498" s="299">
        <f t="shared" si="96"/>
        <v>154608.592</v>
      </c>
      <c r="H498" s="301">
        <f t="shared" si="97"/>
        <v>-0.18146903504560732</v>
      </c>
      <c r="I498" s="299">
        <v>16.53</v>
      </c>
    </row>
    <row r="499" spans="2:9" x14ac:dyDescent="0.25">
      <c r="B499" s="546">
        <v>42583</v>
      </c>
      <c r="C499" s="298">
        <v>9478</v>
      </c>
      <c r="D499" s="547">
        <v>16.5871</v>
      </c>
      <c r="E499" s="299">
        <v>12.92</v>
      </c>
      <c r="F499" s="299">
        <f t="shared" si="95"/>
        <v>-34756.773799999995</v>
      </c>
      <c r="G499" s="299">
        <f t="shared" si="96"/>
        <v>157212.5338</v>
      </c>
      <c r="H499" s="301">
        <f t="shared" si="97"/>
        <v>-0.22108144280796521</v>
      </c>
      <c r="I499" s="299"/>
    </row>
    <row r="500" spans="2:9" x14ac:dyDescent="0.25">
      <c r="B500" s="546">
        <v>42584</v>
      </c>
      <c r="C500" s="298">
        <v>9678</v>
      </c>
      <c r="D500" s="547">
        <v>16.5063</v>
      </c>
      <c r="E500" s="299">
        <v>12.9</v>
      </c>
      <c r="F500" s="299">
        <f t="shared" si="95"/>
        <v>-34901.771399999991</v>
      </c>
      <c r="G500" s="299">
        <f t="shared" si="96"/>
        <v>159747.97140000001</v>
      </c>
      <c r="H500" s="301">
        <f t="shared" si="97"/>
        <v>-0.21848021664455386</v>
      </c>
      <c r="I500" s="299"/>
    </row>
    <row r="501" spans="2:9" x14ac:dyDescent="0.25">
      <c r="B501" s="546">
        <v>42585</v>
      </c>
      <c r="C501" s="298">
        <v>10078</v>
      </c>
      <c r="D501" s="547">
        <v>16.5063</v>
      </c>
      <c r="E501" s="299">
        <v>12.9</v>
      </c>
      <c r="F501" s="299">
        <f t="shared" ref="F501:F516" si="98">C501*(E501-D501)</f>
        <v>-36344.291399999995</v>
      </c>
      <c r="G501" s="299">
        <f t="shared" ref="G501:G516" si="99">IF(C501=0, 0,D501*C501)</f>
        <v>166350.4914</v>
      </c>
      <c r="H501" s="301">
        <f t="shared" ref="H501:H516" si="100">IF(C501=0, D501, (E501-D501)/D501)</f>
        <v>-0.21848021664455386</v>
      </c>
      <c r="I501" s="299"/>
    </row>
    <row r="502" spans="2:9" x14ac:dyDescent="0.25">
      <c r="B502" s="546">
        <v>42586</v>
      </c>
      <c r="C502" s="298">
        <v>9678</v>
      </c>
      <c r="D502" s="547">
        <v>16.489799999999999</v>
      </c>
      <c r="E502" s="299">
        <v>13.41</v>
      </c>
      <c r="F502" s="299">
        <f t="shared" si="98"/>
        <v>-29806.304399999986</v>
      </c>
      <c r="G502" s="299">
        <f t="shared" si="99"/>
        <v>159588.28439999997</v>
      </c>
      <c r="H502" s="301">
        <f t="shared" si="100"/>
        <v>-0.1867700032747516</v>
      </c>
      <c r="I502" s="299"/>
    </row>
    <row r="503" spans="2:9" x14ac:dyDescent="0.25">
      <c r="B503" s="546">
        <v>42586</v>
      </c>
      <c r="C503" s="298">
        <v>9278</v>
      </c>
      <c r="D503" s="547">
        <v>16.609200000000001</v>
      </c>
      <c r="E503" s="299">
        <v>13.66</v>
      </c>
      <c r="F503" s="299">
        <f t="shared" si="98"/>
        <v>-27362.67760000001</v>
      </c>
      <c r="G503" s="299">
        <f t="shared" si="99"/>
        <v>154100.15760000001</v>
      </c>
      <c r="H503" s="301">
        <f t="shared" si="100"/>
        <v>-0.17756424150470829</v>
      </c>
      <c r="I503" s="299">
        <v>16.53</v>
      </c>
    </row>
    <row r="504" spans="2:9" x14ac:dyDescent="0.25">
      <c r="B504" s="546">
        <v>42586</v>
      </c>
      <c r="C504" s="298">
        <v>9138</v>
      </c>
      <c r="D504" s="547">
        <v>16.6511</v>
      </c>
      <c r="E504" s="299">
        <v>13.87</v>
      </c>
      <c r="F504" s="299">
        <f t="shared" si="98"/>
        <v>-25413.691800000004</v>
      </c>
      <c r="G504" s="299">
        <f t="shared" si="99"/>
        <v>152157.7518</v>
      </c>
      <c r="H504" s="300">
        <f t="shared" si="100"/>
        <v>-0.1670219985466426</v>
      </c>
      <c r="I504" s="299"/>
    </row>
    <row r="505" spans="2:9" x14ac:dyDescent="0.25">
      <c r="B505" s="546">
        <v>42593</v>
      </c>
      <c r="C505" s="298">
        <v>8678</v>
      </c>
      <c r="D505" s="547">
        <v>16.760300000000001</v>
      </c>
      <c r="E505" s="299">
        <v>14.61</v>
      </c>
      <c r="F505" s="299">
        <f t="shared" si="98"/>
        <v>-18660.303400000012</v>
      </c>
      <c r="G505" s="299">
        <f t="shared" si="99"/>
        <v>145445.88340000002</v>
      </c>
      <c r="H505" s="300">
        <f t="shared" si="100"/>
        <v>-0.12829722618330228</v>
      </c>
      <c r="I505" s="299"/>
    </row>
    <row r="506" spans="2:9" x14ac:dyDescent="0.25">
      <c r="B506" s="546">
        <v>42597</v>
      </c>
      <c r="C506" s="298">
        <v>8678</v>
      </c>
      <c r="D506" s="547">
        <v>16.7471</v>
      </c>
      <c r="E506" s="299">
        <v>14.9</v>
      </c>
      <c r="F506" s="299">
        <f t="shared" si="98"/>
        <v>-16029.133799999994</v>
      </c>
      <c r="G506" s="299">
        <f t="shared" si="99"/>
        <v>145331.33379999999</v>
      </c>
      <c r="H506" s="300">
        <f t="shared" si="100"/>
        <v>-0.11029372249523794</v>
      </c>
      <c r="I506" s="299"/>
    </row>
    <row r="507" spans="2:9" x14ac:dyDescent="0.25">
      <c r="B507" s="546">
        <v>42598</v>
      </c>
      <c r="C507" s="298">
        <v>8178</v>
      </c>
      <c r="D507" s="547">
        <v>16.8429</v>
      </c>
      <c r="E507" s="299">
        <v>15.17</v>
      </c>
      <c r="F507" s="299">
        <f t="shared" si="98"/>
        <v>-13680.976200000003</v>
      </c>
      <c r="G507" s="299">
        <f t="shared" si="99"/>
        <v>137741.23620000001</v>
      </c>
      <c r="H507" s="300">
        <f t="shared" si="100"/>
        <v>-9.9323750660515728E-2</v>
      </c>
      <c r="I507" s="299">
        <v>16.75</v>
      </c>
    </row>
    <row r="508" spans="2:9" x14ac:dyDescent="0.25">
      <c r="B508" s="546">
        <v>42599</v>
      </c>
      <c r="C508" s="298">
        <v>7178</v>
      </c>
      <c r="D508" s="547">
        <v>17.009899999999998</v>
      </c>
      <c r="E508" s="299">
        <v>15.7</v>
      </c>
      <c r="F508" s="299">
        <f t="shared" si="98"/>
        <v>-9402.4621999999927</v>
      </c>
      <c r="G508" s="299">
        <f t="shared" si="99"/>
        <v>122097.06219999999</v>
      </c>
      <c r="H508" s="300">
        <f t="shared" si="100"/>
        <v>-7.7008095285686515E-2</v>
      </c>
      <c r="I508" s="299"/>
    </row>
    <row r="509" spans="2:9" x14ac:dyDescent="0.25">
      <c r="B509" s="546">
        <v>42600</v>
      </c>
      <c r="C509" s="298">
        <v>5500</v>
      </c>
      <c r="D509" s="547">
        <v>17.185600000000001</v>
      </c>
      <c r="E509" s="299">
        <v>16.68</v>
      </c>
      <c r="F509" s="299">
        <f t="shared" si="98"/>
        <v>-2780.8000000000065</v>
      </c>
      <c r="G509" s="299">
        <f t="shared" si="99"/>
        <v>94520.8</v>
      </c>
      <c r="H509" s="300">
        <f t="shared" si="100"/>
        <v>-2.9419979517735846E-2</v>
      </c>
      <c r="I509" s="299"/>
    </row>
    <row r="510" spans="2:9" x14ac:dyDescent="0.25">
      <c r="B510" s="546">
        <v>42601</v>
      </c>
      <c r="C510" s="298">
        <v>5000</v>
      </c>
      <c r="D510" s="547">
        <v>17.222200000000001</v>
      </c>
      <c r="E510" s="299">
        <v>16.8</v>
      </c>
      <c r="F510" s="299">
        <f t="shared" si="98"/>
        <v>-2111.0000000000005</v>
      </c>
      <c r="G510" s="299">
        <f t="shared" si="99"/>
        <v>86111</v>
      </c>
      <c r="H510" s="300">
        <f t="shared" si="100"/>
        <v>-2.4514870341768188E-2</v>
      </c>
      <c r="I510" s="299"/>
    </row>
    <row r="511" spans="2:9" x14ac:dyDescent="0.25">
      <c r="B511" s="546">
        <v>42604</v>
      </c>
      <c r="C511" s="298">
        <v>6000</v>
      </c>
      <c r="D511" s="547">
        <v>16.9651</v>
      </c>
      <c r="E511" s="299">
        <v>15.64</v>
      </c>
      <c r="F511" s="299">
        <f t="shared" si="98"/>
        <v>-7950.599999999994</v>
      </c>
      <c r="G511" s="299">
        <f t="shared" si="99"/>
        <v>101790.59999999999</v>
      </c>
      <c r="H511" s="300">
        <f t="shared" si="100"/>
        <v>-7.8107408739117312E-2</v>
      </c>
      <c r="I511" s="299"/>
    </row>
    <row r="512" spans="2:9" ht="15" customHeight="1" x14ac:dyDescent="0.25">
      <c r="B512" s="546">
        <v>42604</v>
      </c>
      <c r="C512" s="298">
        <v>6500</v>
      </c>
      <c r="D512" s="547">
        <v>16.850899999999999</v>
      </c>
      <c r="E512" s="299">
        <v>15.64</v>
      </c>
      <c r="F512" s="299">
        <f t="shared" si="98"/>
        <v>-7870.8499999999922</v>
      </c>
      <c r="G512" s="299">
        <f t="shared" si="99"/>
        <v>109530.84999999999</v>
      </c>
      <c r="H512" s="300">
        <f t="shared" si="100"/>
        <v>-7.1859663282079822E-2</v>
      </c>
      <c r="I512" s="299"/>
    </row>
    <row r="513" spans="2:9" x14ac:dyDescent="0.25">
      <c r="B513" s="546">
        <v>42605</v>
      </c>
      <c r="C513" s="298">
        <v>6000</v>
      </c>
      <c r="D513" s="547">
        <v>16.923500000000001</v>
      </c>
      <c r="E513" s="299">
        <v>16.43</v>
      </c>
      <c r="F513" s="299">
        <f t="shared" si="98"/>
        <v>-2961.0000000000055</v>
      </c>
      <c r="G513" s="299">
        <f t="shared" si="99"/>
        <v>101541</v>
      </c>
      <c r="H513" s="300">
        <f t="shared" si="100"/>
        <v>-2.9160634620498178E-2</v>
      </c>
      <c r="I513" s="299"/>
    </row>
    <row r="514" spans="2:9" x14ac:dyDescent="0.25">
      <c r="B514" s="546">
        <v>42605</v>
      </c>
      <c r="C514" s="298">
        <v>5500</v>
      </c>
      <c r="D514" s="547">
        <v>16.9848</v>
      </c>
      <c r="E514" s="299">
        <v>16.43</v>
      </c>
      <c r="F514" s="299">
        <f t="shared" si="98"/>
        <v>-3051.400000000001</v>
      </c>
      <c r="G514" s="299">
        <f t="shared" si="99"/>
        <v>93416.4</v>
      </c>
      <c r="H514" s="300">
        <f t="shared" si="100"/>
        <v>-3.266450002355048E-2</v>
      </c>
      <c r="I514" s="299"/>
    </row>
    <row r="515" spans="2:9" x14ac:dyDescent="0.25">
      <c r="B515" s="546">
        <v>42605</v>
      </c>
      <c r="C515" s="298">
        <v>5000</v>
      </c>
      <c r="D515" s="547">
        <v>17.035299999999999</v>
      </c>
      <c r="E515" s="299">
        <v>16.43</v>
      </c>
      <c r="F515" s="299">
        <f t="shared" si="98"/>
        <v>-3026.4999999999986</v>
      </c>
      <c r="G515" s="299">
        <f t="shared" si="99"/>
        <v>85176.5</v>
      </c>
      <c r="H515" s="300">
        <f t="shared" si="100"/>
        <v>-3.5532100990296606E-2</v>
      </c>
      <c r="I515" s="299"/>
    </row>
    <row r="516" spans="2:9" x14ac:dyDescent="0.25">
      <c r="B516" s="546">
        <v>42606</v>
      </c>
      <c r="C516" s="298">
        <v>5178</v>
      </c>
      <c r="D516" s="547">
        <v>17.0017</v>
      </c>
      <c r="E516" s="299">
        <v>16.059999999999999</v>
      </c>
      <c r="F516" s="299">
        <f t="shared" si="98"/>
        <v>-4876.1226000000042</v>
      </c>
      <c r="G516" s="299">
        <f t="shared" si="99"/>
        <v>88034.802599999995</v>
      </c>
      <c r="H516" s="300">
        <f t="shared" si="100"/>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101">C519*(E519-D519)</f>
        <v>-5163.5724000000046</v>
      </c>
      <c r="G519" s="299">
        <f t="shared" ref="G519:G524" si="102">IF(C519=0, 0,D519*C519)</f>
        <v>103949.79240000001</v>
      </c>
      <c r="H519" s="300">
        <f t="shared" ref="H519:H524" si="103">IF(C519=0, D519, (E519-D519)/D519)</f>
        <v>-4.9673715365688452E-2</v>
      </c>
      <c r="I519" s="299"/>
    </row>
    <row r="520" spans="2:9" x14ac:dyDescent="0.25">
      <c r="B520" s="546">
        <v>42612</v>
      </c>
      <c r="C520" s="298">
        <v>6678</v>
      </c>
      <c r="D520" s="547">
        <v>16.739999999999998</v>
      </c>
      <c r="E520" s="299">
        <v>15.55</v>
      </c>
      <c r="F520" s="377">
        <f t="shared" si="101"/>
        <v>-7946.8199999999852</v>
      </c>
      <c r="G520" s="299">
        <f t="shared" si="102"/>
        <v>111789.71999999999</v>
      </c>
      <c r="H520" s="301">
        <f t="shared" si="103"/>
        <v>-7.1087216248506446E-2</v>
      </c>
      <c r="I520" s="318"/>
    </row>
    <row r="521" spans="2:9" x14ac:dyDescent="0.25">
      <c r="B521" s="546">
        <v>42612</v>
      </c>
      <c r="C521" s="298">
        <v>7178</v>
      </c>
      <c r="D521" s="547">
        <v>16.6571</v>
      </c>
      <c r="E521" s="299">
        <v>15.55</v>
      </c>
      <c r="F521" s="299">
        <f t="shared" si="101"/>
        <v>-7946.7637999999934</v>
      </c>
      <c r="G521" s="299">
        <f t="shared" si="102"/>
        <v>119564.66379999999</v>
      </c>
      <c r="H521" s="300">
        <f t="shared" si="103"/>
        <v>-6.6464150422342369E-2</v>
      </c>
      <c r="I521" s="299"/>
    </row>
    <row r="522" spans="2:9" x14ac:dyDescent="0.25">
      <c r="B522" s="546">
        <v>42613</v>
      </c>
      <c r="C522" s="298">
        <v>7678</v>
      </c>
      <c r="D522" s="547">
        <v>16.565200000000001</v>
      </c>
      <c r="E522" s="299">
        <v>15.02</v>
      </c>
      <c r="F522" s="299">
        <f t="shared" si="101"/>
        <v>-11864.04560000001</v>
      </c>
      <c r="G522" s="299">
        <f t="shared" si="102"/>
        <v>127187.60560000001</v>
      </c>
      <c r="H522" s="300">
        <f t="shared" si="103"/>
        <v>-9.3279887957887692E-2</v>
      </c>
      <c r="I522" s="299" t="s">
        <v>252</v>
      </c>
    </row>
    <row r="523" spans="2:9" x14ac:dyDescent="0.25">
      <c r="B523" s="546">
        <v>42613</v>
      </c>
      <c r="C523" s="298">
        <v>8178</v>
      </c>
      <c r="D523" s="547">
        <v>16.474399999999999</v>
      </c>
      <c r="E523" s="299">
        <v>15.02</v>
      </c>
      <c r="F523" s="299">
        <f t="shared" si="101"/>
        <v>-11894.083199999997</v>
      </c>
      <c r="G523" s="299">
        <f t="shared" si="102"/>
        <v>134727.64319999999</v>
      </c>
      <c r="H523" s="300">
        <f t="shared" si="103"/>
        <v>-8.8282426067110162E-2</v>
      </c>
      <c r="I523" s="299" t="s">
        <v>253</v>
      </c>
    </row>
    <row r="524" spans="2:9" x14ac:dyDescent="0.25">
      <c r="B524" s="546">
        <v>42615</v>
      </c>
      <c r="C524" s="298">
        <v>7678</v>
      </c>
      <c r="D524" s="547">
        <v>16.528099999999998</v>
      </c>
      <c r="E524" s="299">
        <v>15.49</v>
      </c>
      <c r="F524" s="299">
        <f t="shared" si="101"/>
        <v>-7970.5317999999861</v>
      </c>
      <c r="G524" s="299">
        <f t="shared" si="102"/>
        <v>126902.75179999998</v>
      </c>
      <c r="H524" s="300">
        <f t="shared" si="103"/>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104">C530*(E530-D530)</f>
        <v>-5839.4414759999936</v>
      </c>
      <c r="G530" s="299">
        <f t="shared" ref="G530:G536" si="105">IF(C530=0, 0,D530*C530)</f>
        <v>126153.70147599999</v>
      </c>
      <c r="H530" s="300">
        <f t="shared" ref="H530:H536" si="106">IF(C530=0, D530, (E530-D530)/D530)</f>
        <v>-4.6288308687564853E-2</v>
      </c>
      <c r="I530" s="299">
        <v>16.350000000000001</v>
      </c>
    </row>
    <row r="531" spans="2:9" x14ac:dyDescent="0.25">
      <c r="B531" s="546">
        <v>42625</v>
      </c>
      <c r="C531" s="319">
        <v>7678</v>
      </c>
      <c r="D531" s="548">
        <v>16.412330000000001</v>
      </c>
      <c r="E531" s="299">
        <v>15.47</v>
      </c>
      <c r="F531" s="299">
        <f t="shared" si="104"/>
        <v>-7235.2097400000011</v>
      </c>
      <c r="G531" s="299">
        <f t="shared" si="105"/>
        <v>126013.86974000001</v>
      </c>
      <c r="H531" s="300">
        <f t="shared" si="106"/>
        <v>-5.7415979327737135E-2</v>
      </c>
      <c r="I531" s="299"/>
    </row>
    <row r="532" spans="2:9" x14ac:dyDescent="0.25">
      <c r="B532" s="546">
        <v>42625</v>
      </c>
      <c r="C532" s="319">
        <v>7678</v>
      </c>
      <c r="D532" s="548">
        <v>16.355817999999999</v>
      </c>
      <c r="E532" s="299">
        <v>15.47</v>
      </c>
      <c r="F532" s="299">
        <f t="shared" si="104"/>
        <v>-6801.3106039999893</v>
      </c>
      <c r="G532" s="299">
        <f t="shared" si="105"/>
        <v>125579.970604</v>
      </c>
      <c r="H532" s="300">
        <f t="shared" si="106"/>
        <v>-5.4159198885680847E-2</v>
      </c>
      <c r="I532" s="299" t="s">
        <v>267</v>
      </c>
    </row>
    <row r="533" spans="2:9" x14ac:dyDescent="0.25">
      <c r="B533" s="546">
        <v>42626</v>
      </c>
      <c r="C533" s="298">
        <v>8278</v>
      </c>
      <c r="D533" s="547">
        <v>16.25066</v>
      </c>
      <c r="E533" s="299">
        <v>14.34</v>
      </c>
      <c r="F533" s="299">
        <f t="shared" si="104"/>
        <v>-15816.44348</v>
      </c>
      <c r="G533" s="299">
        <f t="shared" si="105"/>
        <v>134522.96348000001</v>
      </c>
      <c r="H533" s="301">
        <f t="shared" si="106"/>
        <v>-0.11757430159759666</v>
      </c>
      <c r="I533" s="299"/>
    </row>
    <row r="534" spans="2:9" x14ac:dyDescent="0.25">
      <c r="B534" s="546">
        <v>42626</v>
      </c>
      <c r="C534" s="298">
        <v>8678</v>
      </c>
      <c r="D534" s="547">
        <v>16.18149</v>
      </c>
      <c r="E534" s="299">
        <v>14.34</v>
      </c>
      <c r="F534" s="299">
        <f t="shared" si="104"/>
        <v>-15980.450220000002</v>
      </c>
      <c r="G534" s="299">
        <f t="shared" si="105"/>
        <v>140422.97021999999</v>
      </c>
      <c r="H534" s="301">
        <f t="shared" si="106"/>
        <v>-0.11380225183218605</v>
      </c>
      <c r="I534" s="299"/>
    </row>
    <row r="535" spans="2:9" x14ac:dyDescent="0.25">
      <c r="B535" s="546">
        <v>42626</v>
      </c>
      <c r="C535" s="298">
        <v>8978</v>
      </c>
      <c r="D535" s="547">
        <v>16.124635000000001</v>
      </c>
      <c r="E535" s="299">
        <v>14.34</v>
      </c>
      <c r="F535" s="299">
        <f t="shared" si="104"/>
        <v>-16022.453030000013</v>
      </c>
      <c r="G535" s="299">
        <f t="shared" si="105"/>
        <v>144766.97303000002</v>
      </c>
      <c r="H535" s="301">
        <f t="shared" si="106"/>
        <v>-0.11067754401882594</v>
      </c>
      <c r="I535" s="299"/>
    </row>
    <row r="536" spans="2:9" x14ac:dyDescent="0.25">
      <c r="B536" s="546">
        <v>42626</v>
      </c>
      <c r="C536" s="298">
        <v>9278</v>
      </c>
      <c r="D536" s="547">
        <v>16.064019999999999</v>
      </c>
      <c r="E536" s="299">
        <v>14.34</v>
      </c>
      <c r="F536" s="299">
        <f t="shared" si="104"/>
        <v>-15995.457559999995</v>
      </c>
      <c r="G536" s="299">
        <f t="shared" si="105"/>
        <v>149041.97756</v>
      </c>
      <c r="H536" s="301">
        <f t="shared" si="106"/>
        <v>-0.10732182853357998</v>
      </c>
      <c r="I536" s="299" t="s">
        <v>268</v>
      </c>
    </row>
    <row r="537" spans="2:9" x14ac:dyDescent="0.25">
      <c r="B537" s="546">
        <v>42627</v>
      </c>
      <c r="C537" s="298">
        <v>9478</v>
      </c>
      <c r="D537" s="547">
        <v>16.020790999999999</v>
      </c>
      <c r="E537" s="299">
        <v>14.01</v>
      </c>
      <c r="F537" s="299">
        <f t="shared" ref="F537:F544" si="107">C537*(E537-D537)</f>
        <v>-19058.277097999995</v>
      </c>
      <c r="G537" s="299">
        <f t="shared" ref="G537:G544" si="108">IF(C537=0, 0,D537*C537)</f>
        <v>151845.05709799999</v>
      </c>
      <c r="H537" s="301">
        <f t="shared" ref="H537:H544" si="109">IF(C537=0, D537, (E537-D537)/D537)</f>
        <v>-0.1255113433537707</v>
      </c>
      <c r="I537" s="299"/>
    </row>
    <row r="538" spans="2:9" x14ac:dyDescent="0.25">
      <c r="B538" s="546">
        <v>42628</v>
      </c>
      <c r="C538" s="298">
        <v>9478</v>
      </c>
      <c r="D538" s="547">
        <v>16.015726999999998</v>
      </c>
      <c r="E538" s="299">
        <v>14.26</v>
      </c>
      <c r="F538" s="299">
        <f t="shared" si="107"/>
        <v>-16640.780505999985</v>
      </c>
      <c r="G538" s="299">
        <f t="shared" si="108"/>
        <v>151797.06050599998</v>
      </c>
      <c r="H538" s="301">
        <f t="shared" si="109"/>
        <v>-0.1096251827968845</v>
      </c>
      <c r="I538" s="299"/>
    </row>
    <row r="539" spans="2:9" x14ac:dyDescent="0.25">
      <c r="B539" s="546">
        <v>42629</v>
      </c>
      <c r="C539" s="298">
        <v>9478</v>
      </c>
      <c r="D539" s="547">
        <v>16.015726999999998</v>
      </c>
      <c r="E539" s="299">
        <v>14.24</v>
      </c>
      <c r="F539" s="299">
        <f t="shared" si="107"/>
        <v>-16830.340505999982</v>
      </c>
      <c r="G539" s="299">
        <f t="shared" si="108"/>
        <v>151797.06050599998</v>
      </c>
      <c r="H539" s="301">
        <f t="shared" si="109"/>
        <v>-0.1108739553315312</v>
      </c>
      <c r="I539" s="299"/>
    </row>
    <row r="540" spans="2:9" x14ac:dyDescent="0.25">
      <c r="B540" s="546">
        <v>42632</v>
      </c>
      <c r="C540" s="298">
        <v>9678</v>
      </c>
      <c r="D540" s="547">
        <v>15.975311</v>
      </c>
      <c r="E540" s="299">
        <v>14.09</v>
      </c>
      <c r="F540" s="299">
        <f t="shared" si="107"/>
        <v>-18246.039857999996</v>
      </c>
      <c r="G540" s="299">
        <f t="shared" si="108"/>
        <v>154609.05985799999</v>
      </c>
      <c r="H540" s="300">
        <f t="shared" si="109"/>
        <v>-0.11801404054043141</v>
      </c>
      <c r="I540" s="299"/>
    </row>
    <row r="541" spans="2:9" x14ac:dyDescent="0.25">
      <c r="B541" s="546">
        <v>42633</v>
      </c>
      <c r="C541" s="298">
        <v>9878</v>
      </c>
      <c r="D541" s="547">
        <v>15.937544000000001</v>
      </c>
      <c r="E541" s="299">
        <v>13.87</v>
      </c>
      <c r="F541" s="299">
        <f t="shared" si="107"/>
        <v>-20423.199632000014</v>
      </c>
      <c r="G541" s="299">
        <f t="shared" si="108"/>
        <v>157431.05963200002</v>
      </c>
      <c r="H541" s="300">
        <f t="shared" si="109"/>
        <v>-0.12972789282966068</v>
      </c>
      <c r="I541" s="299"/>
    </row>
    <row r="542" spans="2:9" x14ac:dyDescent="0.25">
      <c r="B542" s="546">
        <v>42633</v>
      </c>
      <c r="C542" s="298">
        <v>10000</v>
      </c>
      <c r="D542" s="547">
        <v>15.915126000000001</v>
      </c>
      <c r="E542" s="299">
        <v>13.87</v>
      </c>
      <c r="F542" s="299">
        <f t="shared" si="107"/>
        <v>-20451.260000000017</v>
      </c>
      <c r="G542" s="299">
        <f t="shared" si="108"/>
        <v>159151.26</v>
      </c>
      <c r="H542" s="300">
        <f t="shared" si="109"/>
        <v>-0.12850203008132022</v>
      </c>
      <c r="I542" s="299"/>
    </row>
    <row r="543" spans="2:9" x14ac:dyDescent="0.25">
      <c r="B543" s="546">
        <v>42634</v>
      </c>
      <c r="C543" s="298">
        <v>9678</v>
      </c>
      <c r="D543" s="547">
        <v>15.969538999999999</v>
      </c>
      <c r="E543" s="299">
        <v>14.65</v>
      </c>
      <c r="F543" s="299">
        <f t="shared" si="107"/>
        <v>-12770.498441999989</v>
      </c>
      <c r="G543" s="299">
        <f t="shared" si="108"/>
        <v>154553.19844199999</v>
      </c>
      <c r="H543" s="300">
        <f t="shared" si="109"/>
        <v>-8.2628496664806608E-2</v>
      </c>
      <c r="I543" s="299"/>
    </row>
    <row r="544" spans="2:9" x14ac:dyDescent="0.25">
      <c r="B544" s="546">
        <v>42634</v>
      </c>
      <c r="C544" s="298">
        <v>9278</v>
      </c>
      <c r="D544" s="547">
        <v>16.026872999999998</v>
      </c>
      <c r="E544" s="299">
        <v>14.65</v>
      </c>
      <c r="F544" s="299">
        <f t="shared" si="107"/>
        <v>-12774.627693999981</v>
      </c>
      <c r="G544" s="299">
        <f t="shared" si="108"/>
        <v>148697.32769399998</v>
      </c>
      <c r="H544" s="300">
        <f t="shared" si="109"/>
        <v>-8.5910270830747718E-2</v>
      </c>
      <c r="I544" s="299">
        <v>16</v>
      </c>
    </row>
    <row r="545" spans="2:9" x14ac:dyDescent="0.25">
      <c r="B545" s="546">
        <v>42635</v>
      </c>
      <c r="C545" s="298">
        <v>9278</v>
      </c>
      <c r="D545" s="547">
        <v>16.026872999999998</v>
      </c>
      <c r="E545" s="299">
        <v>14.87</v>
      </c>
      <c r="F545" s="299">
        <f t="shared" ref="F545:F556" si="110">C545*(E545-D545)</f>
        <v>-10733.467693999992</v>
      </c>
      <c r="G545" s="299">
        <f t="shared" ref="G545:G556" si="111">IF(C545=0, 0,D545*C545)</f>
        <v>148697.32769399998</v>
      </c>
      <c r="H545" s="300">
        <f t="shared" ref="H545:H556" si="112">IF(C545=0, D545, (E545-D545)/D545)</f>
        <v>-7.2183326092369937E-2</v>
      </c>
      <c r="I545" s="299"/>
    </row>
    <row r="546" spans="2:9" x14ac:dyDescent="0.25">
      <c r="B546" s="546">
        <v>42636</v>
      </c>
      <c r="C546" s="298">
        <v>9478</v>
      </c>
      <c r="D546" s="547">
        <v>15.992122</v>
      </c>
      <c r="E546" s="299">
        <v>14.49</v>
      </c>
      <c r="F546" s="299">
        <f t="shared" si="110"/>
        <v>-14237.112315999999</v>
      </c>
      <c r="G546" s="299">
        <f t="shared" si="111"/>
        <v>151573.33231600001</v>
      </c>
      <c r="H546" s="300">
        <f t="shared" si="112"/>
        <v>-9.39288732289561E-2</v>
      </c>
      <c r="I546" s="299"/>
    </row>
    <row r="547" spans="2:9" x14ac:dyDescent="0.25">
      <c r="B547" s="546">
        <v>42639</v>
      </c>
      <c r="C547" s="298">
        <v>9278</v>
      </c>
      <c r="D547" s="547">
        <v>16.019549999999999</v>
      </c>
      <c r="E547" s="299">
        <v>14.41</v>
      </c>
      <c r="F547" s="299">
        <f t="shared" si="110"/>
        <v>-14933.404899999989</v>
      </c>
      <c r="G547" s="299">
        <f t="shared" si="111"/>
        <v>148629.38489999998</v>
      </c>
      <c r="H547" s="300">
        <f t="shared" si="112"/>
        <v>-0.10047410819904422</v>
      </c>
      <c r="I547" s="299">
        <v>16</v>
      </c>
    </row>
    <row r="548" spans="2:9" x14ac:dyDescent="0.25">
      <c r="B548" s="546">
        <v>42639</v>
      </c>
      <c r="C548" s="298">
        <v>9478</v>
      </c>
      <c r="D548" s="547">
        <v>15.987468</v>
      </c>
      <c r="E548" s="299">
        <v>14.41</v>
      </c>
      <c r="F548" s="299">
        <f t="shared" si="110"/>
        <v>-14951.241703999996</v>
      </c>
      <c r="G548" s="299">
        <f t="shared" si="111"/>
        <v>151529.221704</v>
      </c>
      <c r="H548" s="300">
        <f t="shared" si="112"/>
        <v>-9.8669032519721048E-2</v>
      </c>
      <c r="I548" s="299"/>
    </row>
    <row r="549" spans="2:9" x14ac:dyDescent="0.25">
      <c r="B549" s="546">
        <v>42639</v>
      </c>
      <c r="C549" s="298">
        <v>9678</v>
      </c>
      <c r="D549" s="547">
        <v>15.954266000000001</v>
      </c>
      <c r="E549" s="299">
        <v>14.41</v>
      </c>
      <c r="F549" s="299">
        <f t="shared" si="110"/>
        <v>-14945.406348000004</v>
      </c>
      <c r="G549" s="299">
        <f t="shared" si="111"/>
        <v>154405.386348</v>
      </c>
      <c r="H549" s="300">
        <f t="shared" si="112"/>
        <v>-9.6793296538994669E-2</v>
      </c>
      <c r="I549" s="299"/>
    </row>
    <row r="550" spans="2:9" x14ac:dyDescent="0.25">
      <c r="B550" s="546">
        <v>42640</v>
      </c>
      <c r="C550" s="298">
        <v>10000</v>
      </c>
      <c r="D550" s="547">
        <v>15.890373</v>
      </c>
      <c r="E550" s="299">
        <v>14.06</v>
      </c>
      <c r="F550" s="299">
        <f t="shared" si="110"/>
        <v>-18303.73</v>
      </c>
      <c r="G550" s="299">
        <f t="shared" si="111"/>
        <v>158903.73000000001</v>
      </c>
      <c r="H550" s="300">
        <f t="shared" si="112"/>
        <v>-0.11518754153851517</v>
      </c>
      <c r="I550" s="299"/>
    </row>
    <row r="551" spans="2:9" x14ac:dyDescent="0.25">
      <c r="B551" s="546">
        <v>42641</v>
      </c>
      <c r="C551" s="298">
        <v>9278</v>
      </c>
      <c r="D551" s="547">
        <v>15.968</v>
      </c>
      <c r="E551" s="299">
        <v>15.18</v>
      </c>
      <c r="F551" s="299">
        <f t="shared" si="110"/>
        <v>-7311.0640000000021</v>
      </c>
      <c r="G551" s="299">
        <f t="shared" si="111"/>
        <v>148151.10399999999</v>
      </c>
      <c r="H551" s="300">
        <f t="shared" si="112"/>
        <v>-4.9348697394789594E-2</v>
      </c>
      <c r="I551" s="299" t="s">
        <v>279</v>
      </c>
    </row>
    <row r="552" spans="2:9" x14ac:dyDescent="0.25">
      <c r="B552" s="546">
        <v>42641</v>
      </c>
      <c r="C552" s="298">
        <v>8978</v>
      </c>
      <c r="D552" s="547">
        <v>15.991466000000001</v>
      </c>
      <c r="E552" s="299">
        <v>15.18</v>
      </c>
      <c r="F552" s="299">
        <f t="shared" si="110"/>
        <v>-7285.3417480000098</v>
      </c>
      <c r="G552" s="299">
        <f t="shared" si="111"/>
        <v>143571.38174800001</v>
      </c>
      <c r="H552" s="300">
        <f t="shared" si="112"/>
        <v>-5.0743690415875634E-2</v>
      </c>
      <c r="I552" s="299"/>
    </row>
    <row r="553" spans="2:9" x14ac:dyDescent="0.25">
      <c r="B553" s="546">
        <v>42642</v>
      </c>
      <c r="C553" s="298">
        <v>8678</v>
      </c>
      <c r="D553" s="547">
        <v>16.016100000000002</v>
      </c>
      <c r="E553" s="299">
        <v>15.9</v>
      </c>
      <c r="F553" s="299">
        <f t="shared" si="110"/>
        <v>-1007.5158000000105</v>
      </c>
      <c r="G553" s="299">
        <f t="shared" si="111"/>
        <v>138987.71580000001</v>
      </c>
      <c r="H553" s="300">
        <f t="shared" si="112"/>
        <v>-7.2489557382884214E-3</v>
      </c>
      <c r="I553" s="299"/>
    </row>
    <row r="554" spans="2:9" x14ac:dyDescent="0.25">
      <c r="B554" s="546">
        <v>42642</v>
      </c>
      <c r="C554" s="298">
        <v>7978</v>
      </c>
      <c r="D554" s="547">
        <v>16.036825</v>
      </c>
      <c r="E554" s="299">
        <v>15.9</v>
      </c>
      <c r="F554" s="299">
        <f t="shared" si="110"/>
        <v>-1091.5898499999998</v>
      </c>
      <c r="G554" s="299">
        <f t="shared" si="111"/>
        <v>127941.78985</v>
      </c>
      <c r="H554" s="300">
        <f t="shared" si="112"/>
        <v>-8.5319257396648009E-3</v>
      </c>
      <c r="I554" s="299"/>
    </row>
    <row r="555" spans="2:9" x14ac:dyDescent="0.25">
      <c r="B555" s="546">
        <v>42642</v>
      </c>
      <c r="C555" s="298">
        <v>7764</v>
      </c>
      <c r="D555" s="547">
        <v>16.038399999999999</v>
      </c>
      <c r="E555" s="299">
        <v>15.9</v>
      </c>
      <c r="F555" s="299">
        <f t="shared" si="110"/>
        <v>-1074.5375999999919</v>
      </c>
      <c r="G555" s="299">
        <f t="shared" si="111"/>
        <v>124522.1376</v>
      </c>
      <c r="H555" s="300">
        <f t="shared" si="112"/>
        <v>-8.6292897047086353E-3</v>
      </c>
      <c r="I555" s="299"/>
    </row>
    <row r="556" spans="2:9" x14ac:dyDescent="0.25">
      <c r="B556" s="546">
        <v>42642</v>
      </c>
      <c r="C556" s="298">
        <v>8178</v>
      </c>
      <c r="D556" s="547">
        <v>16.019235999999999</v>
      </c>
      <c r="E556" s="299">
        <v>15.9</v>
      </c>
      <c r="F556" s="299">
        <f t="shared" si="110"/>
        <v>-975.11200799999187</v>
      </c>
      <c r="G556" s="299">
        <f t="shared" si="111"/>
        <v>131005.31200799999</v>
      </c>
      <c r="H556" s="300">
        <f t="shared" si="112"/>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13">C558*(E558-D558)</f>
        <v>-320.8720079999913</v>
      </c>
      <c r="G558" s="299">
        <f t="shared" ref="G558:G567" si="114">IF(C558=0, 0,D558*C558)</f>
        <v>131005.31200799999</v>
      </c>
      <c r="H558" s="300">
        <f t="shared" ref="H558:H567" si="115">IF(C558=0, D558, (E558-D558)/D558)</f>
        <v>-2.4493053226757469E-3</v>
      </c>
      <c r="I558" s="299"/>
    </row>
    <row r="559" spans="2:9" x14ac:dyDescent="0.25">
      <c r="B559" s="546">
        <v>42647</v>
      </c>
      <c r="C559" s="298">
        <v>8678</v>
      </c>
      <c r="D559" s="547">
        <v>16.010061</v>
      </c>
      <c r="E559" s="299">
        <v>15.63</v>
      </c>
      <c r="F559" s="299">
        <f t="shared" si="113"/>
        <v>-3298.169357999996</v>
      </c>
      <c r="G559" s="299">
        <f t="shared" si="114"/>
        <v>138935.309358</v>
      </c>
      <c r="H559" s="300">
        <f t="shared" si="115"/>
        <v>-2.3738885192255015E-2</v>
      </c>
      <c r="I559" s="299"/>
    </row>
    <row r="560" spans="2:9" x14ac:dyDescent="0.25">
      <c r="B560" s="546">
        <v>42647</v>
      </c>
      <c r="C560" s="298">
        <v>9178</v>
      </c>
      <c r="D560" s="547">
        <v>15.988811</v>
      </c>
      <c r="E560" s="299">
        <v>15.63</v>
      </c>
      <c r="F560" s="299">
        <f t="shared" si="113"/>
        <v>-3293.1673579999938</v>
      </c>
      <c r="G560" s="299">
        <f t="shared" si="114"/>
        <v>146745.30735799999</v>
      </c>
      <c r="H560" s="300">
        <f t="shared" si="115"/>
        <v>-2.2441381038277287E-2</v>
      </c>
      <c r="I560" s="299"/>
    </row>
    <row r="561" spans="2:9" x14ac:dyDescent="0.25">
      <c r="B561" s="546">
        <v>42648</v>
      </c>
      <c r="C561" s="298">
        <v>8178</v>
      </c>
      <c r="D561" s="547">
        <v>15.977725</v>
      </c>
      <c r="E561" s="299">
        <v>16.12</v>
      </c>
      <c r="F561" s="299">
        <f t="shared" si="113"/>
        <v>1163.524950000012</v>
      </c>
      <c r="G561" s="299">
        <f t="shared" si="114"/>
        <v>130665.83504999999</v>
      </c>
      <c r="H561" s="300">
        <f t="shared" si="115"/>
        <v>8.904584351026288E-3</v>
      </c>
      <c r="I561" s="299">
        <v>15.75</v>
      </c>
    </row>
    <row r="562" spans="2:9" x14ac:dyDescent="0.25">
      <c r="B562" s="546">
        <v>42648</v>
      </c>
      <c r="C562" s="319">
        <v>7678</v>
      </c>
      <c r="D562" s="548">
        <v>15.951529000000001</v>
      </c>
      <c r="E562" s="299">
        <v>16.12</v>
      </c>
      <c r="F562" s="299">
        <f t="shared" si="113"/>
        <v>1293.5203380000021</v>
      </c>
      <c r="G562" s="299">
        <f t="shared" si="114"/>
        <v>122475.839662</v>
      </c>
      <c r="H562" s="300">
        <f t="shared" si="115"/>
        <v>1.0561432700275958E-2</v>
      </c>
      <c r="I562" s="299" t="s">
        <v>284</v>
      </c>
    </row>
    <row r="563" spans="2:9" x14ac:dyDescent="0.25">
      <c r="B563" s="546">
        <v>42649</v>
      </c>
      <c r="C563" s="298">
        <v>8678</v>
      </c>
      <c r="D563" s="547">
        <v>15.941579000000001</v>
      </c>
      <c r="E563" s="299">
        <v>16.079999999999998</v>
      </c>
      <c r="F563" s="299">
        <f t="shared" si="113"/>
        <v>1201.2174379999781</v>
      </c>
      <c r="G563" s="299">
        <f t="shared" si="114"/>
        <v>138341.022562</v>
      </c>
      <c r="H563" s="300">
        <f t="shared" si="115"/>
        <v>8.683016908174369E-3</v>
      </c>
      <c r="I563" s="299"/>
    </row>
    <row r="564" spans="2:9" x14ac:dyDescent="0.25">
      <c r="B564" s="546">
        <v>42650</v>
      </c>
      <c r="C564" s="298">
        <v>8978</v>
      </c>
      <c r="D564" s="547">
        <v>15.935176999999999</v>
      </c>
      <c r="E564" s="299">
        <v>15.56</v>
      </c>
      <c r="F564" s="299">
        <f t="shared" si="113"/>
        <v>-3368.3391059999908</v>
      </c>
      <c r="G564" s="299">
        <f t="shared" si="114"/>
        <v>143066.01910599999</v>
      </c>
      <c r="H564" s="300">
        <f t="shared" si="115"/>
        <v>-2.354394933925108E-2</v>
      </c>
      <c r="I564" s="299"/>
    </row>
    <row r="565" spans="2:9" x14ac:dyDescent="0.25">
      <c r="B565" s="546">
        <v>42650</v>
      </c>
      <c r="C565" s="298">
        <v>9278</v>
      </c>
      <c r="D565" s="547">
        <v>15.923692000000001</v>
      </c>
      <c r="E565" s="299">
        <v>15.56</v>
      </c>
      <c r="F565" s="299">
        <f t="shared" si="113"/>
        <v>-3374.3343760000034</v>
      </c>
      <c r="G565" s="299">
        <f t="shared" si="114"/>
        <v>147740.01437600001</v>
      </c>
      <c r="H565" s="300">
        <f t="shared" si="115"/>
        <v>-2.2839678134945106E-2</v>
      </c>
      <c r="I565" s="299">
        <v>15.8</v>
      </c>
    </row>
    <row r="566" spans="2:9" x14ac:dyDescent="0.25">
      <c r="B566" s="546">
        <v>42653</v>
      </c>
      <c r="C566" s="319">
        <v>9678</v>
      </c>
      <c r="D566" s="548">
        <v>15.9153</v>
      </c>
      <c r="E566" s="299">
        <v>15.72</v>
      </c>
      <c r="F566" s="299">
        <f t="shared" si="113"/>
        <v>-1890.1133999999961</v>
      </c>
      <c r="G566" s="299">
        <f t="shared" si="114"/>
        <v>154028.27340000001</v>
      </c>
      <c r="H566" s="300">
        <f t="shared" si="115"/>
        <v>-1.2271210721758281E-2</v>
      </c>
      <c r="I566" s="299"/>
    </row>
    <row r="567" spans="2:9" x14ac:dyDescent="0.25">
      <c r="B567" s="546">
        <v>42661</v>
      </c>
      <c r="C567" s="319">
        <v>10000</v>
      </c>
      <c r="D567" s="548">
        <v>15.901258</v>
      </c>
      <c r="E567" s="299">
        <v>14.2</v>
      </c>
      <c r="F567" s="299">
        <f t="shared" si="113"/>
        <v>-17012.580000000009</v>
      </c>
      <c r="G567" s="299">
        <f t="shared" si="114"/>
        <v>159012.58000000002</v>
      </c>
      <c r="H567" s="300">
        <f t="shared" si="115"/>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16">C571*(E571-D571)</f>
        <v>-19935.600000000009</v>
      </c>
      <c r="G571" s="299">
        <f t="shared" ref="G571:G578" si="117">IF(C571=0, 0,D571*C571)</f>
        <v>187335.6</v>
      </c>
      <c r="H571" s="301">
        <f t="shared" ref="H571:H578" si="118">IF(C571=0, D571, (E571-D571)/D571)</f>
        <v>-0.10641650599245422</v>
      </c>
      <c r="I571" s="299"/>
    </row>
    <row r="572" spans="2:9" x14ac:dyDescent="0.25">
      <c r="B572" s="546">
        <v>42670</v>
      </c>
      <c r="C572" s="298">
        <v>12500</v>
      </c>
      <c r="D572" s="547">
        <v>15.542006000000001</v>
      </c>
      <c r="E572" s="299">
        <v>13.95</v>
      </c>
      <c r="F572" s="299">
        <f t="shared" si="116"/>
        <v>-19900.075000000015</v>
      </c>
      <c r="G572" s="299">
        <f t="shared" si="117"/>
        <v>194275.07500000001</v>
      </c>
      <c r="H572" s="301">
        <f t="shared" si="118"/>
        <v>-0.10243246592492637</v>
      </c>
      <c r="I572" s="299"/>
    </row>
    <row r="573" spans="2:9" x14ac:dyDescent="0.25">
      <c r="B573" s="546">
        <v>42671</v>
      </c>
      <c r="C573" s="298">
        <v>12500</v>
      </c>
      <c r="D573" s="547">
        <v>15.536431</v>
      </c>
      <c r="E573" s="299">
        <v>13.72</v>
      </c>
      <c r="F573" s="299">
        <f t="shared" si="116"/>
        <v>-22705.387499999997</v>
      </c>
      <c r="G573" s="299">
        <f t="shared" si="117"/>
        <v>194205.38750000001</v>
      </c>
      <c r="H573" s="301">
        <f t="shared" si="118"/>
        <v>-0.11691430290521676</v>
      </c>
      <c r="I573" s="299"/>
    </row>
    <row r="574" spans="2:9" x14ac:dyDescent="0.25">
      <c r="B574" s="546">
        <v>42674</v>
      </c>
      <c r="C574" s="298">
        <v>12500</v>
      </c>
      <c r="D574" s="547">
        <v>15.5313</v>
      </c>
      <c r="E574" s="299">
        <v>13.18</v>
      </c>
      <c r="F574" s="299">
        <f t="shared" si="116"/>
        <v>-29391.250000000004</v>
      </c>
      <c r="G574" s="299">
        <f t="shared" si="117"/>
        <v>194141.25</v>
      </c>
      <c r="H574" s="301">
        <f t="shared" si="118"/>
        <v>-0.15139106192012261</v>
      </c>
      <c r="I574" s="299"/>
    </row>
    <row r="575" spans="2:9" x14ac:dyDescent="0.25">
      <c r="B575" s="546">
        <v>42676</v>
      </c>
      <c r="C575" s="298">
        <v>12500</v>
      </c>
      <c r="D575" s="547">
        <v>15.528746</v>
      </c>
      <c r="E575" s="299">
        <v>12.78</v>
      </c>
      <c r="F575" s="299">
        <f t="shared" si="116"/>
        <v>-34359.325000000004</v>
      </c>
      <c r="G575" s="299">
        <f t="shared" si="117"/>
        <v>194109.32500000001</v>
      </c>
      <c r="H575" s="300">
        <f t="shared" si="118"/>
        <v>-0.17701017197396368</v>
      </c>
      <c r="I575" s="299"/>
    </row>
    <row r="576" spans="2:9" x14ac:dyDescent="0.25">
      <c r="B576" s="546">
        <v>42677</v>
      </c>
      <c r="C576" s="298">
        <v>10000</v>
      </c>
      <c r="D576" s="547">
        <v>15.813000000000001</v>
      </c>
      <c r="E576" s="299">
        <v>14.15</v>
      </c>
      <c r="F576" s="299">
        <f t="shared" si="116"/>
        <v>-16630.000000000004</v>
      </c>
      <c r="G576" s="299">
        <f t="shared" si="117"/>
        <v>158130</v>
      </c>
      <c r="H576" s="300">
        <f t="shared" si="118"/>
        <v>-0.10516663504711314</v>
      </c>
      <c r="I576" s="299"/>
    </row>
    <row r="577" spans="2:10" x14ac:dyDescent="0.25">
      <c r="B577" s="546">
        <v>42678</v>
      </c>
      <c r="C577" s="298">
        <v>11000</v>
      </c>
      <c r="D577" s="547">
        <v>15.62</v>
      </c>
      <c r="E577" s="299">
        <v>13.69</v>
      </c>
      <c r="F577" s="299">
        <f t="shared" si="116"/>
        <v>-21229.999999999996</v>
      </c>
      <c r="G577" s="299">
        <f t="shared" si="117"/>
        <v>171820</v>
      </c>
      <c r="H577" s="300">
        <f t="shared" si="118"/>
        <v>-0.12355953905249678</v>
      </c>
      <c r="I577" s="299"/>
    </row>
    <row r="578" spans="2:10" x14ac:dyDescent="0.25">
      <c r="B578" s="546">
        <v>42701</v>
      </c>
      <c r="C578" s="298">
        <v>7678</v>
      </c>
      <c r="D578" s="547">
        <v>15.484220000000001</v>
      </c>
      <c r="E578" s="299">
        <v>16.28</v>
      </c>
      <c r="F578" s="299">
        <f t="shared" si="116"/>
        <v>6109.9988400000047</v>
      </c>
      <c r="G578" s="299">
        <f t="shared" si="117"/>
        <v>118887.84116000001</v>
      </c>
      <c r="H578" s="300">
        <f t="shared" si="118"/>
        <v>5.1392966516879801E-2</v>
      </c>
      <c r="I578" s="299" t="s">
        <v>295</v>
      </c>
    </row>
    <row r="579" spans="2:10" x14ac:dyDescent="0.25">
      <c r="B579" s="546">
        <v>42702</v>
      </c>
      <c r="C579" s="298">
        <v>8178</v>
      </c>
      <c r="D579" s="547">
        <v>15.519399999999999</v>
      </c>
      <c r="E579" s="299">
        <v>15.62</v>
      </c>
      <c r="F579" s="299">
        <f t="shared" ref="F579:F596" si="119">C579*(E579-D579)</f>
        <v>822.70680000000016</v>
      </c>
      <c r="G579" s="299">
        <f t="shared" ref="G579:G596" si="120">IF(C579=0, 0,D579*C579)</f>
        <v>126917.6532</v>
      </c>
      <c r="H579" s="300">
        <f t="shared" ref="H579:H596" si="121">IF(C579=0, D579, (E579-D579)/D579)</f>
        <v>6.4822093637640649E-3</v>
      </c>
      <c r="I579" s="299" t="s">
        <v>299</v>
      </c>
    </row>
    <row r="580" spans="2:10" x14ac:dyDescent="0.25">
      <c r="B580" s="546">
        <v>42702</v>
      </c>
      <c r="C580" s="298">
        <v>8678</v>
      </c>
      <c r="D580" s="547">
        <v>15.5304</v>
      </c>
      <c r="E580" s="299">
        <v>15.54</v>
      </c>
      <c r="F580" s="299">
        <f t="shared" si="119"/>
        <v>83.308799999990825</v>
      </c>
      <c r="G580" s="299">
        <f t="shared" si="120"/>
        <v>134772.8112</v>
      </c>
      <c r="H580" s="300">
        <f t="shared" si="121"/>
        <v>6.1814248184199655E-4</v>
      </c>
      <c r="I580" s="299"/>
    </row>
    <row r="581" spans="2:10" x14ac:dyDescent="0.25">
      <c r="B581" s="546">
        <v>42703</v>
      </c>
      <c r="C581" s="298">
        <v>8978</v>
      </c>
      <c r="D581" s="547">
        <v>15.5053</v>
      </c>
      <c r="E581" s="299">
        <v>14.95</v>
      </c>
      <c r="F581" s="299">
        <f t="shared" si="119"/>
        <v>-4985.4834000000074</v>
      </c>
      <c r="G581" s="299">
        <f t="shared" si="120"/>
        <v>139206.5834</v>
      </c>
      <c r="H581" s="300">
        <f t="shared" si="121"/>
        <v>-3.5813560524465882E-2</v>
      </c>
      <c r="I581" s="299"/>
    </row>
    <row r="582" spans="2:10" x14ac:dyDescent="0.25">
      <c r="B582" s="546">
        <v>42704</v>
      </c>
      <c r="C582" s="298">
        <v>5178</v>
      </c>
      <c r="D582" s="547">
        <v>14.3947</v>
      </c>
      <c r="E582" s="299">
        <v>18.059999999999999</v>
      </c>
      <c r="F582" s="299">
        <f t="shared" si="119"/>
        <v>18978.923399999992</v>
      </c>
      <c r="G582" s="299">
        <f t="shared" si="120"/>
        <v>74535.756600000008</v>
      </c>
      <c r="H582" s="300">
        <f t="shared" si="121"/>
        <v>0.25462843963403187</v>
      </c>
      <c r="I582" s="299"/>
    </row>
    <row r="583" spans="2:10" x14ac:dyDescent="0.25">
      <c r="B583" s="546">
        <v>42705</v>
      </c>
      <c r="C583" s="298">
        <v>4678</v>
      </c>
      <c r="D583" s="547">
        <v>13.905799999999999</v>
      </c>
      <c r="E583" s="299">
        <v>17.89</v>
      </c>
      <c r="F583" s="299">
        <f t="shared" si="119"/>
        <v>18638.087600000006</v>
      </c>
      <c r="G583" s="299">
        <f t="shared" si="120"/>
        <v>65051.332399999999</v>
      </c>
      <c r="H583" s="300">
        <f t="shared" si="121"/>
        <v>0.28651354111234173</v>
      </c>
      <c r="I583" s="299"/>
    </row>
    <row r="584" spans="2:10" x14ac:dyDescent="0.25">
      <c r="B584" s="546">
        <v>42705</v>
      </c>
      <c r="C584" s="298">
        <v>5000</v>
      </c>
      <c r="D584" s="547">
        <v>14.1645</v>
      </c>
      <c r="E584" s="299">
        <v>17.89</v>
      </c>
      <c r="F584" s="299">
        <f t="shared" si="119"/>
        <v>18627.5</v>
      </c>
      <c r="G584" s="299">
        <f t="shared" si="120"/>
        <v>70822.5</v>
      </c>
      <c r="H584" s="300">
        <f t="shared" si="121"/>
        <v>0.2630166966712556</v>
      </c>
      <c r="I584" s="299"/>
    </row>
    <row r="585" spans="2:10" x14ac:dyDescent="0.25">
      <c r="B585" s="546">
        <v>42708</v>
      </c>
      <c r="C585" s="298">
        <v>5000</v>
      </c>
      <c r="D585" s="547">
        <v>14.1645</v>
      </c>
      <c r="E585" s="299">
        <v>18.2</v>
      </c>
      <c r="F585" s="299">
        <f t="shared" si="119"/>
        <v>20177.499999999996</v>
      </c>
      <c r="G585" s="299">
        <f t="shared" si="120"/>
        <v>70822.5</v>
      </c>
      <c r="H585" s="300">
        <f t="shared" si="121"/>
        <v>0.28490239683716323</v>
      </c>
      <c r="I585" s="299"/>
    </row>
    <row r="586" spans="2:10" x14ac:dyDescent="0.25">
      <c r="B586" s="546">
        <v>42711</v>
      </c>
      <c r="C586" s="298">
        <v>5000</v>
      </c>
      <c r="D586" s="547">
        <v>14.143514</v>
      </c>
      <c r="E586" s="299">
        <v>18.420000000000002</v>
      </c>
      <c r="F586" s="299">
        <f t="shared" si="119"/>
        <v>21382.430000000011</v>
      </c>
      <c r="G586" s="299">
        <f t="shared" si="120"/>
        <v>70717.569999999992</v>
      </c>
      <c r="H586" s="300">
        <f t="shared" si="121"/>
        <v>0.3023637548631834</v>
      </c>
      <c r="I586" s="299"/>
    </row>
    <row r="587" spans="2:10" x14ac:dyDescent="0.25">
      <c r="B587" s="546">
        <v>42713</v>
      </c>
      <c r="C587" s="298">
        <v>5000</v>
      </c>
      <c r="D587" s="547">
        <v>14.127554</v>
      </c>
      <c r="E587" s="299">
        <v>18.25</v>
      </c>
      <c r="F587" s="299">
        <f t="shared" si="119"/>
        <v>20612.23</v>
      </c>
      <c r="G587" s="299">
        <f t="shared" si="120"/>
        <v>70637.77</v>
      </c>
      <c r="H587" s="300">
        <f t="shared" si="121"/>
        <v>0.29180182216964096</v>
      </c>
      <c r="I587" s="299"/>
    </row>
    <row r="588" spans="2:10" x14ac:dyDescent="0.25">
      <c r="B588" s="546">
        <v>42716</v>
      </c>
      <c r="C588" s="298">
        <v>5000</v>
      </c>
      <c r="D588" s="547">
        <v>14.0276</v>
      </c>
      <c r="E588" s="299">
        <v>18.489999999999998</v>
      </c>
      <c r="F588" s="299">
        <f t="shared" si="119"/>
        <v>22311.999999999993</v>
      </c>
      <c r="G588" s="299">
        <f t="shared" si="120"/>
        <v>70138</v>
      </c>
      <c r="H588" s="300">
        <f t="shared" si="121"/>
        <v>0.3181157147338104</v>
      </c>
      <c r="I588" s="299" t="s">
        <v>184</v>
      </c>
    </row>
    <row r="589" spans="2:10" x14ac:dyDescent="0.25">
      <c r="B589" s="546">
        <v>42718</v>
      </c>
      <c r="C589" s="298">
        <v>5000</v>
      </c>
      <c r="D589" s="547">
        <v>14.025399999999999</v>
      </c>
      <c r="E589" s="299">
        <v>18.2</v>
      </c>
      <c r="F589" s="299">
        <f t="shared" si="119"/>
        <v>20873</v>
      </c>
      <c r="G589" s="299">
        <f t="shared" si="120"/>
        <v>70127</v>
      </c>
      <c r="H589" s="300">
        <f t="shared" si="121"/>
        <v>0.29764569994438661</v>
      </c>
      <c r="I589" s="299">
        <v>13.8</v>
      </c>
    </row>
    <row r="590" spans="2:10" x14ac:dyDescent="0.25">
      <c r="B590" s="546">
        <v>42726</v>
      </c>
      <c r="C590" s="298">
        <v>5000</v>
      </c>
      <c r="D590" s="547">
        <v>14.025399999999999</v>
      </c>
      <c r="E590" s="299">
        <v>18.04</v>
      </c>
      <c r="F590" s="299">
        <f t="shared" si="119"/>
        <v>20073</v>
      </c>
      <c r="G590" s="299">
        <f t="shared" si="120"/>
        <v>70127</v>
      </c>
      <c r="H590" s="300">
        <f t="shared" si="121"/>
        <v>0.28623782565916123</v>
      </c>
      <c r="I590" s="299"/>
    </row>
    <row r="591" spans="2:10" x14ac:dyDescent="0.25">
      <c r="B591" s="546">
        <v>42733</v>
      </c>
      <c r="C591" s="298">
        <v>6000</v>
      </c>
      <c r="D591" s="547">
        <v>14.627558000000001</v>
      </c>
      <c r="E591" s="299">
        <v>17.57</v>
      </c>
      <c r="F591" s="377">
        <f t="shared" si="119"/>
        <v>17654.651999999998</v>
      </c>
      <c r="G591" s="299">
        <f t="shared" si="120"/>
        <v>87765.347999999998</v>
      </c>
      <c r="H591" s="301">
        <f t="shared" si="121"/>
        <v>0.20115743174629694</v>
      </c>
      <c r="I591" s="299"/>
      <c r="J591" s="3"/>
    </row>
    <row r="592" spans="2:10" x14ac:dyDescent="0.25">
      <c r="B592" s="546">
        <v>42734</v>
      </c>
      <c r="C592" s="298">
        <v>6000</v>
      </c>
      <c r="D592" s="547">
        <v>14.562623</v>
      </c>
      <c r="E592" s="299">
        <v>17.309999999999999</v>
      </c>
      <c r="F592" s="377">
        <f t="shared" si="119"/>
        <v>16484.261999999992</v>
      </c>
      <c r="G592" s="299">
        <f t="shared" si="120"/>
        <v>87375.737999999998</v>
      </c>
      <c r="H592" s="301">
        <f t="shared" si="121"/>
        <v>0.18865948806063293</v>
      </c>
      <c r="I592" s="299"/>
    </row>
    <row r="593" spans="1:9" x14ac:dyDescent="0.25">
      <c r="B593" s="546">
        <v>42739</v>
      </c>
      <c r="C593" s="298">
        <v>5500</v>
      </c>
      <c r="D593" s="547">
        <v>14.242898</v>
      </c>
      <c r="E593" s="299">
        <v>18.05</v>
      </c>
      <c r="F593" s="377">
        <f t="shared" si="119"/>
        <v>20939.061000000002</v>
      </c>
      <c r="G593" s="299">
        <f t="shared" si="120"/>
        <v>78335.938999999998</v>
      </c>
      <c r="H593" s="301">
        <f t="shared" si="121"/>
        <v>0.26729827033796072</v>
      </c>
      <c r="I593" s="299"/>
    </row>
    <row r="594" spans="1:9" x14ac:dyDescent="0.25">
      <c r="B594" s="546">
        <v>42741</v>
      </c>
      <c r="C594" s="298">
        <v>6000</v>
      </c>
      <c r="D594" s="547">
        <v>14.54599</v>
      </c>
      <c r="E594" s="299">
        <v>17.98</v>
      </c>
      <c r="F594" s="377">
        <f t="shared" si="119"/>
        <v>20604.060000000005</v>
      </c>
      <c r="G594" s="299">
        <f t="shared" si="120"/>
        <v>87275.94</v>
      </c>
      <c r="H594" s="301">
        <f t="shared" si="121"/>
        <v>0.23607949682352322</v>
      </c>
      <c r="I594" s="299"/>
    </row>
    <row r="595" spans="1:9" x14ac:dyDescent="0.25">
      <c r="B595" s="546">
        <v>42748</v>
      </c>
      <c r="C595" s="298">
        <v>6000</v>
      </c>
      <c r="D595" s="547">
        <v>14.527687999999999</v>
      </c>
      <c r="E595" s="299">
        <v>17.46</v>
      </c>
      <c r="F595" s="377">
        <f t="shared" si="119"/>
        <v>17593.872000000007</v>
      </c>
      <c r="G595" s="299">
        <f t="shared" si="120"/>
        <v>87166.127999999997</v>
      </c>
      <c r="H595" s="301">
        <f t="shared" si="121"/>
        <v>0.20184299112150547</v>
      </c>
      <c r="I595" s="299"/>
    </row>
    <row r="596" spans="1:9" x14ac:dyDescent="0.25">
      <c r="A596" s="183" t="s">
        <v>322</v>
      </c>
      <c r="B596" s="546">
        <v>42754</v>
      </c>
      <c r="C596" s="298">
        <v>6000</v>
      </c>
      <c r="D596" s="547">
        <v>14.527687999999999</v>
      </c>
      <c r="E596" s="299">
        <v>17.27</v>
      </c>
      <c r="F596" s="377">
        <f t="shared" si="119"/>
        <v>16453.871999999999</v>
      </c>
      <c r="G596" s="299">
        <f t="shared" si="120"/>
        <v>87166.127999999997</v>
      </c>
      <c r="H596" s="301">
        <f t="shared" si="121"/>
        <v>0.1887645164185795</v>
      </c>
      <c r="I596" s="299"/>
    </row>
    <row r="597" spans="1:9" x14ac:dyDescent="0.25">
      <c r="A597" t="s">
        <v>322</v>
      </c>
      <c r="B597" s="546">
        <v>42760</v>
      </c>
      <c r="C597" s="298">
        <v>6000</v>
      </c>
      <c r="D597" s="547">
        <v>14.527687999999999</v>
      </c>
      <c r="E597" s="299">
        <v>17.75</v>
      </c>
      <c r="F597" s="377">
        <f t="shared" ref="F597:F611" si="122">C597*(E597-D597)</f>
        <v>19333.872000000003</v>
      </c>
      <c r="G597" s="299">
        <f t="shared" ref="G597:G611" si="123">IF(C597=0, 0,D597*C597)</f>
        <v>87166.127999999997</v>
      </c>
      <c r="H597" s="301">
        <f t="shared" ref="H597:H611" si="124">IF(C597=0, D597, (E597-D597)/D597)</f>
        <v>0.22180487356281334</v>
      </c>
      <c r="I597" s="299"/>
    </row>
    <row r="598" spans="1:9" x14ac:dyDescent="0.25">
      <c r="A598" t="s">
        <v>354</v>
      </c>
      <c r="B598" s="546">
        <v>42761</v>
      </c>
      <c r="C598" s="298">
        <v>6000</v>
      </c>
      <c r="D598" s="547">
        <v>14.50817</v>
      </c>
      <c r="E598" s="299">
        <v>17.75</v>
      </c>
      <c r="F598" s="377">
        <f t="shared" si="122"/>
        <v>19450.98</v>
      </c>
      <c r="G598" s="299">
        <f t="shared" si="123"/>
        <v>87049.02</v>
      </c>
      <c r="H598" s="301">
        <f t="shared" si="124"/>
        <v>0.22344858104088938</v>
      </c>
      <c r="I598" s="299"/>
    </row>
    <row r="599" spans="1:9" x14ac:dyDescent="0.25">
      <c r="A599" t="s">
        <v>357</v>
      </c>
      <c r="B599" s="546">
        <v>42762</v>
      </c>
      <c r="C599" s="298">
        <v>6100</v>
      </c>
      <c r="D599" s="547">
        <v>14.553610000000001</v>
      </c>
      <c r="E599" s="299">
        <v>17.41</v>
      </c>
      <c r="F599" s="377">
        <f t="shared" si="122"/>
        <v>17423.978999999996</v>
      </c>
      <c r="G599" s="299">
        <f t="shared" si="123"/>
        <v>88777.021000000008</v>
      </c>
      <c r="H599" s="301">
        <f t="shared" si="124"/>
        <v>0.19626676817641803</v>
      </c>
      <c r="I599" s="299"/>
    </row>
    <row r="600" spans="1:9" x14ac:dyDescent="0.25">
      <c r="A600" t="s">
        <v>367</v>
      </c>
      <c r="B600" s="546">
        <v>42765</v>
      </c>
      <c r="C600" s="298">
        <v>6900</v>
      </c>
      <c r="D600" s="547">
        <v>14.793915999999999</v>
      </c>
      <c r="E600" s="299">
        <v>16.53</v>
      </c>
      <c r="F600" s="377">
        <f t="shared" si="122"/>
        <v>11978.979600000011</v>
      </c>
      <c r="G600" s="299">
        <f t="shared" si="123"/>
        <v>102078.02039999999</v>
      </c>
      <c r="H600" s="301">
        <f t="shared" si="124"/>
        <v>0.11735121383682331</v>
      </c>
      <c r="I600" s="299"/>
    </row>
    <row r="601" spans="1:9" x14ac:dyDescent="0.25">
      <c r="A601" t="s">
        <v>368</v>
      </c>
      <c r="B601" s="546">
        <v>42766</v>
      </c>
      <c r="C601" s="298">
        <v>6900</v>
      </c>
      <c r="D601" s="547">
        <v>14.783497000000001</v>
      </c>
      <c r="E601" s="299">
        <v>16.75</v>
      </c>
      <c r="F601" s="377">
        <f t="shared" si="122"/>
        <v>13568.870699999996</v>
      </c>
      <c r="G601" s="299">
        <f t="shared" si="123"/>
        <v>102006.1293</v>
      </c>
      <c r="H601" s="301">
        <f t="shared" si="124"/>
        <v>0.13302015078029233</v>
      </c>
      <c r="I601" s="299"/>
    </row>
    <row r="602" spans="1:9" x14ac:dyDescent="0.25">
      <c r="B602" s="546">
        <v>42767</v>
      </c>
      <c r="C602" s="298">
        <v>6000</v>
      </c>
      <c r="D602" s="547">
        <v>14.442175000000001</v>
      </c>
      <c r="E602" s="299">
        <v>16.59</v>
      </c>
      <c r="F602" s="377">
        <f t="shared" si="122"/>
        <v>12886.949999999995</v>
      </c>
      <c r="G602" s="299">
        <f t="shared" si="123"/>
        <v>86653.05</v>
      </c>
      <c r="H602" s="301">
        <f t="shared" si="124"/>
        <v>0.14871894295699914</v>
      </c>
      <c r="I602" s="299"/>
    </row>
    <row r="603" spans="1:9" x14ac:dyDescent="0.25">
      <c r="B603" s="546">
        <v>42767</v>
      </c>
      <c r="C603" s="298">
        <v>7000</v>
      </c>
      <c r="D603" s="547">
        <v>14.725436</v>
      </c>
      <c r="E603" s="299">
        <v>16.59</v>
      </c>
      <c r="F603" s="377">
        <f t="shared" si="122"/>
        <v>13051.947999999999</v>
      </c>
      <c r="G603" s="299">
        <f t="shared" si="123"/>
        <v>103078.052</v>
      </c>
      <c r="H603" s="301">
        <f t="shared" si="124"/>
        <v>0.1266219893251378</v>
      </c>
      <c r="I603" s="299"/>
    </row>
    <row r="604" spans="1:9" x14ac:dyDescent="0.25">
      <c r="B604" s="546">
        <v>42767</v>
      </c>
      <c r="C604" s="298">
        <v>7200</v>
      </c>
      <c r="D604" s="547">
        <v>14.771951</v>
      </c>
      <c r="E604" s="299">
        <v>16.59</v>
      </c>
      <c r="F604" s="377">
        <f t="shared" si="122"/>
        <v>13089.952800000001</v>
      </c>
      <c r="G604" s="299">
        <f t="shared" si="123"/>
        <v>106358.0472</v>
      </c>
      <c r="H604" s="301">
        <f t="shared" si="124"/>
        <v>0.12307439958337259</v>
      </c>
      <c r="I604" s="299"/>
    </row>
    <row r="605" spans="1:9" x14ac:dyDescent="0.25">
      <c r="A605" t="s">
        <v>372</v>
      </c>
      <c r="B605" s="546">
        <v>42767</v>
      </c>
      <c r="C605" s="298">
        <v>6500</v>
      </c>
      <c r="D605" s="547">
        <v>14.578353999999999</v>
      </c>
      <c r="E605" s="299">
        <v>16.59</v>
      </c>
      <c r="F605" s="377">
        <f t="shared" si="122"/>
        <v>13075.699000000004</v>
      </c>
      <c r="G605" s="299">
        <f t="shared" si="123"/>
        <v>94759.300999999992</v>
      </c>
      <c r="H605" s="301">
        <f t="shared" si="124"/>
        <v>0.13798855481215511</v>
      </c>
      <c r="I605" s="299"/>
    </row>
    <row r="606" spans="1:9" x14ac:dyDescent="0.25">
      <c r="A606" t="s">
        <v>374</v>
      </c>
      <c r="B606" s="546">
        <v>42768</v>
      </c>
      <c r="C606" s="298">
        <v>6000</v>
      </c>
      <c r="D606" s="547">
        <v>14.368788</v>
      </c>
      <c r="E606" s="299">
        <v>16.68</v>
      </c>
      <c r="F606" s="377">
        <f t="shared" si="122"/>
        <v>13867.271999999995</v>
      </c>
      <c r="G606" s="299">
        <f>IF(C606=0, 0,D606*C606)</f>
        <v>86212.728000000003</v>
      </c>
      <c r="H606" s="301">
        <f t="shared" si="124"/>
        <v>0.16084947456946261</v>
      </c>
      <c r="I606" s="299"/>
    </row>
    <row r="607" spans="1:9" x14ac:dyDescent="0.25">
      <c r="A607" t="s">
        <v>381</v>
      </c>
      <c r="B607" s="546">
        <v>42769</v>
      </c>
      <c r="C607" s="298">
        <v>5300</v>
      </c>
      <c r="D607" s="547">
        <v>14.006677</v>
      </c>
      <c r="E607" s="299">
        <v>17.23</v>
      </c>
      <c r="F607" s="377">
        <f t="shared" si="122"/>
        <v>17083.611900000004</v>
      </c>
      <c r="G607" s="299">
        <f t="shared" si="123"/>
        <v>74235.388099999996</v>
      </c>
      <c r="H607" s="301">
        <f t="shared" si="124"/>
        <v>0.2301276027140485</v>
      </c>
      <c r="I607" s="299"/>
    </row>
    <row r="608" spans="1:9" x14ac:dyDescent="0.25">
      <c r="A608" t="s">
        <v>391</v>
      </c>
      <c r="B608" s="546">
        <v>42772</v>
      </c>
      <c r="C608" s="298">
        <v>6000</v>
      </c>
      <c r="D608" s="547">
        <v>14.311230999999999</v>
      </c>
      <c r="E608" s="299">
        <v>16.52</v>
      </c>
      <c r="F608" s="377">
        <f t="shared" si="122"/>
        <v>13252.614000000001</v>
      </c>
      <c r="G608" s="299">
        <f t="shared" si="123"/>
        <v>85867.385999999999</v>
      </c>
      <c r="H608" s="301">
        <f t="shared" si="124"/>
        <v>0.15433815581622576</v>
      </c>
      <c r="I608" s="299"/>
    </row>
    <row r="609" spans="1:13" x14ac:dyDescent="0.25">
      <c r="A609" t="s">
        <v>396</v>
      </c>
      <c r="B609" s="546">
        <v>42773</v>
      </c>
      <c r="C609" s="298">
        <v>6600</v>
      </c>
      <c r="D609" s="547">
        <v>14.461574000000001</v>
      </c>
      <c r="E609" s="299">
        <v>16.03</v>
      </c>
      <c r="F609" s="377">
        <f t="shared" si="122"/>
        <v>10351.611600000004</v>
      </c>
      <c r="G609" s="299">
        <f t="shared" si="123"/>
        <v>95446.388400000011</v>
      </c>
      <c r="H609" s="301">
        <f t="shared" si="124"/>
        <v>0.10845472283998965</v>
      </c>
      <c r="I609" s="299"/>
    </row>
    <row r="610" spans="1:13" x14ac:dyDescent="0.25">
      <c r="A610" t="s">
        <v>419</v>
      </c>
      <c r="B610" s="546">
        <v>42781</v>
      </c>
      <c r="C610" s="298">
        <v>5700</v>
      </c>
      <c r="D610" s="547">
        <v>14.140828000000001</v>
      </c>
      <c r="E610" s="299">
        <v>16.3</v>
      </c>
      <c r="F610" s="377">
        <f t="shared" si="122"/>
        <v>12307.2804</v>
      </c>
      <c r="G610" s="299">
        <f t="shared" si="123"/>
        <v>80602.719600000011</v>
      </c>
      <c r="H610" s="301">
        <f t="shared" si="124"/>
        <v>0.1526906345229572</v>
      </c>
      <c r="I610" s="299"/>
    </row>
    <row r="611" spans="1:13" x14ac:dyDescent="0.25">
      <c r="A611" t="s">
        <v>421</v>
      </c>
      <c r="B611" s="546">
        <v>42782</v>
      </c>
      <c r="C611" s="298">
        <v>5700</v>
      </c>
      <c r="D611" s="547">
        <v>14.103</v>
      </c>
      <c r="E611" s="299">
        <v>16.170000000000002</v>
      </c>
      <c r="F611" s="377">
        <f t="shared" si="122"/>
        <v>11781.900000000011</v>
      </c>
      <c r="G611" s="299">
        <f t="shared" si="123"/>
        <v>80387.100000000006</v>
      </c>
      <c r="H611" s="301">
        <f t="shared" si="124"/>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25">C622*D622+E622</f>
        <v>2172.1799999999998</v>
      </c>
      <c r="G622" s="426">
        <v>42199</v>
      </c>
      <c r="H622" s="443">
        <v>102</v>
      </c>
      <c r="I622" s="428">
        <v>25.28</v>
      </c>
      <c r="J622" s="429">
        <v>0.05</v>
      </c>
      <c r="K622" s="429">
        <f t="shared" ref="K622:K649" si="126">H622*I622-J622</f>
        <v>2578.5099999999998</v>
      </c>
      <c r="L622" s="426">
        <v>42439</v>
      </c>
      <c r="M622" s="429">
        <v>483.9</v>
      </c>
    </row>
    <row r="623" spans="1:13" x14ac:dyDescent="0.25">
      <c r="A623" s="427"/>
      <c r="B623" s="473">
        <v>42187</v>
      </c>
      <c r="C623" s="427">
        <v>1000</v>
      </c>
      <c r="D623" s="428">
        <v>27.1</v>
      </c>
      <c r="E623" s="429">
        <v>0</v>
      </c>
      <c r="F623" s="429">
        <f t="shared" si="125"/>
        <v>27100</v>
      </c>
      <c r="G623" s="426">
        <v>42227</v>
      </c>
      <c r="H623" s="443">
        <v>200</v>
      </c>
      <c r="I623" s="428">
        <v>19.649999999999999</v>
      </c>
      <c r="J623" s="429">
        <v>7.0000000000000007E-2</v>
      </c>
      <c r="K623" s="429">
        <f t="shared" si="126"/>
        <v>3929.9299999999994</v>
      </c>
      <c r="L623" s="426">
        <v>42531</v>
      </c>
      <c r="M623" s="429">
        <v>483.9</v>
      </c>
    </row>
    <row r="624" spans="1:13" x14ac:dyDescent="0.25">
      <c r="A624" s="427"/>
      <c r="B624" s="534">
        <v>42187</v>
      </c>
      <c r="C624" s="427">
        <v>500</v>
      </c>
      <c r="D624" s="428">
        <v>27.039332999999999</v>
      </c>
      <c r="E624" s="429">
        <v>0</v>
      </c>
      <c r="F624" s="429">
        <f t="shared" si="125"/>
        <v>13519.666499999999</v>
      </c>
      <c r="G624" s="426">
        <v>42227</v>
      </c>
      <c r="H624" s="443">
        <v>200</v>
      </c>
      <c r="I624" s="428">
        <v>18.7</v>
      </c>
      <c r="J624" s="429">
        <v>7.0000000000000007E-2</v>
      </c>
      <c r="K624" s="429">
        <f t="shared" si="126"/>
        <v>3739.93</v>
      </c>
      <c r="L624" s="426">
        <v>42625</v>
      </c>
      <c r="M624" s="429">
        <v>433.9</v>
      </c>
    </row>
    <row r="625" spans="1:13" x14ac:dyDescent="0.25">
      <c r="A625" s="427"/>
      <c r="B625" s="534"/>
      <c r="C625" s="427">
        <v>500</v>
      </c>
      <c r="D625" s="428">
        <v>27.039332999999999</v>
      </c>
      <c r="E625" s="429">
        <v>0</v>
      </c>
      <c r="F625" s="429">
        <f t="shared" si="125"/>
        <v>13519.666499999999</v>
      </c>
      <c r="G625" s="426">
        <v>42257</v>
      </c>
      <c r="H625" s="443">
        <v>1600</v>
      </c>
      <c r="I625" s="428">
        <v>16.445</v>
      </c>
      <c r="J625" s="429">
        <v>0.48</v>
      </c>
      <c r="K625" s="429">
        <f t="shared" si="126"/>
        <v>26311.52</v>
      </c>
      <c r="L625" s="426">
        <v>42716</v>
      </c>
      <c r="M625" s="429">
        <v>500</v>
      </c>
    </row>
    <row r="626" spans="1:13" x14ac:dyDescent="0.25">
      <c r="A626" s="427"/>
      <c r="B626" s="534"/>
      <c r="C626" s="427">
        <v>500</v>
      </c>
      <c r="D626" s="428">
        <v>27.039332999999999</v>
      </c>
      <c r="E626" s="429">
        <v>0</v>
      </c>
      <c r="F626" s="429">
        <f t="shared" si="125"/>
        <v>13519.666499999999</v>
      </c>
      <c r="G626" s="535">
        <v>42265</v>
      </c>
      <c r="H626" s="443">
        <v>200</v>
      </c>
      <c r="I626" s="428">
        <v>15.65</v>
      </c>
      <c r="J626" s="429">
        <v>0.05</v>
      </c>
      <c r="K626" s="429">
        <f t="shared" si="126"/>
        <v>3129.95</v>
      </c>
      <c r="L626" s="427"/>
      <c r="M626" s="429"/>
    </row>
    <row r="627" spans="1:13" x14ac:dyDescent="0.25">
      <c r="A627" s="427"/>
      <c r="B627" s="534"/>
      <c r="C627" s="427">
        <v>500</v>
      </c>
      <c r="D627" s="428">
        <v>27.039332999999999</v>
      </c>
      <c r="E627" s="429">
        <v>0</v>
      </c>
      <c r="F627" s="429">
        <f t="shared" si="125"/>
        <v>13519.666499999999</v>
      </c>
      <c r="G627" s="535"/>
      <c r="H627" s="443">
        <v>2400</v>
      </c>
      <c r="I627" s="428">
        <v>15.7</v>
      </c>
      <c r="J627" s="429">
        <v>0.7</v>
      </c>
      <c r="K627" s="429">
        <f t="shared" si="126"/>
        <v>37679.300000000003</v>
      </c>
      <c r="L627" s="427"/>
      <c r="M627" s="429"/>
    </row>
    <row r="628" spans="1:13" x14ac:dyDescent="0.25">
      <c r="A628" s="427"/>
      <c r="B628" s="534"/>
      <c r="C628" s="427">
        <v>1000</v>
      </c>
      <c r="D628" s="428">
        <v>27.039332999999999</v>
      </c>
      <c r="E628" s="429">
        <v>0</v>
      </c>
      <c r="F628" s="429">
        <f t="shared" si="125"/>
        <v>27039.332999999999</v>
      </c>
      <c r="G628" s="426">
        <v>42271</v>
      </c>
      <c r="H628" s="516">
        <v>918</v>
      </c>
      <c r="I628" s="517">
        <v>16.45</v>
      </c>
      <c r="J628" s="518">
        <v>0.28000000000000003</v>
      </c>
      <c r="K628" s="518">
        <f t="shared" si="126"/>
        <v>15100.819999999998</v>
      </c>
      <c r="L628" s="427"/>
      <c r="M628" s="429"/>
    </row>
    <row r="629" spans="1:13" ht="60" x14ac:dyDescent="0.25">
      <c r="A629" s="427"/>
      <c r="B629" s="473">
        <v>42198</v>
      </c>
      <c r="C629" s="427">
        <v>100</v>
      </c>
      <c r="D629" s="428">
        <v>24.77</v>
      </c>
      <c r="E629" s="429">
        <v>0</v>
      </c>
      <c r="F629" s="429">
        <f t="shared" si="125"/>
        <v>2477</v>
      </c>
      <c r="G629" s="536" t="s">
        <v>139</v>
      </c>
      <c r="H629" s="443">
        <v>500</v>
      </c>
      <c r="I629" s="428">
        <v>15.95</v>
      </c>
      <c r="J629" s="429">
        <v>0.15</v>
      </c>
      <c r="K629" s="518">
        <f t="shared" si="126"/>
        <v>7974.85</v>
      </c>
      <c r="L629" s="427"/>
      <c r="M629" s="429"/>
    </row>
    <row r="630" spans="1:13" x14ac:dyDescent="0.25">
      <c r="A630" s="427"/>
      <c r="B630" s="473">
        <v>42205</v>
      </c>
      <c r="C630" s="427">
        <v>50</v>
      </c>
      <c r="D630" s="428">
        <v>24.35</v>
      </c>
      <c r="E630" s="429">
        <v>0</v>
      </c>
      <c r="F630" s="429">
        <f t="shared" si="125"/>
        <v>1217.5</v>
      </c>
      <c r="G630" s="536"/>
      <c r="H630" s="443">
        <v>500</v>
      </c>
      <c r="I630" s="428">
        <v>16.100000000000001</v>
      </c>
      <c r="J630" s="429">
        <v>0.15</v>
      </c>
      <c r="K630" s="518">
        <f t="shared" si="126"/>
        <v>8049.8500000000013</v>
      </c>
      <c r="L630" s="427"/>
      <c r="M630" s="429"/>
    </row>
    <row r="631" spans="1:13" x14ac:dyDescent="0.25">
      <c r="A631" s="427"/>
      <c r="B631" s="473">
        <v>42207</v>
      </c>
      <c r="C631" s="427">
        <v>20</v>
      </c>
      <c r="D631" s="428">
        <v>24.02</v>
      </c>
      <c r="E631" s="429">
        <v>0</v>
      </c>
      <c r="F631" s="429">
        <f t="shared" si="125"/>
        <v>480.4</v>
      </c>
      <c r="G631" s="536"/>
      <c r="H631" s="443">
        <v>500</v>
      </c>
      <c r="I631" s="428">
        <v>16.170000000000002</v>
      </c>
      <c r="J631" s="429">
        <v>0.15</v>
      </c>
      <c r="K631" s="518">
        <f t="shared" si="126"/>
        <v>8084.8500000000013</v>
      </c>
      <c r="L631" s="427"/>
      <c r="M631" s="429"/>
    </row>
    <row r="632" spans="1:13" x14ac:dyDescent="0.25">
      <c r="A632" s="427"/>
      <c r="B632" s="473">
        <v>42207</v>
      </c>
      <c r="C632" s="427">
        <v>20</v>
      </c>
      <c r="D632" s="428">
        <v>23.91</v>
      </c>
      <c r="E632" s="429">
        <v>0</v>
      </c>
      <c r="F632" s="429">
        <f t="shared" si="125"/>
        <v>478.2</v>
      </c>
      <c r="G632" s="536"/>
      <c r="H632" s="443">
        <v>500</v>
      </c>
      <c r="I632" s="428">
        <v>16.28</v>
      </c>
      <c r="J632" s="429">
        <v>0.15</v>
      </c>
      <c r="K632" s="518">
        <f t="shared" si="126"/>
        <v>8139.8500000000013</v>
      </c>
      <c r="L632" s="429"/>
      <c r="M632" s="429"/>
    </row>
    <row r="633" spans="1:13" x14ac:dyDescent="0.25">
      <c r="A633" s="427"/>
      <c r="B633" s="473">
        <v>42207</v>
      </c>
      <c r="C633" s="427">
        <v>20</v>
      </c>
      <c r="D633" s="428">
        <v>23.7</v>
      </c>
      <c r="E633" s="429">
        <v>0</v>
      </c>
      <c r="F633" s="429">
        <f t="shared" si="125"/>
        <v>474</v>
      </c>
      <c r="G633" s="536"/>
      <c r="H633" s="443">
        <v>500</v>
      </c>
      <c r="I633" s="428">
        <v>16.39</v>
      </c>
      <c r="J633" s="429">
        <v>0.15</v>
      </c>
      <c r="K633" s="518">
        <f t="shared" si="126"/>
        <v>8194.85</v>
      </c>
      <c r="L633" s="427"/>
      <c r="M633" s="429"/>
    </row>
    <row r="634" spans="1:13" x14ac:dyDescent="0.25">
      <c r="A634" s="427"/>
      <c r="B634" s="473">
        <v>42207</v>
      </c>
      <c r="C634" s="427">
        <v>20</v>
      </c>
      <c r="D634" s="428">
        <v>23.6</v>
      </c>
      <c r="E634" s="429">
        <v>0</v>
      </c>
      <c r="F634" s="429">
        <f t="shared" si="125"/>
        <v>472</v>
      </c>
      <c r="G634" s="536"/>
      <c r="H634" s="443">
        <v>500</v>
      </c>
      <c r="I634" s="428">
        <v>16.55</v>
      </c>
      <c r="J634" s="429">
        <v>0.17</v>
      </c>
      <c r="K634" s="518">
        <f t="shared" si="126"/>
        <v>8274.83</v>
      </c>
      <c r="L634" s="427"/>
      <c r="M634" s="429"/>
    </row>
    <row r="635" spans="1:13" x14ac:dyDescent="0.25">
      <c r="A635" s="427"/>
      <c r="B635" s="473">
        <v>42209</v>
      </c>
      <c r="C635" s="427">
        <v>40</v>
      </c>
      <c r="D635" s="428">
        <v>22.3</v>
      </c>
      <c r="E635" s="429">
        <v>0</v>
      </c>
      <c r="F635" s="429">
        <f t="shared" si="125"/>
        <v>892</v>
      </c>
      <c r="G635" s="536"/>
      <c r="H635" s="443">
        <v>50</v>
      </c>
      <c r="I635" s="428">
        <v>16.55</v>
      </c>
      <c r="J635" s="429">
        <v>0</v>
      </c>
      <c r="K635" s="518">
        <f t="shared" si="126"/>
        <v>827.5</v>
      </c>
      <c r="L635" s="427"/>
      <c r="M635" s="429"/>
    </row>
    <row r="636" spans="1:13" x14ac:dyDescent="0.25">
      <c r="A636" s="429"/>
      <c r="B636" s="473">
        <v>42221</v>
      </c>
      <c r="C636" s="427">
        <v>12</v>
      </c>
      <c r="D636" s="428">
        <v>20.95</v>
      </c>
      <c r="E636" s="429">
        <v>0</v>
      </c>
      <c r="F636" s="429">
        <f t="shared" si="125"/>
        <v>251.39999999999998</v>
      </c>
      <c r="G636" s="536"/>
      <c r="H636" s="443">
        <v>28</v>
      </c>
      <c r="I636" s="428">
        <v>16.68</v>
      </c>
      <c r="J636" s="429">
        <v>0.01</v>
      </c>
      <c r="K636" s="518">
        <f t="shared" si="126"/>
        <v>467.03</v>
      </c>
      <c r="L636" s="443"/>
      <c r="M636" s="429"/>
    </row>
    <row r="637" spans="1:13" x14ac:dyDescent="0.25">
      <c r="A637" s="427"/>
      <c r="B637" s="473">
        <v>42223</v>
      </c>
      <c r="C637" s="427">
        <v>100</v>
      </c>
      <c r="D637" s="428">
        <v>20.399999999999999</v>
      </c>
      <c r="E637" s="429">
        <v>0</v>
      </c>
      <c r="F637" s="429">
        <f t="shared" si="125"/>
        <v>2039.9999999999998</v>
      </c>
      <c r="G637" s="426">
        <v>42285</v>
      </c>
      <c r="H637" s="443">
        <v>632</v>
      </c>
      <c r="I637" s="428">
        <v>17.850000000000001</v>
      </c>
      <c r="J637" s="429">
        <v>0.21</v>
      </c>
      <c r="K637" s="518">
        <f t="shared" si="126"/>
        <v>11280.990000000002</v>
      </c>
      <c r="L637" s="429"/>
      <c r="M637" s="429"/>
    </row>
    <row r="638" spans="1:13" x14ac:dyDescent="0.25">
      <c r="A638" s="429"/>
      <c r="B638" s="473">
        <v>42226</v>
      </c>
      <c r="C638" s="427">
        <v>200</v>
      </c>
      <c r="D638" s="428">
        <v>19.95</v>
      </c>
      <c r="E638" s="429">
        <v>0</v>
      </c>
      <c r="F638" s="429">
        <f t="shared" si="125"/>
        <v>3990</v>
      </c>
      <c r="G638" s="426">
        <v>42297</v>
      </c>
      <c r="H638" s="443">
        <v>500</v>
      </c>
      <c r="I638" s="428">
        <v>19.149999999999999</v>
      </c>
      <c r="J638" s="429">
        <v>0.18</v>
      </c>
      <c r="K638" s="518">
        <f t="shared" si="126"/>
        <v>9574.82</v>
      </c>
      <c r="L638" s="427"/>
      <c r="M638" s="429"/>
    </row>
    <row r="639" spans="1:13" x14ac:dyDescent="0.25">
      <c r="A639" s="427"/>
      <c r="B639" s="473">
        <v>42226</v>
      </c>
      <c r="C639" s="427">
        <v>50</v>
      </c>
      <c r="D639" s="428">
        <v>20.010000000000002</v>
      </c>
      <c r="E639" s="429">
        <v>0</v>
      </c>
      <c r="F639" s="429">
        <f t="shared" si="125"/>
        <v>1000.5000000000001</v>
      </c>
      <c r="G639" s="426">
        <v>42300</v>
      </c>
      <c r="H639" s="443">
        <v>1000</v>
      </c>
      <c r="I639" s="428">
        <v>18.62</v>
      </c>
      <c r="J639" s="429">
        <v>0.34</v>
      </c>
      <c r="K639" s="518">
        <f t="shared" si="126"/>
        <v>18619.66</v>
      </c>
      <c r="L639" s="427"/>
      <c r="M639" s="429"/>
    </row>
    <row r="640" spans="1:13" x14ac:dyDescent="0.25">
      <c r="A640" s="427"/>
      <c r="B640" s="473">
        <v>42226</v>
      </c>
      <c r="C640" s="427">
        <v>100</v>
      </c>
      <c r="D640" s="428">
        <v>20.2</v>
      </c>
      <c r="E640" s="429">
        <v>0</v>
      </c>
      <c r="F640" s="429">
        <f t="shared" si="125"/>
        <v>2020</v>
      </c>
      <c r="G640" s="426">
        <v>42312</v>
      </c>
      <c r="H640" s="443">
        <v>2500</v>
      </c>
      <c r="I640" s="428">
        <v>18.48</v>
      </c>
      <c r="J640" s="429">
        <v>7.8</v>
      </c>
      <c r="K640" s="429">
        <f t="shared" si="126"/>
        <v>46192.2</v>
      </c>
      <c r="L640" s="427"/>
      <c r="M640" s="429"/>
    </row>
    <row r="641" spans="1:13" x14ac:dyDescent="0.25">
      <c r="A641" s="427"/>
      <c r="B641" s="473">
        <v>42227</v>
      </c>
      <c r="C641" s="427">
        <v>200</v>
      </c>
      <c r="D641" s="428">
        <v>18.399999999999999</v>
      </c>
      <c r="E641" s="429">
        <v>0</v>
      </c>
      <c r="F641" s="429">
        <f t="shared" si="125"/>
        <v>3679.9999999999995</v>
      </c>
      <c r="G641" s="426">
        <v>42313</v>
      </c>
      <c r="H641" s="443">
        <v>3000</v>
      </c>
      <c r="I641" s="428">
        <v>19.059999999999999</v>
      </c>
      <c r="J641" s="429">
        <v>1.05</v>
      </c>
      <c r="K641" s="429">
        <f t="shared" si="126"/>
        <v>57178.94999999999</v>
      </c>
      <c r="L641" s="427"/>
      <c r="M641" s="429"/>
    </row>
    <row r="642" spans="1:13" x14ac:dyDescent="0.25">
      <c r="A642" s="427"/>
      <c r="B642" s="473">
        <v>42227</v>
      </c>
      <c r="C642" s="427">
        <v>200</v>
      </c>
      <c r="D642" s="428">
        <v>19.55</v>
      </c>
      <c r="E642" s="429">
        <v>0</v>
      </c>
      <c r="F642" s="429">
        <f t="shared" si="125"/>
        <v>3910</v>
      </c>
      <c r="G642" s="426">
        <v>42324</v>
      </c>
      <c r="H642" s="443">
        <v>2500</v>
      </c>
      <c r="I642" s="428">
        <v>18.8</v>
      </c>
      <c r="J642" s="429">
        <v>0.86</v>
      </c>
      <c r="K642" s="429">
        <f t="shared" si="126"/>
        <v>46999.14</v>
      </c>
      <c r="L642" s="429"/>
      <c r="M642" s="429"/>
    </row>
    <row r="643" spans="1:13" x14ac:dyDescent="0.25">
      <c r="A643" s="427"/>
      <c r="B643" s="473">
        <v>42234</v>
      </c>
      <c r="C643" s="427">
        <v>40</v>
      </c>
      <c r="D643" s="428">
        <v>18.149999999999999</v>
      </c>
      <c r="E643" s="429">
        <v>0</v>
      </c>
      <c r="F643" s="429">
        <f t="shared" si="125"/>
        <v>726</v>
      </c>
      <c r="G643" s="426">
        <v>42335</v>
      </c>
      <c r="H643" s="443">
        <v>3078</v>
      </c>
      <c r="I643" s="428">
        <v>17.649999999999999</v>
      </c>
      <c r="J643" s="429">
        <v>1</v>
      </c>
      <c r="K643" s="429">
        <f t="shared" si="126"/>
        <v>54325.7</v>
      </c>
      <c r="L643" s="427"/>
      <c r="M643" s="429"/>
    </row>
    <row r="644" spans="1:13" x14ac:dyDescent="0.25">
      <c r="A644" s="427"/>
      <c r="B644" s="473">
        <v>42234</v>
      </c>
      <c r="C644" s="427">
        <v>100</v>
      </c>
      <c r="D644" s="428">
        <v>18</v>
      </c>
      <c r="E644" s="429">
        <v>0</v>
      </c>
      <c r="F644" s="429">
        <f t="shared" si="125"/>
        <v>1800</v>
      </c>
      <c r="G644" s="426">
        <v>42347</v>
      </c>
      <c r="H644" s="443">
        <v>500</v>
      </c>
      <c r="I644" s="428">
        <v>16.149999999999999</v>
      </c>
      <c r="J644" s="429">
        <v>0.15</v>
      </c>
      <c r="K644" s="429">
        <f t="shared" si="126"/>
        <v>8074.8499999999995</v>
      </c>
      <c r="L644" s="427"/>
      <c r="M644" s="429"/>
    </row>
    <row r="645" spans="1:13" x14ac:dyDescent="0.25">
      <c r="A645" s="427"/>
      <c r="B645" s="473">
        <v>42235</v>
      </c>
      <c r="C645" s="427">
        <v>100</v>
      </c>
      <c r="D645" s="428">
        <v>17.78</v>
      </c>
      <c r="E645" s="429">
        <v>0</v>
      </c>
      <c r="F645" s="429">
        <f t="shared" si="125"/>
        <v>1778</v>
      </c>
      <c r="G645" s="426">
        <v>42353</v>
      </c>
      <c r="H645" s="443">
        <v>600</v>
      </c>
      <c r="I645" s="428">
        <v>14.95</v>
      </c>
      <c r="J645" s="429">
        <v>0.17</v>
      </c>
      <c r="K645" s="429">
        <f t="shared" si="126"/>
        <v>8969.83</v>
      </c>
      <c r="L645" s="427"/>
      <c r="M645" s="429"/>
    </row>
    <row r="646" spans="1:13" x14ac:dyDescent="0.25">
      <c r="A646" s="427"/>
      <c r="B646" s="473">
        <v>42235</v>
      </c>
      <c r="C646" s="427">
        <v>100</v>
      </c>
      <c r="D646" s="428">
        <v>17.68</v>
      </c>
      <c r="E646" s="429">
        <v>0</v>
      </c>
      <c r="F646" s="429">
        <f t="shared" si="125"/>
        <v>1768</v>
      </c>
      <c r="G646" s="426">
        <v>42354</v>
      </c>
      <c r="H646" s="443">
        <v>500</v>
      </c>
      <c r="I646" s="428">
        <v>14.32</v>
      </c>
      <c r="J646" s="429">
        <v>0.13</v>
      </c>
      <c r="K646" s="429">
        <f t="shared" si="126"/>
        <v>7159.87</v>
      </c>
      <c r="L646" s="427"/>
      <c r="M646" s="429"/>
    </row>
    <row r="647" spans="1:13" x14ac:dyDescent="0.25">
      <c r="A647" s="427"/>
      <c r="B647" s="473">
        <v>42240</v>
      </c>
      <c r="C647" s="427">
        <v>100</v>
      </c>
      <c r="D647" s="428">
        <v>16.649999999999999</v>
      </c>
      <c r="E647" s="429">
        <v>0</v>
      </c>
      <c r="F647" s="429">
        <f t="shared" si="125"/>
        <v>1664.9999999999998</v>
      </c>
      <c r="G647" s="426">
        <v>42361</v>
      </c>
      <c r="H647" s="443">
        <v>500</v>
      </c>
      <c r="I647" s="428">
        <v>12.83</v>
      </c>
      <c r="J647" s="429">
        <v>0.12</v>
      </c>
      <c r="K647" s="429">
        <f t="shared" si="126"/>
        <v>6414.88</v>
      </c>
      <c r="L647" s="427"/>
      <c r="M647" s="429"/>
    </row>
    <row r="648" spans="1:13" x14ac:dyDescent="0.25">
      <c r="A648" s="427"/>
      <c r="B648" s="473">
        <v>42240</v>
      </c>
      <c r="C648" s="427">
        <v>100</v>
      </c>
      <c r="D648" s="428">
        <v>16.100000000000001</v>
      </c>
      <c r="E648" s="429">
        <v>0</v>
      </c>
      <c r="F648" s="429">
        <f t="shared" si="125"/>
        <v>1610.0000000000002</v>
      </c>
      <c r="G648" s="426">
        <v>42362</v>
      </c>
      <c r="H648" s="443">
        <v>1222</v>
      </c>
      <c r="I648" s="428">
        <v>12.75</v>
      </c>
      <c r="J648" s="429">
        <v>0.28999999999999998</v>
      </c>
      <c r="K648" s="429">
        <f t="shared" si="126"/>
        <v>15580.21</v>
      </c>
      <c r="L648" s="427"/>
      <c r="M648" s="429"/>
    </row>
    <row r="649" spans="1:13" x14ac:dyDescent="0.25">
      <c r="A649" s="427"/>
      <c r="B649" s="473">
        <v>42257</v>
      </c>
      <c r="C649" s="427">
        <v>1500</v>
      </c>
      <c r="D649" s="428">
        <v>16.350000000000001</v>
      </c>
      <c r="E649" s="429">
        <v>0</v>
      </c>
      <c r="F649" s="429">
        <f t="shared" si="125"/>
        <v>24525.000000000004</v>
      </c>
      <c r="G649" s="426">
        <v>42367</v>
      </c>
      <c r="H649" s="443">
        <v>1000</v>
      </c>
      <c r="I649" s="428">
        <v>13.15</v>
      </c>
      <c r="J649" s="429">
        <v>0.24</v>
      </c>
      <c r="K649" s="429">
        <f t="shared" si="126"/>
        <v>13149.76</v>
      </c>
      <c r="L649" s="427"/>
      <c r="M649" s="429"/>
    </row>
    <row r="650" spans="1:13" x14ac:dyDescent="0.25">
      <c r="A650" s="427"/>
      <c r="B650" s="473">
        <v>42258</v>
      </c>
      <c r="C650" s="427">
        <v>100</v>
      </c>
      <c r="D650" s="428">
        <v>16.100000000000001</v>
      </c>
      <c r="E650" s="429">
        <v>0</v>
      </c>
      <c r="F650" s="429">
        <f t="shared" si="125"/>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25"/>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25"/>
        <v>15100</v>
      </c>
      <c r="G652" s="519">
        <v>42374</v>
      </c>
      <c r="H652" s="443">
        <v>2000</v>
      </c>
      <c r="I652" s="428">
        <v>12.81</v>
      </c>
      <c r="J652" s="429">
        <v>0.47</v>
      </c>
      <c r="K652" s="429">
        <f t="shared" ref="K652:K664" si="127">H652*I652-J652</f>
        <v>25619.53</v>
      </c>
      <c r="L652" s="427"/>
      <c r="M652" s="429"/>
    </row>
    <row r="653" spans="1:13" x14ac:dyDescent="0.25">
      <c r="A653" s="427"/>
      <c r="B653" s="473">
        <v>42261</v>
      </c>
      <c r="C653" s="427">
        <v>200</v>
      </c>
      <c r="D653" s="428">
        <v>14.87</v>
      </c>
      <c r="E653" s="429">
        <v>0</v>
      </c>
      <c r="F653" s="429">
        <f t="shared" si="125"/>
        <v>2974</v>
      </c>
      <c r="G653" s="426">
        <v>42374</v>
      </c>
      <c r="H653" s="443">
        <v>1000</v>
      </c>
      <c r="I653" s="428">
        <v>12.82</v>
      </c>
      <c r="J653" s="429">
        <v>0.24</v>
      </c>
      <c r="K653" s="429">
        <f t="shared" si="127"/>
        <v>12819.76</v>
      </c>
      <c r="L653" s="427"/>
      <c r="M653" s="429"/>
    </row>
    <row r="654" spans="1:13" x14ac:dyDescent="0.25">
      <c r="A654" s="427"/>
      <c r="B654" s="473">
        <v>42261</v>
      </c>
      <c r="C654" s="427">
        <v>300</v>
      </c>
      <c r="D654" s="428">
        <v>14.87</v>
      </c>
      <c r="E654" s="429">
        <v>0</v>
      </c>
      <c r="F654" s="429">
        <f t="shared" si="125"/>
        <v>4461</v>
      </c>
      <c r="G654" s="426">
        <v>42398</v>
      </c>
      <c r="H654" s="443">
        <v>400</v>
      </c>
      <c r="I654" s="428">
        <v>9.5500000000000007</v>
      </c>
      <c r="J654" s="429">
        <v>7.0000000000000007E-2</v>
      </c>
      <c r="K654" s="429">
        <f t="shared" si="127"/>
        <v>3819.9300000000003</v>
      </c>
      <c r="L654" s="427"/>
      <c r="M654" s="429"/>
    </row>
    <row r="655" spans="1:13" x14ac:dyDescent="0.25">
      <c r="A655" s="427"/>
      <c r="B655" s="473">
        <v>42270</v>
      </c>
      <c r="C655" s="427">
        <v>478</v>
      </c>
      <c r="D655" s="428">
        <v>15.85</v>
      </c>
      <c r="E655" s="429">
        <v>0</v>
      </c>
      <c r="F655" s="429">
        <f t="shared" si="125"/>
        <v>7576.3</v>
      </c>
      <c r="G655" s="426">
        <v>42411</v>
      </c>
      <c r="H655" s="443">
        <v>500</v>
      </c>
      <c r="I655" s="428">
        <v>6.97</v>
      </c>
      <c r="J655" s="429">
        <v>0.08</v>
      </c>
      <c r="K655" s="429">
        <f t="shared" si="127"/>
        <v>3484.92</v>
      </c>
      <c r="L655" s="427"/>
      <c r="M655" s="429"/>
    </row>
    <row r="656" spans="1:13" x14ac:dyDescent="0.25">
      <c r="A656" s="427"/>
      <c r="B656" s="473">
        <v>42292</v>
      </c>
      <c r="C656" s="427">
        <v>500</v>
      </c>
      <c r="D656" s="428">
        <v>18.55</v>
      </c>
      <c r="E656" s="429">
        <v>0</v>
      </c>
      <c r="F656" s="429">
        <f t="shared" si="125"/>
        <v>9275</v>
      </c>
      <c r="G656" s="426">
        <v>42412</v>
      </c>
      <c r="H656" s="443">
        <v>200</v>
      </c>
      <c r="I656" s="428">
        <v>7.45</v>
      </c>
      <c r="J656" s="429">
        <v>0.03</v>
      </c>
      <c r="K656" s="429">
        <f t="shared" si="127"/>
        <v>1489.97</v>
      </c>
      <c r="L656" s="427"/>
      <c r="M656" s="429"/>
    </row>
    <row r="657" spans="1:13" x14ac:dyDescent="0.25">
      <c r="A657" s="427"/>
      <c r="B657" s="473">
        <v>42299</v>
      </c>
      <c r="C657" s="427">
        <v>500</v>
      </c>
      <c r="D657" s="428">
        <v>18.55</v>
      </c>
      <c r="E657" s="429">
        <v>0</v>
      </c>
      <c r="F657" s="429">
        <f t="shared" si="125"/>
        <v>9275</v>
      </c>
      <c r="G657" s="426">
        <v>42416</v>
      </c>
      <c r="H657" s="443">
        <v>500</v>
      </c>
      <c r="I657" s="428">
        <v>7.75</v>
      </c>
      <c r="J657" s="429">
        <v>0.08</v>
      </c>
      <c r="K657" s="429">
        <f t="shared" si="127"/>
        <v>3874.92</v>
      </c>
      <c r="L657" s="427"/>
      <c r="M657" s="429"/>
    </row>
    <row r="658" spans="1:13" x14ac:dyDescent="0.25">
      <c r="A658" s="427"/>
      <c r="B658" s="473">
        <v>42299</v>
      </c>
      <c r="C658" s="427">
        <v>500</v>
      </c>
      <c r="D658" s="428">
        <v>18.28</v>
      </c>
      <c r="E658" s="429">
        <v>0</v>
      </c>
      <c r="F658" s="429">
        <f t="shared" si="125"/>
        <v>9140</v>
      </c>
      <c r="G658" s="426">
        <v>42422</v>
      </c>
      <c r="H658" s="443">
        <v>2500</v>
      </c>
      <c r="I658" s="428">
        <v>7.47</v>
      </c>
      <c r="J658" s="429">
        <v>0.41</v>
      </c>
      <c r="K658" s="429">
        <f t="shared" si="127"/>
        <v>18674.59</v>
      </c>
      <c r="L658" s="427"/>
      <c r="M658" s="429"/>
    </row>
    <row r="659" spans="1:13" x14ac:dyDescent="0.25">
      <c r="A659" s="427"/>
      <c r="B659" s="473">
        <v>42299</v>
      </c>
      <c r="C659" s="427">
        <v>1000</v>
      </c>
      <c r="D659" s="428">
        <v>18.100000000000001</v>
      </c>
      <c r="E659" s="429">
        <v>0</v>
      </c>
      <c r="F659" s="429">
        <f t="shared" si="125"/>
        <v>18100</v>
      </c>
      <c r="G659" s="426">
        <v>42422</v>
      </c>
      <c r="H659" s="443">
        <v>1000</v>
      </c>
      <c r="I659" s="428">
        <v>7.49</v>
      </c>
      <c r="J659" s="429">
        <v>0.16</v>
      </c>
      <c r="K659" s="429">
        <f t="shared" si="127"/>
        <v>7489.84</v>
      </c>
      <c r="L659" s="427"/>
      <c r="M659" s="429"/>
    </row>
    <row r="660" spans="1:13" x14ac:dyDescent="0.25">
      <c r="A660" s="427"/>
      <c r="B660" s="534">
        <v>42306</v>
      </c>
      <c r="C660" s="427">
        <v>660</v>
      </c>
      <c r="D660" s="428">
        <v>17.8</v>
      </c>
      <c r="E660" s="429">
        <v>0</v>
      </c>
      <c r="F660" s="429">
        <f t="shared" si="125"/>
        <v>11748</v>
      </c>
      <c r="G660" s="426">
        <v>42426</v>
      </c>
      <c r="H660" s="443">
        <v>900</v>
      </c>
      <c r="I660" s="428">
        <v>7.7</v>
      </c>
      <c r="J660" s="429">
        <v>0.15</v>
      </c>
      <c r="K660" s="429">
        <f t="shared" si="127"/>
        <v>6929.85</v>
      </c>
      <c r="L660" s="427"/>
      <c r="M660" s="429"/>
    </row>
    <row r="661" spans="1:13" ht="30" x14ac:dyDescent="0.25">
      <c r="A661" s="427"/>
      <c r="B661" s="534"/>
      <c r="C661" s="427">
        <v>340</v>
      </c>
      <c r="D661" s="428">
        <v>17.8</v>
      </c>
      <c r="E661" s="429">
        <v>0</v>
      </c>
      <c r="F661" s="429">
        <f t="shared" si="125"/>
        <v>6052</v>
      </c>
      <c r="G661" s="537" t="s">
        <v>180</v>
      </c>
      <c r="H661" s="443">
        <v>500</v>
      </c>
      <c r="I661" s="428">
        <v>7.73</v>
      </c>
      <c r="J661" s="429">
        <v>0.08</v>
      </c>
      <c r="K661" s="429">
        <f t="shared" si="127"/>
        <v>3864.92</v>
      </c>
      <c r="L661" s="427"/>
      <c r="M661" s="429"/>
    </row>
    <row r="662" spans="1:13" x14ac:dyDescent="0.25">
      <c r="A662" s="427"/>
      <c r="B662" s="473">
        <v>42312</v>
      </c>
      <c r="C662" s="520">
        <v>500</v>
      </c>
      <c r="D662" s="517">
        <v>17.559999999999999</v>
      </c>
      <c r="E662" s="518">
        <v>6.95</v>
      </c>
      <c r="F662" s="518">
        <f t="shared" si="125"/>
        <v>8786.9500000000007</v>
      </c>
      <c r="G662" s="537"/>
      <c r="H662" s="443">
        <v>500</v>
      </c>
      <c r="I662" s="428">
        <v>7.96</v>
      </c>
      <c r="J662" s="429">
        <v>0.09</v>
      </c>
      <c r="K662" s="429">
        <f t="shared" si="127"/>
        <v>3979.91</v>
      </c>
      <c r="L662" s="427"/>
      <c r="M662" s="429"/>
    </row>
    <row r="663" spans="1:13" x14ac:dyDescent="0.25">
      <c r="A663" s="427"/>
      <c r="B663" s="473">
        <v>42313</v>
      </c>
      <c r="C663" s="427">
        <v>3000</v>
      </c>
      <c r="D663" s="428">
        <v>19.05</v>
      </c>
      <c r="E663" s="429">
        <v>0</v>
      </c>
      <c r="F663" s="429">
        <f t="shared" si="125"/>
        <v>57150</v>
      </c>
      <c r="G663" s="537"/>
      <c r="H663" s="443">
        <v>500</v>
      </c>
      <c r="I663" s="428">
        <v>8.0299999999999994</v>
      </c>
      <c r="J663" s="429">
        <v>0.09</v>
      </c>
      <c r="K663" s="429">
        <f t="shared" si="127"/>
        <v>4014.9099999999994</v>
      </c>
      <c r="L663" s="427"/>
      <c r="M663" s="428"/>
    </row>
    <row r="664" spans="1:13" x14ac:dyDescent="0.25">
      <c r="A664" s="427"/>
      <c r="B664" s="473">
        <v>42320</v>
      </c>
      <c r="C664" s="427">
        <v>500</v>
      </c>
      <c r="D664" s="428">
        <v>18.079999999999998</v>
      </c>
      <c r="E664" s="429">
        <v>0</v>
      </c>
      <c r="F664" s="429">
        <f t="shared" si="125"/>
        <v>9040</v>
      </c>
      <c r="G664" s="537"/>
      <c r="H664" s="443">
        <v>1500</v>
      </c>
      <c r="I664" s="428">
        <v>8.1</v>
      </c>
      <c r="J664" s="429">
        <v>0.26</v>
      </c>
      <c r="K664" s="429">
        <f t="shared" si="127"/>
        <v>12149.74</v>
      </c>
      <c r="L664" s="427"/>
      <c r="M664" s="429"/>
    </row>
    <row r="665" spans="1:13" x14ac:dyDescent="0.25">
      <c r="A665" s="427"/>
      <c r="B665" s="473">
        <v>42320</v>
      </c>
      <c r="C665" s="427">
        <v>1000</v>
      </c>
      <c r="D665" s="428">
        <v>18.05</v>
      </c>
      <c r="E665" s="429">
        <v>0</v>
      </c>
      <c r="F665" s="429">
        <f t="shared" si="125"/>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25"/>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25"/>
        <v>53772.659999999996</v>
      </c>
      <c r="G667" s="426">
        <v>42429</v>
      </c>
      <c r="H667" s="443">
        <v>500</v>
      </c>
      <c r="I667" s="428">
        <v>7.97</v>
      </c>
      <c r="J667" s="429">
        <v>0.09</v>
      </c>
      <c r="K667" s="429">
        <f t="shared" ref="K667:K726" si="128">H667*I667-J667</f>
        <v>3984.91</v>
      </c>
      <c r="L667" s="427"/>
      <c r="M667" s="429"/>
    </row>
    <row r="668" spans="1:13" x14ac:dyDescent="0.25">
      <c r="A668" s="427"/>
      <c r="B668" s="473">
        <v>42340</v>
      </c>
      <c r="C668" s="427">
        <v>3078</v>
      </c>
      <c r="D668" s="428">
        <v>17.739999999999998</v>
      </c>
      <c r="E668" s="429">
        <v>0</v>
      </c>
      <c r="F668" s="429">
        <f t="shared" si="125"/>
        <v>54603.719999999994</v>
      </c>
      <c r="G668" s="426">
        <v>42430</v>
      </c>
      <c r="H668" s="443">
        <v>500</v>
      </c>
      <c r="I668" s="428">
        <v>7.85</v>
      </c>
      <c r="J668" s="429">
        <v>0.09</v>
      </c>
      <c r="K668" s="429">
        <f t="shared" si="128"/>
        <v>3924.91</v>
      </c>
      <c r="L668" s="427"/>
      <c r="M668" s="429"/>
    </row>
    <row r="669" spans="1:13" x14ac:dyDescent="0.25">
      <c r="A669" s="427"/>
      <c r="B669" s="473">
        <v>42340</v>
      </c>
      <c r="C669" s="427">
        <v>500</v>
      </c>
      <c r="D669" s="428">
        <v>17.5</v>
      </c>
      <c r="E669" s="429">
        <v>0</v>
      </c>
      <c r="F669" s="429">
        <f t="shared" si="125"/>
        <v>8750</v>
      </c>
      <c r="G669" s="426">
        <v>42430</v>
      </c>
      <c r="H669" s="443">
        <v>500</v>
      </c>
      <c r="I669" s="428">
        <v>8.0299999999999994</v>
      </c>
      <c r="J669" s="429">
        <v>0.09</v>
      </c>
      <c r="K669" s="429">
        <f t="shared" si="128"/>
        <v>4014.9099999999994</v>
      </c>
      <c r="L669" s="429"/>
      <c r="M669" s="429"/>
    </row>
    <row r="670" spans="1:13" x14ac:dyDescent="0.25">
      <c r="A670" s="427"/>
      <c r="B670" s="473">
        <v>42345</v>
      </c>
      <c r="C670" s="427">
        <v>100</v>
      </c>
      <c r="D670" s="428">
        <v>16.7</v>
      </c>
      <c r="E670" s="429">
        <v>0</v>
      </c>
      <c r="F670" s="429">
        <f t="shared" si="125"/>
        <v>1670</v>
      </c>
      <c r="G670" s="426">
        <v>42431</v>
      </c>
      <c r="H670" s="443">
        <v>500</v>
      </c>
      <c r="I670" s="428">
        <v>8.3800000000000008</v>
      </c>
      <c r="J670" s="429">
        <v>0.09</v>
      </c>
      <c r="K670" s="429">
        <f t="shared" si="128"/>
        <v>4189.91</v>
      </c>
      <c r="L670" s="429"/>
      <c r="M670" s="429"/>
    </row>
    <row r="671" spans="1:13" x14ac:dyDescent="0.25">
      <c r="A671" s="427"/>
      <c r="B671" s="473">
        <v>42345</v>
      </c>
      <c r="C671" s="427">
        <v>500</v>
      </c>
      <c r="D671" s="428">
        <v>16.850000000000001</v>
      </c>
      <c r="E671" s="429">
        <v>0</v>
      </c>
      <c r="F671" s="429">
        <f t="shared" si="125"/>
        <v>8425</v>
      </c>
      <c r="G671" s="426">
        <v>42431</v>
      </c>
      <c r="H671" s="443">
        <v>500</v>
      </c>
      <c r="I671" s="428">
        <v>8.58</v>
      </c>
      <c r="J671" s="429">
        <v>0.09</v>
      </c>
      <c r="K671" s="429">
        <f t="shared" si="128"/>
        <v>4289.91</v>
      </c>
      <c r="L671" s="427"/>
      <c r="M671" s="429"/>
    </row>
    <row r="672" spans="1:13" ht="30" x14ac:dyDescent="0.25">
      <c r="A672" s="427"/>
      <c r="B672" s="473">
        <v>42347</v>
      </c>
      <c r="C672" s="427">
        <v>500</v>
      </c>
      <c r="D672" s="428">
        <v>15.84</v>
      </c>
      <c r="E672" s="429">
        <v>0</v>
      </c>
      <c r="F672" s="429">
        <f t="shared" si="125"/>
        <v>7920</v>
      </c>
      <c r="G672" s="536" t="s">
        <v>182</v>
      </c>
      <c r="H672" s="443">
        <v>400</v>
      </c>
      <c r="I672" s="428">
        <v>9.09</v>
      </c>
      <c r="J672" s="429">
        <v>0.1</v>
      </c>
      <c r="K672" s="429">
        <f t="shared" si="128"/>
        <v>3635.9</v>
      </c>
      <c r="L672" s="427"/>
      <c r="M672" s="429"/>
    </row>
    <row r="673" spans="1:13" x14ac:dyDescent="0.25">
      <c r="A673" s="427"/>
      <c r="B673" s="473">
        <v>42348</v>
      </c>
      <c r="C673" s="427">
        <v>500</v>
      </c>
      <c r="D673" s="428">
        <v>14.78</v>
      </c>
      <c r="E673" s="429">
        <v>0</v>
      </c>
      <c r="F673" s="429">
        <f t="shared" si="125"/>
        <v>7390</v>
      </c>
      <c r="G673" s="536"/>
      <c r="H673" s="443">
        <v>100</v>
      </c>
      <c r="I673" s="428">
        <v>9.09</v>
      </c>
      <c r="J673" s="429">
        <v>0</v>
      </c>
      <c r="K673" s="429">
        <f t="shared" si="128"/>
        <v>909</v>
      </c>
      <c r="L673" s="427"/>
      <c r="M673" s="429"/>
    </row>
    <row r="674" spans="1:13" x14ac:dyDescent="0.25">
      <c r="A674" s="427"/>
      <c r="B674" s="473">
        <v>42352</v>
      </c>
      <c r="C674" s="427">
        <v>100</v>
      </c>
      <c r="D674" s="428">
        <v>14.57</v>
      </c>
      <c r="E674" s="429">
        <v>0</v>
      </c>
      <c r="F674" s="429">
        <f t="shared" si="125"/>
        <v>1457</v>
      </c>
      <c r="G674" s="536"/>
      <c r="H674" s="443">
        <v>500</v>
      </c>
      <c r="I674" s="428">
        <v>8.81</v>
      </c>
      <c r="J674" s="429">
        <v>0.1</v>
      </c>
      <c r="K674" s="429">
        <f t="shared" si="128"/>
        <v>4404.8999999999996</v>
      </c>
      <c r="L674" s="427"/>
      <c r="M674" s="429"/>
    </row>
    <row r="675" spans="1:13" x14ac:dyDescent="0.25">
      <c r="A675" s="427"/>
      <c r="B675" s="473">
        <v>42355</v>
      </c>
      <c r="C675" s="427">
        <v>500</v>
      </c>
      <c r="D675" s="428">
        <v>13.89</v>
      </c>
      <c r="E675" s="429">
        <v>0</v>
      </c>
      <c r="F675" s="429">
        <f t="shared" si="125"/>
        <v>6945</v>
      </c>
      <c r="G675" s="426">
        <v>42432</v>
      </c>
      <c r="H675" s="443">
        <v>600</v>
      </c>
      <c r="I675" s="428">
        <v>9.65</v>
      </c>
      <c r="J675" s="429">
        <v>0.13</v>
      </c>
      <c r="K675" s="429">
        <f t="shared" si="128"/>
        <v>5789.87</v>
      </c>
      <c r="L675" s="427"/>
      <c r="M675" s="429"/>
    </row>
    <row r="676" spans="1:13" x14ac:dyDescent="0.25">
      <c r="A676" s="427"/>
      <c r="B676" s="473">
        <v>42360</v>
      </c>
      <c r="C676" s="427">
        <v>500</v>
      </c>
      <c r="D676" s="428">
        <v>12.95</v>
      </c>
      <c r="E676" s="429">
        <v>0</v>
      </c>
      <c r="F676" s="429">
        <f t="shared" si="125"/>
        <v>6475</v>
      </c>
      <c r="G676" s="426">
        <v>42433</v>
      </c>
      <c r="H676" s="443">
        <v>600</v>
      </c>
      <c r="I676" s="428">
        <v>10.45</v>
      </c>
      <c r="J676" s="429">
        <v>0.14000000000000001</v>
      </c>
      <c r="K676" s="429">
        <f t="shared" si="128"/>
        <v>6269.86</v>
      </c>
      <c r="L676" s="427"/>
      <c r="M676" s="429"/>
    </row>
    <row r="677" spans="1:13" x14ac:dyDescent="0.25">
      <c r="A677" s="427"/>
      <c r="B677" s="473">
        <v>42361</v>
      </c>
      <c r="C677" s="427">
        <v>500</v>
      </c>
      <c r="D677" s="428">
        <v>12.75</v>
      </c>
      <c r="E677" s="429">
        <v>0</v>
      </c>
      <c r="F677" s="429">
        <f t="shared" si="125"/>
        <v>6375</v>
      </c>
      <c r="G677" s="426">
        <v>42440</v>
      </c>
      <c r="H677" s="443">
        <v>400</v>
      </c>
      <c r="I677" s="428">
        <v>11.25</v>
      </c>
      <c r="J677" s="429">
        <v>0.1</v>
      </c>
      <c r="K677" s="429">
        <f t="shared" si="128"/>
        <v>4499.8999999999996</v>
      </c>
      <c r="L677" s="427"/>
      <c r="M677" s="429"/>
    </row>
    <row r="678" spans="1:13" x14ac:dyDescent="0.25">
      <c r="A678" s="427"/>
      <c r="B678" s="473">
        <v>42361</v>
      </c>
      <c r="C678" s="427">
        <v>500</v>
      </c>
      <c r="D678" s="428">
        <v>12.8</v>
      </c>
      <c r="E678" s="429">
        <v>0</v>
      </c>
      <c r="F678" s="429">
        <f t="shared" si="125"/>
        <v>6400</v>
      </c>
      <c r="G678" s="426">
        <v>42446</v>
      </c>
      <c r="H678" s="443">
        <v>1500</v>
      </c>
      <c r="I678" s="428">
        <v>11.49</v>
      </c>
      <c r="J678" s="429">
        <v>0.38</v>
      </c>
      <c r="K678" s="429">
        <f t="shared" si="128"/>
        <v>17234.62</v>
      </c>
      <c r="L678" s="427"/>
      <c r="M678" s="429"/>
    </row>
    <row r="679" spans="1:13" x14ac:dyDescent="0.25">
      <c r="A679" s="427"/>
      <c r="B679" s="473">
        <v>42361</v>
      </c>
      <c r="C679" s="427">
        <v>1000</v>
      </c>
      <c r="D679" s="428">
        <v>12.67</v>
      </c>
      <c r="E679" s="429">
        <v>0</v>
      </c>
      <c r="F679" s="429">
        <f t="shared" si="125"/>
        <v>12670</v>
      </c>
      <c r="G679" s="426">
        <v>42447</v>
      </c>
      <c r="H679" s="443">
        <v>1500</v>
      </c>
      <c r="I679" s="428">
        <v>11.44</v>
      </c>
      <c r="J679" s="429">
        <v>0.37</v>
      </c>
      <c r="K679" s="429">
        <f t="shared" si="128"/>
        <v>17159.63</v>
      </c>
      <c r="L679" s="427"/>
      <c r="M679" s="429"/>
    </row>
    <row r="680" spans="1:13" x14ac:dyDescent="0.25">
      <c r="A680" s="427"/>
      <c r="B680" s="473">
        <v>42361</v>
      </c>
      <c r="C680" s="427">
        <v>222</v>
      </c>
      <c r="D680" s="428">
        <v>12.44</v>
      </c>
      <c r="E680" s="429">
        <v>0</v>
      </c>
      <c r="F680" s="429">
        <f t="shared" si="125"/>
        <v>2761.68</v>
      </c>
      <c r="G680" s="426">
        <v>42447</v>
      </c>
      <c r="H680" s="443">
        <v>500</v>
      </c>
      <c r="I680" s="428">
        <v>11.484999999999999</v>
      </c>
      <c r="J680" s="429">
        <v>0.13</v>
      </c>
      <c r="K680" s="429">
        <f t="shared" si="128"/>
        <v>5742.37</v>
      </c>
      <c r="L680" s="427"/>
      <c r="M680" s="429"/>
    </row>
    <row r="681" spans="1:13" x14ac:dyDescent="0.25">
      <c r="A681" s="427"/>
      <c r="B681" s="473">
        <v>42367</v>
      </c>
      <c r="C681" s="427">
        <v>2178</v>
      </c>
      <c r="D681" s="428">
        <v>13.68</v>
      </c>
      <c r="E681" s="429">
        <v>0</v>
      </c>
      <c r="F681" s="429">
        <f t="shared" si="125"/>
        <v>29795.040000000001</v>
      </c>
      <c r="G681" s="535">
        <v>42447</v>
      </c>
      <c r="H681" s="443">
        <v>650</v>
      </c>
      <c r="I681" s="428">
        <v>11.56</v>
      </c>
      <c r="J681" s="429">
        <v>0.25</v>
      </c>
      <c r="K681" s="429">
        <f t="shared" si="128"/>
        <v>7513.75</v>
      </c>
      <c r="L681" s="427"/>
      <c r="M681" s="429"/>
    </row>
    <row r="682" spans="1:13" x14ac:dyDescent="0.25">
      <c r="A682" s="427"/>
      <c r="B682" s="473">
        <v>42369</v>
      </c>
      <c r="C682" s="427">
        <v>2500</v>
      </c>
      <c r="D682" s="428">
        <v>13.04</v>
      </c>
      <c r="E682" s="429">
        <v>0</v>
      </c>
      <c r="F682" s="429">
        <f t="shared" si="125"/>
        <v>32599.999999999996</v>
      </c>
      <c r="G682" s="535"/>
      <c r="H682" s="443">
        <v>350</v>
      </c>
      <c r="I682" s="428">
        <v>11.56</v>
      </c>
      <c r="J682" s="429">
        <v>0</v>
      </c>
      <c r="K682" s="429">
        <f t="shared" si="128"/>
        <v>4046</v>
      </c>
      <c r="L682" s="427"/>
      <c r="M682" s="429"/>
    </row>
    <row r="683" spans="1:13" x14ac:dyDescent="0.25">
      <c r="A683" s="427"/>
      <c r="B683" s="473">
        <v>42008</v>
      </c>
      <c r="C683" s="427">
        <v>2000</v>
      </c>
      <c r="D683" s="428">
        <v>13.01</v>
      </c>
      <c r="E683" s="429">
        <v>0</v>
      </c>
      <c r="F683" s="429">
        <f t="shared" si="125"/>
        <v>26020</v>
      </c>
      <c r="G683" s="426">
        <v>42447</v>
      </c>
      <c r="H683" s="443">
        <v>1000</v>
      </c>
      <c r="I683" s="428">
        <v>11.62</v>
      </c>
      <c r="J683" s="429">
        <v>0.25</v>
      </c>
      <c r="K683" s="429">
        <f t="shared" si="128"/>
        <v>11619.75</v>
      </c>
      <c r="L683" s="427"/>
      <c r="M683" s="429"/>
    </row>
    <row r="684" spans="1:13" x14ac:dyDescent="0.25">
      <c r="A684" s="427"/>
      <c r="B684" s="473">
        <v>42009</v>
      </c>
      <c r="C684" s="427">
        <v>500</v>
      </c>
      <c r="D684" s="428">
        <v>12.62</v>
      </c>
      <c r="E684" s="429">
        <v>0</v>
      </c>
      <c r="F684" s="429">
        <f t="shared" si="125"/>
        <v>6310</v>
      </c>
      <c r="G684" s="426">
        <v>42451</v>
      </c>
      <c r="H684" s="443">
        <v>1000</v>
      </c>
      <c r="I684" s="428">
        <v>11.45</v>
      </c>
      <c r="J684" s="429">
        <v>0.25</v>
      </c>
      <c r="K684" s="429">
        <f t="shared" si="128"/>
        <v>11449.75</v>
      </c>
      <c r="L684" s="427"/>
      <c r="M684" s="429"/>
    </row>
    <row r="685" spans="1:13" x14ac:dyDescent="0.25">
      <c r="A685" s="427"/>
      <c r="B685" s="473">
        <v>42009</v>
      </c>
      <c r="C685" s="427">
        <v>500</v>
      </c>
      <c r="D685" s="428">
        <v>12.45</v>
      </c>
      <c r="E685" s="429">
        <v>0</v>
      </c>
      <c r="F685" s="429">
        <f t="shared" si="125"/>
        <v>6225</v>
      </c>
      <c r="G685" s="426">
        <v>42451</v>
      </c>
      <c r="H685" s="443">
        <v>50</v>
      </c>
      <c r="I685" s="428">
        <v>11.28</v>
      </c>
      <c r="J685" s="429">
        <v>0.01</v>
      </c>
      <c r="K685" s="429">
        <f t="shared" si="128"/>
        <v>563.99</v>
      </c>
      <c r="L685" s="427"/>
      <c r="M685" s="429"/>
    </row>
    <row r="686" spans="1:13" x14ac:dyDescent="0.25">
      <c r="A686" s="427"/>
      <c r="B686" s="522">
        <v>42374</v>
      </c>
      <c r="C686" s="427">
        <v>2000</v>
      </c>
      <c r="D686" s="428">
        <v>12.73</v>
      </c>
      <c r="E686" s="429">
        <v>0</v>
      </c>
      <c r="F686" s="429">
        <f t="shared" ref="F686:F749" si="129">C686*D686+E686</f>
        <v>25460</v>
      </c>
      <c r="G686" s="426">
        <v>42459</v>
      </c>
      <c r="H686" s="443">
        <v>2000</v>
      </c>
      <c r="I686" s="428">
        <v>10.75</v>
      </c>
      <c r="J686" s="429">
        <v>0.47</v>
      </c>
      <c r="K686" s="429">
        <f t="shared" si="128"/>
        <v>21499.53</v>
      </c>
      <c r="L686" s="427"/>
      <c r="M686" s="429"/>
    </row>
    <row r="687" spans="1:13" x14ac:dyDescent="0.25">
      <c r="A687" s="427"/>
      <c r="B687" s="473">
        <v>42375</v>
      </c>
      <c r="C687" s="427">
        <v>1000</v>
      </c>
      <c r="D687" s="428">
        <v>12.5</v>
      </c>
      <c r="E687" s="429">
        <v>0</v>
      </c>
      <c r="F687" s="429">
        <f t="shared" si="129"/>
        <v>12500</v>
      </c>
      <c r="G687" s="426">
        <v>42460</v>
      </c>
      <c r="H687" s="443">
        <v>1600</v>
      </c>
      <c r="I687" s="428">
        <v>10.95</v>
      </c>
      <c r="J687" s="429">
        <v>2.88</v>
      </c>
      <c r="K687" s="429">
        <f t="shared" si="128"/>
        <v>17517.12</v>
      </c>
      <c r="L687" s="427"/>
      <c r="M687" s="429"/>
    </row>
    <row r="688" spans="1:13" x14ac:dyDescent="0.25">
      <c r="A688" s="427"/>
      <c r="B688" s="473">
        <v>42375</v>
      </c>
      <c r="C688" s="427">
        <v>1000</v>
      </c>
      <c r="D688" s="428">
        <v>11.7</v>
      </c>
      <c r="E688" s="429">
        <v>0</v>
      </c>
      <c r="F688" s="429">
        <f t="shared" si="129"/>
        <v>11700</v>
      </c>
      <c r="G688" s="426">
        <v>42461</v>
      </c>
      <c r="H688" s="443">
        <v>2000</v>
      </c>
      <c r="I688" s="428">
        <v>10.52</v>
      </c>
      <c r="J688" s="429">
        <v>0.46</v>
      </c>
      <c r="K688" s="429">
        <f t="shared" si="128"/>
        <v>21039.54</v>
      </c>
      <c r="L688" s="427"/>
      <c r="M688" s="429"/>
    </row>
    <row r="689" spans="1:13" x14ac:dyDescent="0.25">
      <c r="A689" s="427"/>
      <c r="B689" s="473">
        <v>42402</v>
      </c>
      <c r="C689" s="427">
        <v>400</v>
      </c>
      <c r="D689" s="428">
        <v>9.1</v>
      </c>
      <c r="E689" s="429">
        <v>0</v>
      </c>
      <c r="F689" s="429">
        <f t="shared" si="129"/>
        <v>3640</v>
      </c>
      <c r="G689" s="426">
        <v>42461</v>
      </c>
      <c r="H689" s="443">
        <v>2000</v>
      </c>
      <c r="I689" s="428">
        <v>10.55</v>
      </c>
      <c r="J689" s="429">
        <v>0.46</v>
      </c>
      <c r="K689" s="429">
        <f t="shared" si="128"/>
        <v>21099.54</v>
      </c>
      <c r="L689" s="427"/>
      <c r="M689" s="429"/>
    </row>
    <row r="690" spans="1:13" x14ac:dyDescent="0.25">
      <c r="A690" s="427"/>
      <c r="B690" s="473">
        <v>42411</v>
      </c>
      <c r="C690" s="427">
        <v>500</v>
      </c>
      <c r="D690" s="428">
        <v>6.835</v>
      </c>
      <c r="E690" s="429">
        <v>0</v>
      </c>
      <c r="F690" s="429">
        <f t="shared" si="129"/>
        <v>3417.5</v>
      </c>
      <c r="G690" s="426">
        <v>42465</v>
      </c>
      <c r="H690" s="443">
        <v>100</v>
      </c>
      <c r="I690" s="428">
        <v>10.75</v>
      </c>
      <c r="J690" s="429">
        <v>0.02</v>
      </c>
      <c r="K690" s="429">
        <f t="shared" si="128"/>
        <v>1074.98</v>
      </c>
      <c r="L690" s="427"/>
      <c r="M690" s="429"/>
    </row>
    <row r="691" spans="1:13" x14ac:dyDescent="0.25">
      <c r="A691" s="427"/>
      <c r="B691" s="473">
        <v>42412</v>
      </c>
      <c r="C691" s="427">
        <v>200</v>
      </c>
      <c r="D691" s="428">
        <v>7.23</v>
      </c>
      <c r="E691" s="429">
        <v>0</v>
      </c>
      <c r="F691" s="429">
        <f t="shared" si="129"/>
        <v>1446</v>
      </c>
      <c r="G691" s="426">
        <v>42468</v>
      </c>
      <c r="H691" s="443">
        <v>1000</v>
      </c>
      <c r="I691" s="428">
        <v>11.77</v>
      </c>
      <c r="J691" s="429">
        <v>0.26</v>
      </c>
      <c r="K691" s="429">
        <f t="shared" si="128"/>
        <v>11769.74</v>
      </c>
      <c r="L691" s="427"/>
      <c r="M691" s="429"/>
    </row>
    <row r="692" spans="1:13" x14ac:dyDescent="0.25">
      <c r="A692" s="427"/>
      <c r="B692" s="473">
        <v>42416</v>
      </c>
      <c r="C692" s="427">
        <v>500</v>
      </c>
      <c r="D692" s="428">
        <v>7.5</v>
      </c>
      <c r="E692" s="429">
        <v>0</v>
      </c>
      <c r="F692" s="429">
        <f t="shared" si="129"/>
        <v>3750</v>
      </c>
      <c r="G692" s="535">
        <v>42472</v>
      </c>
      <c r="H692" s="443">
        <v>420</v>
      </c>
      <c r="I692" s="428">
        <v>13.35</v>
      </c>
      <c r="J692" s="429">
        <v>0.15</v>
      </c>
      <c r="K692" s="429">
        <f t="shared" si="128"/>
        <v>5606.85</v>
      </c>
      <c r="L692" s="427"/>
      <c r="M692" s="429"/>
    </row>
    <row r="693" spans="1:13" ht="30" x14ac:dyDescent="0.25">
      <c r="A693" s="427"/>
      <c r="B693" s="538" t="s">
        <v>178</v>
      </c>
      <c r="C693" s="427">
        <v>3000</v>
      </c>
      <c r="D693" s="428">
        <v>7.55</v>
      </c>
      <c r="E693" s="429">
        <v>0</v>
      </c>
      <c r="F693" s="429">
        <f t="shared" si="129"/>
        <v>22650</v>
      </c>
      <c r="G693" s="535"/>
      <c r="H693" s="443">
        <v>80</v>
      </c>
      <c r="I693" s="428">
        <v>13.35</v>
      </c>
      <c r="J693" s="429">
        <v>0</v>
      </c>
      <c r="K693" s="429">
        <f t="shared" si="128"/>
        <v>1068</v>
      </c>
      <c r="L693" s="427"/>
      <c r="M693" s="429"/>
    </row>
    <row r="694" spans="1:13" x14ac:dyDescent="0.25">
      <c r="A694" s="427"/>
      <c r="B694" s="538"/>
      <c r="C694" s="427">
        <v>500</v>
      </c>
      <c r="D694" s="428">
        <v>6.75</v>
      </c>
      <c r="E694" s="429">
        <v>0</v>
      </c>
      <c r="F694" s="429">
        <f t="shared" si="129"/>
        <v>3375</v>
      </c>
      <c r="G694" s="426">
        <v>42472</v>
      </c>
      <c r="H694" s="443">
        <v>500</v>
      </c>
      <c r="I694" s="428">
        <v>13.15</v>
      </c>
      <c r="J694" s="429">
        <v>0.14000000000000001</v>
      </c>
      <c r="K694" s="429">
        <f t="shared" si="128"/>
        <v>6574.86</v>
      </c>
      <c r="L694" s="427"/>
      <c r="M694" s="429"/>
    </row>
    <row r="695" spans="1:13" x14ac:dyDescent="0.25">
      <c r="A695" s="427"/>
      <c r="B695" s="538"/>
      <c r="C695" s="427">
        <v>300</v>
      </c>
      <c r="D695" s="428">
        <v>6.75</v>
      </c>
      <c r="E695" s="429">
        <v>0</v>
      </c>
      <c r="F695" s="429">
        <f t="shared" si="129"/>
        <v>2025</v>
      </c>
      <c r="G695" s="426">
        <v>42472</v>
      </c>
      <c r="H695" s="443">
        <v>500</v>
      </c>
      <c r="I695" s="428">
        <v>12.92</v>
      </c>
      <c r="J695" s="429">
        <v>0.14000000000000001</v>
      </c>
      <c r="K695" s="429">
        <f t="shared" si="128"/>
        <v>6459.86</v>
      </c>
      <c r="L695" s="427"/>
      <c r="M695" s="429"/>
    </row>
    <row r="696" spans="1:13" x14ac:dyDescent="0.25">
      <c r="A696" s="427"/>
      <c r="B696" s="473">
        <v>42426</v>
      </c>
      <c r="C696" s="427">
        <v>600</v>
      </c>
      <c r="D696" s="428">
        <v>7.63</v>
      </c>
      <c r="E696" s="429">
        <v>0</v>
      </c>
      <c r="F696" s="429">
        <f t="shared" si="129"/>
        <v>4578</v>
      </c>
      <c r="G696" s="426">
        <v>42472</v>
      </c>
      <c r="H696" s="443">
        <v>500</v>
      </c>
      <c r="I696" s="428">
        <v>12.59</v>
      </c>
      <c r="J696" s="429">
        <v>0.14000000000000001</v>
      </c>
      <c r="K696" s="429">
        <f t="shared" si="128"/>
        <v>6294.86</v>
      </c>
      <c r="L696" s="427"/>
      <c r="M696" s="429"/>
    </row>
    <row r="697" spans="1:13" x14ac:dyDescent="0.25">
      <c r="A697" s="427"/>
      <c r="B697" s="473">
        <v>42426</v>
      </c>
      <c r="C697" s="427">
        <v>2000</v>
      </c>
      <c r="D697" s="428">
        <v>7.95</v>
      </c>
      <c r="E697" s="429">
        <v>0</v>
      </c>
      <c r="F697" s="429">
        <f t="shared" si="129"/>
        <v>15900</v>
      </c>
      <c r="G697" s="426">
        <v>42474</v>
      </c>
      <c r="H697" s="443">
        <v>500</v>
      </c>
      <c r="I697" s="428">
        <v>13.18</v>
      </c>
      <c r="J697" s="429">
        <v>0.14000000000000001</v>
      </c>
      <c r="K697" s="429">
        <f t="shared" si="128"/>
        <v>6589.86</v>
      </c>
      <c r="L697" s="427"/>
      <c r="M697" s="429"/>
    </row>
    <row r="698" spans="1:13" x14ac:dyDescent="0.25">
      <c r="A698" s="427"/>
      <c r="B698" s="473">
        <v>42429</v>
      </c>
      <c r="C698" s="427">
        <v>2000</v>
      </c>
      <c r="D698" s="428">
        <v>8.1999999999999993</v>
      </c>
      <c r="E698" s="429">
        <v>0</v>
      </c>
      <c r="F698" s="429">
        <f t="shared" si="129"/>
        <v>16400</v>
      </c>
      <c r="G698" s="426">
        <v>42478</v>
      </c>
      <c r="H698" s="443">
        <v>500</v>
      </c>
      <c r="I698" s="428">
        <v>13.4</v>
      </c>
      <c r="J698" s="429">
        <v>0.15</v>
      </c>
      <c r="K698" s="429">
        <f t="shared" si="128"/>
        <v>6699.85</v>
      </c>
      <c r="L698" s="427"/>
      <c r="M698" s="429"/>
    </row>
    <row r="699" spans="1:13" x14ac:dyDescent="0.25">
      <c r="A699" s="429"/>
      <c r="B699" s="473">
        <v>42429</v>
      </c>
      <c r="C699" s="427">
        <v>500</v>
      </c>
      <c r="D699" s="428">
        <v>7.88</v>
      </c>
      <c r="E699" s="429">
        <v>0</v>
      </c>
      <c r="F699" s="429">
        <f t="shared" si="129"/>
        <v>3940</v>
      </c>
      <c r="G699" s="426">
        <v>42486</v>
      </c>
      <c r="H699" s="443">
        <v>500</v>
      </c>
      <c r="I699" s="428">
        <v>14.35</v>
      </c>
      <c r="J699" s="429">
        <v>0.16</v>
      </c>
      <c r="K699" s="429">
        <f t="shared" si="128"/>
        <v>7174.84</v>
      </c>
      <c r="L699" s="427"/>
      <c r="M699" s="429"/>
    </row>
    <row r="700" spans="1:13" x14ac:dyDescent="0.25">
      <c r="A700" s="427"/>
      <c r="B700" s="473">
        <v>42430</v>
      </c>
      <c r="C700" s="427">
        <v>1000</v>
      </c>
      <c r="D700" s="428">
        <v>7.77</v>
      </c>
      <c r="E700" s="429">
        <v>0</v>
      </c>
      <c r="F700" s="429">
        <f t="shared" si="129"/>
        <v>7770</v>
      </c>
      <c r="G700" s="426">
        <v>42487</v>
      </c>
      <c r="H700" s="443">
        <v>600</v>
      </c>
      <c r="I700" s="428">
        <v>14.85</v>
      </c>
      <c r="J700" s="429">
        <v>0.19</v>
      </c>
      <c r="K700" s="429">
        <f t="shared" si="128"/>
        <v>8909.81</v>
      </c>
      <c r="L700" s="427"/>
      <c r="M700" s="429"/>
    </row>
    <row r="701" spans="1:13" x14ac:dyDescent="0.25">
      <c r="A701" s="427"/>
      <c r="B701" s="473">
        <v>42430</v>
      </c>
      <c r="C701" s="427">
        <v>500</v>
      </c>
      <c r="D701" s="428">
        <v>7.94</v>
      </c>
      <c r="E701" s="429">
        <v>0</v>
      </c>
      <c r="F701" s="429">
        <f t="shared" si="129"/>
        <v>3970</v>
      </c>
      <c r="G701" s="426">
        <v>42489</v>
      </c>
      <c r="H701" s="443">
        <v>3000</v>
      </c>
      <c r="I701" s="428">
        <v>14.15</v>
      </c>
      <c r="J701" s="429">
        <v>0.93</v>
      </c>
      <c r="K701" s="429">
        <f t="shared" si="128"/>
        <v>42449.07</v>
      </c>
      <c r="L701" s="427"/>
      <c r="M701" s="429"/>
    </row>
    <row r="702" spans="1:13" x14ac:dyDescent="0.25">
      <c r="A702" s="427"/>
      <c r="B702" s="473">
        <v>42431</v>
      </c>
      <c r="C702" s="427">
        <v>1000</v>
      </c>
      <c r="D702" s="428">
        <v>8.3699999999999992</v>
      </c>
      <c r="E702" s="429">
        <v>0</v>
      </c>
      <c r="F702" s="429">
        <f t="shared" si="129"/>
        <v>8370</v>
      </c>
      <c r="G702" s="426">
        <v>42492</v>
      </c>
      <c r="H702" s="443">
        <v>1000</v>
      </c>
      <c r="I702" s="428">
        <v>13.48</v>
      </c>
      <c r="J702" s="429">
        <v>0.28999999999999998</v>
      </c>
      <c r="K702" s="429">
        <f t="shared" si="128"/>
        <v>13479.71</v>
      </c>
      <c r="L702" s="427"/>
      <c r="M702" s="429"/>
    </row>
    <row r="703" spans="1:13" x14ac:dyDescent="0.25">
      <c r="A703" s="427"/>
      <c r="B703" s="473">
        <v>42432</v>
      </c>
      <c r="C703" s="427">
        <v>600</v>
      </c>
      <c r="D703" s="428">
        <v>9.3699999999999992</v>
      </c>
      <c r="E703" s="429">
        <v>0</v>
      </c>
      <c r="F703" s="429">
        <f t="shared" si="129"/>
        <v>5621.9999999999991</v>
      </c>
      <c r="G703" s="426">
        <v>42492</v>
      </c>
      <c r="H703" s="443">
        <v>1000</v>
      </c>
      <c r="I703" s="428">
        <v>13.61</v>
      </c>
      <c r="J703" s="429">
        <v>0.3</v>
      </c>
      <c r="K703" s="429">
        <f t="shared" si="128"/>
        <v>13609.7</v>
      </c>
      <c r="L703" s="427"/>
      <c r="M703" s="429"/>
    </row>
    <row r="704" spans="1:13" x14ac:dyDescent="0.25">
      <c r="A704" s="427"/>
      <c r="B704" s="473">
        <v>42432</v>
      </c>
      <c r="C704" s="427">
        <v>600</v>
      </c>
      <c r="D704" s="428">
        <v>8.8800000000000008</v>
      </c>
      <c r="E704" s="429">
        <v>0</v>
      </c>
      <c r="F704" s="429">
        <f t="shared" si="129"/>
        <v>5328.0000000000009</v>
      </c>
      <c r="G704" s="426">
        <v>42493</v>
      </c>
      <c r="H704" s="443">
        <v>322</v>
      </c>
      <c r="I704" s="428">
        <v>13.28</v>
      </c>
      <c r="J704" s="429">
        <v>0.09</v>
      </c>
      <c r="K704" s="429">
        <f t="shared" si="128"/>
        <v>4276.07</v>
      </c>
      <c r="L704" s="427"/>
      <c r="M704" s="429"/>
    </row>
    <row r="705" spans="1:13" x14ac:dyDescent="0.25">
      <c r="A705" s="427"/>
      <c r="B705" s="473">
        <v>42433</v>
      </c>
      <c r="C705" s="427">
        <v>600</v>
      </c>
      <c r="D705" s="428">
        <v>10.42</v>
      </c>
      <c r="E705" s="429">
        <v>0</v>
      </c>
      <c r="F705" s="429">
        <f t="shared" si="129"/>
        <v>6252</v>
      </c>
      <c r="G705" s="426">
        <v>42495</v>
      </c>
      <c r="H705" s="443">
        <v>1000</v>
      </c>
      <c r="I705" s="428">
        <v>12.05</v>
      </c>
      <c r="J705" s="429">
        <v>0.26</v>
      </c>
      <c r="K705" s="429">
        <f t="shared" si="128"/>
        <v>12049.74</v>
      </c>
      <c r="L705" s="427"/>
      <c r="M705" s="429"/>
    </row>
    <row r="706" spans="1:13" x14ac:dyDescent="0.25">
      <c r="A706" s="427"/>
      <c r="B706" s="473">
        <v>42440</v>
      </c>
      <c r="C706" s="427">
        <v>400</v>
      </c>
      <c r="D706" s="428">
        <v>11.12</v>
      </c>
      <c r="E706" s="429">
        <v>0</v>
      </c>
      <c r="F706" s="429">
        <f t="shared" si="129"/>
        <v>4448</v>
      </c>
      <c r="G706" s="426">
        <v>42495</v>
      </c>
      <c r="H706" s="443">
        <v>2000</v>
      </c>
      <c r="I706" s="428">
        <v>12.63</v>
      </c>
      <c r="J706" s="429">
        <v>0.55000000000000004</v>
      </c>
      <c r="K706" s="429">
        <f t="shared" si="128"/>
        <v>25259.45</v>
      </c>
      <c r="L706" s="427"/>
      <c r="M706" s="429"/>
    </row>
    <row r="707" spans="1:13" x14ac:dyDescent="0.25">
      <c r="A707" s="427"/>
      <c r="B707" s="473">
        <v>42446</v>
      </c>
      <c r="C707" s="427">
        <v>1500</v>
      </c>
      <c r="D707" s="428">
        <v>11.445</v>
      </c>
      <c r="E707" s="429">
        <v>0</v>
      </c>
      <c r="F707" s="429">
        <f t="shared" si="129"/>
        <v>17167.5</v>
      </c>
      <c r="G707" s="426">
        <v>42500</v>
      </c>
      <c r="H707" s="443">
        <v>1000</v>
      </c>
      <c r="I707" s="428">
        <v>11.66</v>
      </c>
      <c r="J707" s="429">
        <v>5.25</v>
      </c>
      <c r="K707" s="429">
        <f t="shared" si="128"/>
        <v>11654.75</v>
      </c>
      <c r="L707" s="427"/>
      <c r="M707" s="429"/>
    </row>
    <row r="708" spans="1:13" x14ac:dyDescent="0.25">
      <c r="A708" s="427"/>
      <c r="B708" s="534">
        <v>42447</v>
      </c>
      <c r="C708" s="427">
        <v>1500</v>
      </c>
      <c r="D708" s="428">
        <v>11.42</v>
      </c>
      <c r="E708" s="429">
        <v>0</v>
      </c>
      <c r="F708" s="429">
        <f t="shared" si="129"/>
        <v>17130</v>
      </c>
      <c r="G708" s="426">
        <v>42502</v>
      </c>
      <c r="H708" s="443">
        <v>1500</v>
      </c>
      <c r="I708" s="428">
        <v>12.36</v>
      </c>
      <c r="J708" s="429">
        <v>0.4</v>
      </c>
      <c r="K708" s="429">
        <f t="shared" si="128"/>
        <v>18539.599999999999</v>
      </c>
      <c r="L708" s="427"/>
      <c r="M708" s="429"/>
    </row>
    <row r="709" spans="1:13" x14ac:dyDescent="0.25">
      <c r="A709" s="427"/>
      <c r="B709" s="539"/>
      <c r="C709" s="427">
        <v>500</v>
      </c>
      <c r="D709" s="428">
        <v>11.42</v>
      </c>
      <c r="E709" s="429">
        <v>0</v>
      </c>
      <c r="F709" s="429">
        <f t="shared" si="129"/>
        <v>5710</v>
      </c>
      <c r="G709" s="426">
        <v>42503</v>
      </c>
      <c r="H709" s="443">
        <v>500</v>
      </c>
      <c r="I709" s="428">
        <v>12.49</v>
      </c>
      <c r="J709" s="429">
        <v>0.14000000000000001</v>
      </c>
      <c r="K709" s="429">
        <f t="shared" si="128"/>
        <v>6244.86</v>
      </c>
      <c r="L709" s="427"/>
      <c r="M709" s="429"/>
    </row>
    <row r="710" spans="1:13" x14ac:dyDescent="0.25">
      <c r="A710" s="427"/>
      <c r="B710" s="473">
        <v>42447</v>
      </c>
      <c r="C710" s="427">
        <v>650</v>
      </c>
      <c r="D710" s="428">
        <v>11.545</v>
      </c>
      <c r="E710" s="429">
        <v>0.75</v>
      </c>
      <c r="F710" s="429">
        <f t="shared" si="129"/>
        <v>7505</v>
      </c>
      <c r="G710" s="426">
        <v>42506</v>
      </c>
      <c r="H710" s="443">
        <v>300</v>
      </c>
      <c r="I710" s="428">
        <v>12.85</v>
      </c>
      <c r="J710" s="429">
        <v>0.08</v>
      </c>
      <c r="K710" s="429">
        <f t="shared" si="128"/>
        <v>3854.92</v>
      </c>
      <c r="L710" s="427"/>
      <c r="M710" s="429"/>
    </row>
    <row r="711" spans="1:13" x14ac:dyDescent="0.25">
      <c r="A711" s="427"/>
      <c r="B711" s="473">
        <v>42450</v>
      </c>
      <c r="C711" s="427">
        <v>1350</v>
      </c>
      <c r="D711" s="428">
        <v>11.42</v>
      </c>
      <c r="E711" s="429">
        <v>0</v>
      </c>
      <c r="F711" s="429">
        <f t="shared" si="129"/>
        <v>15417</v>
      </c>
      <c r="G711" s="426">
        <v>42513</v>
      </c>
      <c r="H711" s="443">
        <v>500</v>
      </c>
      <c r="I711" s="428">
        <v>13.05</v>
      </c>
      <c r="J711" s="429">
        <v>0.14000000000000001</v>
      </c>
      <c r="K711" s="429">
        <f t="shared" si="128"/>
        <v>6524.86</v>
      </c>
      <c r="L711" s="427"/>
      <c r="M711" s="429"/>
    </row>
    <row r="712" spans="1:13" x14ac:dyDescent="0.25">
      <c r="A712" s="427"/>
      <c r="B712" s="473">
        <v>42451</v>
      </c>
      <c r="C712" s="427">
        <v>1000</v>
      </c>
      <c r="D712" s="428">
        <v>11.38</v>
      </c>
      <c r="E712" s="429">
        <v>0</v>
      </c>
      <c r="F712" s="429">
        <f t="shared" si="129"/>
        <v>11380</v>
      </c>
      <c r="G712" s="426">
        <v>42515</v>
      </c>
      <c r="H712" s="443">
        <v>500</v>
      </c>
      <c r="I712" s="428">
        <v>13.59</v>
      </c>
      <c r="J712" s="429">
        <v>0.15</v>
      </c>
      <c r="K712" s="429">
        <f t="shared" si="128"/>
        <v>6794.85</v>
      </c>
      <c r="L712" s="427"/>
      <c r="M712" s="429"/>
    </row>
    <row r="713" spans="1:13" x14ac:dyDescent="0.25">
      <c r="A713" s="427"/>
      <c r="B713" s="534">
        <v>42451</v>
      </c>
      <c r="C713" s="427">
        <v>50</v>
      </c>
      <c r="D713" s="428">
        <v>11.22</v>
      </c>
      <c r="E713" s="429">
        <v>0</v>
      </c>
      <c r="F713" s="429">
        <f t="shared" si="129"/>
        <v>561</v>
      </c>
      <c r="G713" s="426">
        <v>42515</v>
      </c>
      <c r="H713" s="443">
        <v>500</v>
      </c>
      <c r="I713" s="428">
        <v>13.57</v>
      </c>
      <c r="J713" s="429">
        <v>0.15</v>
      </c>
      <c r="K713" s="429">
        <f t="shared" si="128"/>
        <v>6784.85</v>
      </c>
      <c r="L713" s="427"/>
      <c r="M713" s="429"/>
    </row>
    <row r="714" spans="1:13" x14ac:dyDescent="0.25">
      <c r="A714" s="427"/>
      <c r="B714" s="534"/>
      <c r="C714" s="427">
        <v>350</v>
      </c>
      <c r="D714" s="428">
        <v>11.22</v>
      </c>
      <c r="E714" s="429">
        <v>0</v>
      </c>
      <c r="F714" s="429">
        <f t="shared" si="129"/>
        <v>3927</v>
      </c>
      <c r="G714" s="426">
        <v>42517</v>
      </c>
      <c r="H714" s="443">
        <v>500</v>
      </c>
      <c r="I714" s="428">
        <v>12.87</v>
      </c>
      <c r="J714" s="429">
        <v>0.14000000000000001</v>
      </c>
      <c r="K714" s="429">
        <f t="shared" si="128"/>
        <v>6434.86</v>
      </c>
      <c r="L714" s="427"/>
      <c r="M714" s="429"/>
    </row>
    <row r="715" spans="1:13" ht="45" x14ac:dyDescent="0.25">
      <c r="A715" s="427"/>
      <c r="B715" s="538" t="s">
        <v>190</v>
      </c>
      <c r="C715" s="427">
        <v>650</v>
      </c>
      <c r="D715" s="428">
        <v>11.22</v>
      </c>
      <c r="E715" s="429">
        <v>0</v>
      </c>
      <c r="F715" s="429">
        <f t="shared" si="129"/>
        <v>7293</v>
      </c>
      <c r="G715" s="426">
        <v>42524</v>
      </c>
      <c r="H715" s="443">
        <v>400</v>
      </c>
      <c r="I715" s="428">
        <v>13.38</v>
      </c>
      <c r="J715" s="429">
        <v>0.12</v>
      </c>
      <c r="K715" s="429">
        <f t="shared" si="128"/>
        <v>5351.88</v>
      </c>
      <c r="L715" s="427"/>
      <c r="M715" s="429"/>
    </row>
    <row r="716" spans="1:13" x14ac:dyDescent="0.25">
      <c r="A716" s="427"/>
      <c r="B716" s="538"/>
      <c r="C716" s="427">
        <v>500</v>
      </c>
      <c r="D716" s="428">
        <v>11.01</v>
      </c>
      <c r="E716" s="429">
        <v>0</v>
      </c>
      <c r="F716" s="429">
        <f t="shared" si="129"/>
        <v>5505</v>
      </c>
      <c r="G716" s="426">
        <v>42527</v>
      </c>
      <c r="H716" s="443">
        <v>1000</v>
      </c>
      <c r="I716" s="428">
        <v>13.82</v>
      </c>
      <c r="J716" s="429">
        <v>0.3</v>
      </c>
      <c r="K716" s="429">
        <f t="shared" si="128"/>
        <v>13819.7</v>
      </c>
      <c r="L716" s="427"/>
      <c r="M716" s="429"/>
    </row>
    <row r="717" spans="1:13" x14ac:dyDescent="0.25">
      <c r="A717" s="427"/>
      <c r="B717" s="538"/>
      <c r="C717" s="427">
        <v>500</v>
      </c>
      <c r="D717" s="428">
        <v>10.75</v>
      </c>
      <c r="E717" s="429">
        <v>0</v>
      </c>
      <c r="F717" s="429">
        <f t="shared" si="129"/>
        <v>5375</v>
      </c>
      <c r="G717" s="426">
        <v>42527</v>
      </c>
      <c r="H717" s="443">
        <v>500</v>
      </c>
      <c r="I717" s="428">
        <v>13.97</v>
      </c>
      <c r="J717" s="429">
        <v>1.1499999999999999</v>
      </c>
      <c r="K717" s="429">
        <f t="shared" si="128"/>
        <v>6983.85</v>
      </c>
      <c r="L717" s="427"/>
      <c r="M717" s="429"/>
    </row>
    <row r="718" spans="1:13" x14ac:dyDescent="0.25">
      <c r="A718" s="427"/>
      <c r="B718" s="538"/>
      <c r="C718" s="427">
        <v>1000</v>
      </c>
      <c r="D718" s="428">
        <v>10.4</v>
      </c>
      <c r="E718" s="429">
        <v>0</v>
      </c>
      <c r="F718" s="429">
        <f t="shared" si="129"/>
        <v>10400</v>
      </c>
      <c r="G718" s="426">
        <v>42528</v>
      </c>
      <c r="H718" s="443">
        <v>500</v>
      </c>
      <c r="I718" s="428">
        <v>14.65</v>
      </c>
      <c r="J718" s="429">
        <v>0.16</v>
      </c>
      <c r="K718" s="429">
        <f t="shared" si="128"/>
        <v>7324.84</v>
      </c>
      <c r="L718" s="427"/>
      <c r="M718" s="429"/>
    </row>
    <row r="719" spans="1:13" x14ac:dyDescent="0.25">
      <c r="A719" s="427"/>
      <c r="B719" s="538"/>
      <c r="C719" s="427">
        <v>1000</v>
      </c>
      <c r="D719" s="428">
        <v>10.185</v>
      </c>
      <c r="E719" s="429">
        <v>0</v>
      </c>
      <c r="F719" s="429">
        <f t="shared" si="129"/>
        <v>10185</v>
      </c>
      <c r="G719" s="426">
        <v>42536</v>
      </c>
      <c r="H719" s="443">
        <v>400</v>
      </c>
      <c r="I719" s="428">
        <v>13.43</v>
      </c>
      <c r="J719" s="429">
        <v>0.12</v>
      </c>
      <c r="K719" s="429">
        <f t="shared" si="128"/>
        <v>5371.88</v>
      </c>
      <c r="L719" s="427"/>
      <c r="M719" s="429"/>
    </row>
    <row r="720" spans="1:13" x14ac:dyDescent="0.25">
      <c r="A720" s="427"/>
      <c r="B720" s="473">
        <v>42461</v>
      </c>
      <c r="C720" s="427">
        <v>2000</v>
      </c>
      <c r="D720" s="428">
        <v>10.43</v>
      </c>
      <c r="E720" s="429">
        <v>0</v>
      </c>
      <c r="F720" s="429">
        <f t="shared" si="129"/>
        <v>20860</v>
      </c>
      <c r="G720" s="426">
        <v>42537</v>
      </c>
      <c r="H720" s="443">
        <v>400</v>
      </c>
      <c r="I720" s="428">
        <v>12.69</v>
      </c>
      <c r="J720" s="429">
        <v>0.11</v>
      </c>
      <c r="K720" s="429">
        <f t="shared" si="128"/>
        <v>5075.8900000000003</v>
      </c>
      <c r="L720" s="427"/>
      <c r="M720" s="429"/>
    </row>
    <row r="721" spans="1:13" x14ac:dyDescent="0.25">
      <c r="A721" s="427"/>
      <c r="B721" s="473">
        <v>42461</v>
      </c>
      <c r="C721" s="427">
        <v>2000</v>
      </c>
      <c r="D721" s="428">
        <v>10.42</v>
      </c>
      <c r="E721" s="429">
        <v>0</v>
      </c>
      <c r="F721" s="429">
        <f t="shared" si="129"/>
        <v>20840</v>
      </c>
      <c r="G721" s="426">
        <v>42538</v>
      </c>
      <c r="H721" s="443">
        <v>500</v>
      </c>
      <c r="I721" s="428">
        <v>13.34</v>
      </c>
      <c r="J721" s="429">
        <v>0.15</v>
      </c>
      <c r="K721" s="429">
        <f t="shared" si="128"/>
        <v>6669.85</v>
      </c>
      <c r="L721" s="427"/>
      <c r="M721" s="429"/>
    </row>
    <row r="722" spans="1:13" ht="45" x14ac:dyDescent="0.25">
      <c r="A722" s="427"/>
      <c r="B722" s="473">
        <v>42465</v>
      </c>
      <c r="C722" s="427">
        <v>100</v>
      </c>
      <c r="D722" s="428">
        <v>10.4</v>
      </c>
      <c r="E722" s="429">
        <v>0</v>
      </c>
      <c r="F722" s="429">
        <f t="shared" si="129"/>
        <v>1040</v>
      </c>
      <c r="G722" s="540" t="s">
        <v>214</v>
      </c>
      <c r="H722" s="443">
        <v>500</v>
      </c>
      <c r="I722" s="428">
        <v>13.91</v>
      </c>
      <c r="J722" s="429">
        <v>0.15</v>
      </c>
      <c r="K722" s="429">
        <f t="shared" si="128"/>
        <v>6954.85</v>
      </c>
      <c r="L722" s="427"/>
      <c r="M722" s="429"/>
    </row>
    <row r="723" spans="1:13" x14ac:dyDescent="0.25">
      <c r="A723" s="427"/>
      <c r="B723" s="473">
        <v>42471</v>
      </c>
      <c r="C723" s="427">
        <v>500</v>
      </c>
      <c r="D723" s="428">
        <v>11.77</v>
      </c>
      <c r="E723" s="429">
        <v>0</v>
      </c>
      <c r="F723" s="429">
        <f t="shared" si="129"/>
        <v>5885</v>
      </c>
      <c r="G723" s="540"/>
      <c r="H723" s="443">
        <v>600</v>
      </c>
      <c r="I723" s="428">
        <v>14.36</v>
      </c>
      <c r="J723" s="429">
        <v>0.19</v>
      </c>
      <c r="K723" s="429">
        <f t="shared" si="128"/>
        <v>8615.81</v>
      </c>
      <c r="L723" s="427"/>
      <c r="M723" s="429"/>
    </row>
    <row r="724" spans="1:13" x14ac:dyDescent="0.25">
      <c r="A724" s="427"/>
      <c r="B724" s="473">
        <v>42471</v>
      </c>
      <c r="C724" s="427">
        <v>500</v>
      </c>
      <c r="D724" s="428">
        <v>11.55</v>
      </c>
      <c r="E724" s="429">
        <v>0</v>
      </c>
      <c r="F724" s="429">
        <f t="shared" si="129"/>
        <v>5775</v>
      </c>
      <c r="G724" s="540"/>
      <c r="H724" s="443">
        <v>500</v>
      </c>
      <c r="I724" s="428">
        <v>14.65</v>
      </c>
      <c r="J724" s="429">
        <v>0.16</v>
      </c>
      <c r="K724" s="429">
        <f t="shared" si="128"/>
        <v>7324.84</v>
      </c>
      <c r="L724" s="427"/>
      <c r="M724" s="429"/>
    </row>
    <row r="725" spans="1:13" x14ac:dyDescent="0.25">
      <c r="A725" s="427"/>
      <c r="B725" s="473">
        <v>42472</v>
      </c>
      <c r="C725" s="427">
        <v>610</v>
      </c>
      <c r="D725" s="428">
        <v>12.95</v>
      </c>
      <c r="E725" s="429">
        <v>0</v>
      </c>
      <c r="F725" s="429">
        <f t="shared" si="129"/>
        <v>7899.5</v>
      </c>
      <c r="G725" s="426">
        <v>42542</v>
      </c>
      <c r="H725" s="443">
        <v>500</v>
      </c>
      <c r="I725" s="428">
        <v>14.95</v>
      </c>
      <c r="J725" s="429">
        <v>0.16</v>
      </c>
      <c r="K725" s="429">
        <f t="shared" si="128"/>
        <v>7474.84</v>
      </c>
      <c r="L725" s="427"/>
      <c r="M725" s="429"/>
    </row>
    <row r="726" spans="1:13" x14ac:dyDescent="0.25">
      <c r="A726" s="427"/>
      <c r="B726" s="473">
        <v>42473</v>
      </c>
      <c r="C726" s="427">
        <v>970</v>
      </c>
      <c r="D726" s="428">
        <v>12.76</v>
      </c>
      <c r="E726" s="429">
        <v>4.0999999999999996</v>
      </c>
      <c r="F726" s="429">
        <f t="shared" si="129"/>
        <v>12381.3</v>
      </c>
      <c r="G726" s="426">
        <v>42542</v>
      </c>
      <c r="H726" s="443">
        <v>378</v>
      </c>
      <c r="I726" s="428">
        <v>15.2</v>
      </c>
      <c r="J726" s="429">
        <v>0.13</v>
      </c>
      <c r="K726" s="429">
        <f t="shared" si="128"/>
        <v>5745.4699999999993</v>
      </c>
      <c r="L726" s="427"/>
      <c r="M726" s="429"/>
    </row>
    <row r="727" spans="1:13" x14ac:dyDescent="0.25">
      <c r="A727" s="427"/>
      <c r="B727" s="473">
        <v>42474</v>
      </c>
      <c r="C727" s="427">
        <v>420</v>
      </c>
      <c r="D727" s="428">
        <v>12.755000000000001</v>
      </c>
      <c r="E727" s="429">
        <v>0.34</v>
      </c>
      <c r="F727" s="429">
        <f t="shared" si="129"/>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29"/>
        <v>6508.25</v>
      </c>
      <c r="G728" s="427"/>
      <c r="H728" s="443"/>
      <c r="I728" s="428"/>
      <c r="J728" s="429"/>
      <c r="K728" s="429"/>
      <c r="L728" s="427"/>
      <c r="M728" s="429"/>
    </row>
    <row r="729" spans="1:13" x14ac:dyDescent="0.25">
      <c r="A729" s="427"/>
      <c r="B729" s="473">
        <v>42485</v>
      </c>
      <c r="C729" s="427">
        <v>500</v>
      </c>
      <c r="D729" s="428">
        <v>13.95</v>
      </c>
      <c r="E729" s="429">
        <v>0</v>
      </c>
      <c r="F729" s="429">
        <f t="shared" si="129"/>
        <v>6975</v>
      </c>
      <c r="G729" s="427"/>
      <c r="H729" s="443"/>
      <c r="I729" s="428"/>
      <c r="J729" s="429"/>
      <c r="K729" s="429"/>
      <c r="L729" s="427"/>
      <c r="M729" s="429"/>
    </row>
    <row r="730" spans="1:13" x14ac:dyDescent="0.25">
      <c r="A730" s="427"/>
      <c r="B730" s="473">
        <v>42487</v>
      </c>
      <c r="C730" s="427">
        <v>600</v>
      </c>
      <c r="D730" s="428">
        <v>14.63</v>
      </c>
      <c r="E730" s="429">
        <v>0</v>
      </c>
      <c r="F730" s="429">
        <f t="shared" si="129"/>
        <v>8778</v>
      </c>
      <c r="G730" s="427"/>
      <c r="H730" s="443"/>
      <c r="I730" s="428"/>
      <c r="J730" s="429"/>
      <c r="K730" s="429"/>
      <c r="L730" s="427"/>
      <c r="M730" s="429"/>
    </row>
    <row r="731" spans="1:13" x14ac:dyDescent="0.25">
      <c r="A731" s="427"/>
      <c r="B731" s="473">
        <v>42488</v>
      </c>
      <c r="C731" s="427">
        <v>500</v>
      </c>
      <c r="D731" s="428">
        <v>14.52</v>
      </c>
      <c r="E731" s="429">
        <v>0</v>
      </c>
      <c r="F731" s="429">
        <f t="shared" si="129"/>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29"/>
        <v>7175</v>
      </c>
      <c r="G732" s="427"/>
      <c r="H732" s="443"/>
      <c r="I732" s="428"/>
      <c r="J732" s="429"/>
      <c r="K732" s="429"/>
      <c r="L732" s="427"/>
      <c r="M732" s="429"/>
    </row>
    <row r="733" spans="1:13" x14ac:dyDescent="0.25">
      <c r="A733" s="541"/>
      <c r="B733" s="473">
        <v>42489</v>
      </c>
      <c r="C733" s="427">
        <v>500</v>
      </c>
      <c r="D733" s="428">
        <v>14.15</v>
      </c>
      <c r="E733" s="429">
        <v>0</v>
      </c>
      <c r="F733" s="429">
        <f t="shared" si="129"/>
        <v>7075</v>
      </c>
      <c r="G733" s="427"/>
      <c r="H733" s="443"/>
      <c r="I733" s="428"/>
      <c r="J733" s="429"/>
      <c r="K733" s="429"/>
      <c r="L733" s="427"/>
      <c r="M733" s="429"/>
    </row>
    <row r="734" spans="1:13" x14ac:dyDescent="0.25">
      <c r="A734" s="541"/>
      <c r="B734" s="473">
        <v>42489</v>
      </c>
      <c r="C734" s="427">
        <v>1000</v>
      </c>
      <c r="D734" s="428">
        <v>13.92</v>
      </c>
      <c r="E734" s="429">
        <v>0</v>
      </c>
      <c r="F734" s="429">
        <f t="shared" si="129"/>
        <v>13920</v>
      </c>
      <c r="G734" s="427"/>
      <c r="H734" s="443"/>
      <c r="I734" s="428"/>
      <c r="J734" s="429"/>
      <c r="K734" s="429"/>
      <c r="L734" s="427"/>
      <c r="M734" s="429"/>
    </row>
    <row r="735" spans="1:13" x14ac:dyDescent="0.25">
      <c r="A735" s="541"/>
      <c r="B735" s="473">
        <v>42489</v>
      </c>
      <c r="C735" s="427">
        <v>1000</v>
      </c>
      <c r="D735" s="428">
        <v>13.8</v>
      </c>
      <c r="E735" s="429">
        <v>0</v>
      </c>
      <c r="F735" s="429">
        <f t="shared" si="129"/>
        <v>13800</v>
      </c>
      <c r="G735" s="427"/>
      <c r="H735" s="443"/>
      <c r="I735" s="428"/>
      <c r="J735" s="429"/>
      <c r="K735" s="429"/>
      <c r="L735" s="427"/>
      <c r="M735" s="429"/>
    </row>
    <row r="736" spans="1:13" x14ac:dyDescent="0.25">
      <c r="A736" s="427"/>
      <c r="B736" s="473">
        <v>42492</v>
      </c>
      <c r="C736" s="427">
        <v>1500</v>
      </c>
      <c r="D736" s="428">
        <v>13.25</v>
      </c>
      <c r="E736" s="429">
        <v>0</v>
      </c>
      <c r="F736" s="429">
        <f t="shared" si="129"/>
        <v>19875</v>
      </c>
      <c r="G736" s="427"/>
      <c r="H736" s="443"/>
      <c r="I736" s="428"/>
      <c r="J736" s="429"/>
      <c r="K736" s="429"/>
      <c r="L736" s="427"/>
      <c r="M736" s="429"/>
    </row>
    <row r="737" spans="1:13" x14ac:dyDescent="0.25">
      <c r="A737" s="427"/>
      <c r="B737" s="473">
        <v>42492</v>
      </c>
      <c r="C737" s="427">
        <v>500</v>
      </c>
      <c r="D737" s="428">
        <v>13.6</v>
      </c>
      <c r="E737" s="429">
        <v>0</v>
      </c>
      <c r="F737" s="429">
        <f t="shared" si="129"/>
        <v>6800</v>
      </c>
      <c r="G737" s="427"/>
      <c r="H737" s="443"/>
      <c r="I737" s="428"/>
      <c r="J737" s="429"/>
      <c r="K737" s="429"/>
      <c r="L737" s="427"/>
      <c r="M737" s="429"/>
    </row>
    <row r="738" spans="1:13" x14ac:dyDescent="0.25">
      <c r="A738" s="427"/>
      <c r="B738" s="473">
        <v>42493</v>
      </c>
      <c r="C738" s="427">
        <v>322</v>
      </c>
      <c r="D738" s="428">
        <v>12.85</v>
      </c>
      <c r="E738" s="429">
        <v>0</v>
      </c>
      <c r="F738" s="429">
        <f t="shared" si="129"/>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29"/>
        <v>12250</v>
      </c>
      <c r="G739" s="427"/>
      <c r="H739" s="443"/>
      <c r="I739" s="428"/>
      <c r="J739" s="429"/>
      <c r="K739" s="429"/>
      <c r="L739" s="427"/>
      <c r="M739" s="429"/>
    </row>
    <row r="740" spans="1:13" x14ac:dyDescent="0.25">
      <c r="A740" s="525"/>
      <c r="B740" s="473">
        <v>42494</v>
      </c>
      <c r="C740" s="427">
        <v>500</v>
      </c>
      <c r="D740" s="428">
        <v>12.53</v>
      </c>
      <c r="E740" s="429">
        <v>0</v>
      </c>
      <c r="F740" s="429">
        <f t="shared" si="129"/>
        <v>6265</v>
      </c>
      <c r="G740" s="427"/>
      <c r="H740" s="443"/>
      <c r="I740" s="428"/>
      <c r="J740" s="429"/>
      <c r="K740" s="429"/>
      <c r="L740" s="427"/>
      <c r="M740" s="429"/>
    </row>
    <row r="741" spans="1:13" x14ac:dyDescent="0.25">
      <c r="A741" s="525"/>
      <c r="B741" s="473">
        <v>42494</v>
      </c>
      <c r="C741" s="427">
        <v>500</v>
      </c>
      <c r="D741" s="428">
        <v>12.65</v>
      </c>
      <c r="E741" s="429">
        <v>0</v>
      </c>
      <c r="F741" s="429">
        <f t="shared" si="129"/>
        <v>6325</v>
      </c>
      <c r="G741" s="427"/>
      <c r="H741" s="443"/>
      <c r="I741" s="428"/>
      <c r="J741" s="429"/>
      <c r="K741" s="429"/>
      <c r="L741" s="427"/>
      <c r="M741" s="429"/>
    </row>
    <row r="742" spans="1:13" x14ac:dyDescent="0.25">
      <c r="A742" s="427"/>
      <c r="B742" s="473">
        <v>42495</v>
      </c>
      <c r="C742" s="427">
        <v>1000</v>
      </c>
      <c r="D742" s="428">
        <v>11.95</v>
      </c>
      <c r="E742" s="429">
        <v>0</v>
      </c>
      <c r="F742" s="429">
        <f t="shared" si="129"/>
        <v>11950</v>
      </c>
      <c r="G742" s="427"/>
      <c r="H742" s="443"/>
      <c r="I742" s="428"/>
      <c r="J742" s="429"/>
      <c r="K742" s="429"/>
      <c r="L742" s="427"/>
      <c r="M742" s="429"/>
    </row>
    <row r="743" spans="1:13" x14ac:dyDescent="0.25">
      <c r="A743" s="427"/>
      <c r="B743" s="473">
        <v>42499</v>
      </c>
      <c r="C743" s="427">
        <v>500</v>
      </c>
      <c r="D743" s="428">
        <v>11.48</v>
      </c>
      <c r="E743" s="429">
        <v>0</v>
      </c>
      <c r="F743" s="429">
        <f t="shared" si="129"/>
        <v>5740</v>
      </c>
      <c r="G743" s="427"/>
      <c r="H743" s="443"/>
      <c r="I743" s="428"/>
      <c r="J743" s="429"/>
      <c r="K743" s="429"/>
      <c r="L743" s="427"/>
      <c r="M743" s="429"/>
    </row>
    <row r="744" spans="1:13" x14ac:dyDescent="0.25">
      <c r="A744" s="427"/>
      <c r="B744" s="473">
        <v>42499</v>
      </c>
      <c r="C744" s="427">
        <v>500</v>
      </c>
      <c r="D744" s="428">
        <v>11.32</v>
      </c>
      <c r="E744" s="429">
        <v>0</v>
      </c>
      <c r="F744" s="429">
        <f t="shared" si="129"/>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29"/>
        <v>6190</v>
      </c>
      <c r="G745" s="427"/>
      <c r="H745" s="443"/>
      <c r="I745" s="428"/>
      <c r="J745" s="429"/>
      <c r="K745" s="429"/>
      <c r="L745" s="427"/>
      <c r="M745" s="429"/>
    </row>
    <row r="746" spans="1:13" x14ac:dyDescent="0.25">
      <c r="A746" s="541"/>
      <c r="B746" s="473">
        <v>42502</v>
      </c>
      <c r="C746" s="427">
        <v>500</v>
      </c>
      <c r="D746" s="428">
        <v>12.3</v>
      </c>
      <c r="E746" s="429">
        <v>0</v>
      </c>
      <c r="F746" s="429">
        <f t="shared" si="129"/>
        <v>6150</v>
      </c>
      <c r="G746" s="427"/>
      <c r="H746" s="443"/>
      <c r="I746" s="428"/>
      <c r="J746" s="429"/>
      <c r="K746" s="429"/>
      <c r="L746" s="427"/>
      <c r="M746" s="429"/>
    </row>
    <row r="747" spans="1:13" x14ac:dyDescent="0.25">
      <c r="A747" s="541"/>
      <c r="B747" s="473">
        <v>42502</v>
      </c>
      <c r="C747" s="427">
        <v>500</v>
      </c>
      <c r="D747" s="428">
        <v>12.23</v>
      </c>
      <c r="E747" s="429">
        <v>0</v>
      </c>
      <c r="F747" s="429">
        <f t="shared" si="129"/>
        <v>6115</v>
      </c>
      <c r="G747" s="427"/>
      <c r="H747" s="443"/>
      <c r="I747" s="428"/>
      <c r="J747" s="429"/>
      <c r="K747" s="429"/>
      <c r="L747" s="427"/>
      <c r="M747" s="429"/>
    </row>
    <row r="748" spans="1:13" x14ac:dyDescent="0.25">
      <c r="A748" s="427"/>
      <c r="B748" s="473">
        <v>42503</v>
      </c>
      <c r="C748" s="427">
        <v>500</v>
      </c>
      <c r="D748" s="428">
        <v>12.41</v>
      </c>
      <c r="E748" s="429">
        <v>0</v>
      </c>
      <c r="F748" s="429">
        <f t="shared" si="129"/>
        <v>6205</v>
      </c>
      <c r="G748" s="427"/>
      <c r="H748" s="443"/>
      <c r="I748" s="428"/>
      <c r="J748" s="429"/>
      <c r="K748" s="429"/>
      <c r="L748" s="427"/>
      <c r="M748" s="429"/>
    </row>
    <row r="749" spans="1:13" x14ac:dyDescent="0.25">
      <c r="A749" s="427"/>
      <c r="B749" s="473">
        <v>42506</v>
      </c>
      <c r="C749" s="427">
        <v>300</v>
      </c>
      <c r="D749" s="428">
        <v>12.8</v>
      </c>
      <c r="E749" s="429">
        <v>0</v>
      </c>
      <c r="F749" s="429">
        <f t="shared" si="129"/>
        <v>3840</v>
      </c>
      <c r="G749" s="427"/>
      <c r="H749" s="443"/>
      <c r="I749" s="428"/>
      <c r="J749" s="429"/>
      <c r="K749" s="429"/>
      <c r="L749" s="427"/>
      <c r="M749" s="429"/>
    </row>
    <row r="750" spans="1:13" x14ac:dyDescent="0.25">
      <c r="A750" s="427"/>
      <c r="B750" s="473">
        <v>42514</v>
      </c>
      <c r="C750" s="427">
        <v>500</v>
      </c>
      <c r="D750" s="428">
        <v>13.02</v>
      </c>
      <c r="E750" s="429">
        <v>-1.65</v>
      </c>
      <c r="F750" s="429">
        <f t="shared" ref="F750:F813" si="130">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30"/>
        <v>6726</v>
      </c>
      <c r="G751" s="427"/>
      <c r="H751" s="443"/>
      <c r="I751" s="428"/>
      <c r="J751" s="429"/>
      <c r="K751" s="429"/>
      <c r="L751" s="427"/>
      <c r="M751" s="429"/>
    </row>
    <row r="752" spans="1:13" x14ac:dyDescent="0.25">
      <c r="A752" s="427"/>
      <c r="B752" s="473">
        <v>42516</v>
      </c>
      <c r="C752" s="427">
        <v>500</v>
      </c>
      <c r="D752" s="428">
        <v>13.28</v>
      </c>
      <c r="E752" s="429">
        <v>-1.04</v>
      </c>
      <c r="F752" s="429">
        <f t="shared" si="130"/>
        <v>6638.96</v>
      </c>
      <c r="G752" s="427"/>
      <c r="H752" s="443"/>
      <c r="I752" s="428"/>
      <c r="J752" s="429"/>
      <c r="K752" s="429"/>
      <c r="L752" s="427"/>
      <c r="M752" s="429"/>
    </row>
    <row r="753" spans="1:13" x14ac:dyDescent="0.25">
      <c r="A753" s="427"/>
      <c r="B753" s="473">
        <v>42517</v>
      </c>
      <c r="C753" s="427">
        <v>500</v>
      </c>
      <c r="D753" s="428">
        <v>12.79</v>
      </c>
      <c r="E753" s="429">
        <v>0</v>
      </c>
      <c r="F753" s="429">
        <f t="shared" si="130"/>
        <v>6395</v>
      </c>
      <c r="G753" s="427"/>
      <c r="H753" s="443"/>
      <c r="I753" s="428"/>
      <c r="J753" s="429"/>
      <c r="K753" s="429"/>
      <c r="L753" s="427"/>
      <c r="M753" s="429"/>
    </row>
    <row r="754" spans="1:13" x14ac:dyDescent="0.25">
      <c r="A754" s="427"/>
      <c r="B754" s="473">
        <v>42524</v>
      </c>
      <c r="C754" s="427">
        <v>400</v>
      </c>
      <c r="D754" s="428">
        <v>13.28</v>
      </c>
      <c r="E754" s="429">
        <v>0</v>
      </c>
      <c r="F754" s="429">
        <f t="shared" si="130"/>
        <v>5312</v>
      </c>
      <c r="G754" s="427"/>
      <c r="H754" s="443"/>
      <c r="I754" s="428"/>
      <c r="J754" s="429"/>
      <c r="K754" s="429"/>
      <c r="L754" s="427"/>
      <c r="M754" s="429"/>
    </row>
    <row r="755" spans="1:13" x14ac:dyDescent="0.25">
      <c r="A755" s="427"/>
      <c r="B755" s="473">
        <v>42529</v>
      </c>
      <c r="C755" s="427">
        <v>500</v>
      </c>
      <c r="D755" s="428">
        <v>14.59</v>
      </c>
      <c r="E755" s="429">
        <v>0</v>
      </c>
      <c r="F755" s="429">
        <f t="shared" si="130"/>
        <v>7295</v>
      </c>
      <c r="G755" s="427"/>
      <c r="H755" s="443"/>
      <c r="I755" s="428"/>
      <c r="J755" s="429"/>
      <c r="K755" s="429"/>
      <c r="L755" s="427"/>
      <c r="M755" s="429"/>
    </row>
    <row r="756" spans="1:13" x14ac:dyDescent="0.25">
      <c r="A756" s="427"/>
      <c r="B756" s="473">
        <v>42531</v>
      </c>
      <c r="C756" s="427">
        <v>800</v>
      </c>
      <c r="D756" s="428">
        <v>13.79</v>
      </c>
      <c r="E756" s="429">
        <v>0</v>
      </c>
      <c r="F756" s="429">
        <f t="shared" si="130"/>
        <v>11032</v>
      </c>
      <c r="G756" s="427"/>
      <c r="H756" s="443"/>
      <c r="I756" s="428"/>
      <c r="J756" s="429"/>
      <c r="K756" s="429"/>
      <c r="L756" s="427"/>
      <c r="M756" s="429"/>
    </row>
    <row r="757" spans="1:13" x14ac:dyDescent="0.25">
      <c r="A757" s="427"/>
      <c r="B757" s="473">
        <v>42531</v>
      </c>
      <c r="C757" s="427">
        <v>300</v>
      </c>
      <c r="D757" s="428">
        <v>13.4</v>
      </c>
      <c r="E757" s="429">
        <v>0</v>
      </c>
      <c r="F757" s="429">
        <f t="shared" si="130"/>
        <v>4020</v>
      </c>
      <c r="G757" s="427"/>
      <c r="H757" s="443"/>
      <c r="I757" s="428"/>
      <c r="J757" s="429"/>
      <c r="K757" s="429"/>
      <c r="L757" s="427"/>
      <c r="M757" s="429"/>
    </row>
    <row r="758" spans="1:13" x14ac:dyDescent="0.25">
      <c r="A758" s="427"/>
      <c r="B758" s="473">
        <v>42535</v>
      </c>
      <c r="C758" s="427">
        <v>400</v>
      </c>
      <c r="D758" s="428">
        <v>12.85</v>
      </c>
      <c r="E758" s="429">
        <v>0</v>
      </c>
      <c r="F758" s="429">
        <f t="shared" si="130"/>
        <v>5140</v>
      </c>
      <c r="G758" s="427"/>
      <c r="H758" s="443"/>
      <c r="I758" s="428"/>
      <c r="J758" s="429"/>
      <c r="K758" s="429"/>
      <c r="L758" s="427"/>
      <c r="M758" s="429"/>
    </row>
    <row r="759" spans="1:13" x14ac:dyDescent="0.25">
      <c r="A759" s="427"/>
      <c r="B759" s="473">
        <v>42537</v>
      </c>
      <c r="C759" s="427">
        <v>400</v>
      </c>
      <c r="D759" s="428">
        <v>12.43</v>
      </c>
      <c r="E759" s="429">
        <v>-0.04</v>
      </c>
      <c r="F759" s="429">
        <f t="shared" si="130"/>
        <v>4971.96</v>
      </c>
      <c r="G759" s="427"/>
      <c r="H759" s="443"/>
      <c r="I759" s="428"/>
      <c r="J759" s="429"/>
      <c r="K759" s="429"/>
      <c r="L759" s="427"/>
      <c r="M759" s="429"/>
    </row>
    <row r="760" spans="1:13" x14ac:dyDescent="0.25">
      <c r="A760" s="427"/>
      <c r="B760" s="473">
        <v>42538</v>
      </c>
      <c r="C760" s="427">
        <v>500</v>
      </c>
      <c r="D760" s="428">
        <v>13.14</v>
      </c>
      <c r="E760" s="429">
        <v>0</v>
      </c>
      <c r="F760" s="429">
        <f t="shared" si="130"/>
        <v>6570</v>
      </c>
      <c r="G760" s="427"/>
      <c r="H760" s="443"/>
      <c r="I760" s="428"/>
      <c r="J760" s="429"/>
      <c r="K760" s="429"/>
      <c r="L760" s="427"/>
      <c r="M760" s="429"/>
    </row>
    <row r="761" spans="1:13" x14ac:dyDescent="0.25">
      <c r="A761" s="427"/>
      <c r="B761" s="473">
        <v>42543</v>
      </c>
      <c r="C761" s="427">
        <v>500</v>
      </c>
      <c r="D761" s="428">
        <v>14.75</v>
      </c>
      <c r="E761" s="429">
        <v>0</v>
      </c>
      <c r="F761" s="429">
        <f t="shared" si="130"/>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30"/>
        <v>12651.98</v>
      </c>
      <c r="G762" s="427"/>
      <c r="H762" s="443"/>
      <c r="I762" s="428"/>
      <c r="J762" s="429"/>
      <c r="K762" s="429"/>
      <c r="L762" s="427"/>
      <c r="M762" s="429"/>
    </row>
    <row r="763" spans="1:13" x14ac:dyDescent="0.25">
      <c r="A763" s="427"/>
      <c r="B763" s="473">
        <v>42545</v>
      </c>
      <c r="C763" s="427">
        <v>335</v>
      </c>
      <c r="D763" s="428">
        <v>14.08</v>
      </c>
      <c r="E763" s="429">
        <v>0</v>
      </c>
      <c r="F763" s="429">
        <f t="shared" si="130"/>
        <v>4716.8</v>
      </c>
      <c r="G763" s="427"/>
      <c r="H763" s="443"/>
      <c r="I763" s="428"/>
      <c r="J763" s="429"/>
      <c r="K763" s="429"/>
      <c r="L763" s="427"/>
      <c r="M763" s="429"/>
    </row>
    <row r="764" spans="1:13" x14ac:dyDescent="0.25">
      <c r="A764" s="427"/>
      <c r="B764" s="473">
        <v>42548</v>
      </c>
      <c r="C764" s="427">
        <v>965</v>
      </c>
      <c r="D764" s="428">
        <v>13.81</v>
      </c>
      <c r="E764" s="429">
        <v>0</v>
      </c>
      <c r="F764" s="429">
        <f t="shared" si="130"/>
        <v>13326.65</v>
      </c>
      <c r="G764" s="427"/>
      <c r="H764" s="443"/>
      <c r="I764" s="428"/>
      <c r="J764" s="429"/>
      <c r="K764" s="429"/>
      <c r="L764" s="427"/>
      <c r="M764" s="429"/>
    </row>
    <row r="765" spans="1:13" x14ac:dyDescent="0.25">
      <c r="A765" s="427"/>
      <c r="B765" s="473">
        <v>42548</v>
      </c>
      <c r="C765" s="427">
        <v>300</v>
      </c>
      <c r="D765" s="428">
        <v>13.58</v>
      </c>
      <c r="E765" s="429">
        <v>0</v>
      </c>
      <c r="F765" s="429">
        <f t="shared" si="130"/>
        <v>4074</v>
      </c>
      <c r="G765" s="426">
        <v>42549</v>
      </c>
      <c r="H765" s="443">
        <v>1100</v>
      </c>
      <c r="I765" s="428">
        <v>14.68</v>
      </c>
      <c r="J765" s="429">
        <v>0.35</v>
      </c>
      <c r="K765" s="429">
        <f t="shared" ref="K765:K850" si="131">H765*I765-J765</f>
        <v>16147.65</v>
      </c>
      <c r="L765" s="427"/>
      <c r="M765" s="429"/>
    </row>
    <row r="766" spans="1:13" ht="45" x14ac:dyDescent="0.25">
      <c r="A766" s="427"/>
      <c r="B766" s="473">
        <v>42556</v>
      </c>
      <c r="C766" s="427">
        <v>2178</v>
      </c>
      <c r="D766" s="428">
        <v>15.08</v>
      </c>
      <c r="E766" s="429">
        <v>0</v>
      </c>
      <c r="F766" s="429">
        <f t="shared" si="130"/>
        <v>32844.239999999998</v>
      </c>
      <c r="G766" s="537" t="s">
        <v>222</v>
      </c>
      <c r="H766" s="443">
        <v>500</v>
      </c>
      <c r="I766" s="428">
        <v>15.48</v>
      </c>
      <c r="J766" s="429">
        <v>0.17</v>
      </c>
      <c r="K766" s="429">
        <f t="shared" si="131"/>
        <v>7739.83</v>
      </c>
      <c r="L766" s="427"/>
      <c r="M766" s="429"/>
    </row>
    <row r="767" spans="1:13" x14ac:dyDescent="0.25">
      <c r="A767" s="427"/>
      <c r="B767" s="473">
        <v>42556</v>
      </c>
      <c r="C767" s="427">
        <v>500</v>
      </c>
      <c r="D767" s="428">
        <v>14.62</v>
      </c>
      <c r="E767" s="429">
        <v>0</v>
      </c>
      <c r="F767" s="429">
        <f t="shared" si="130"/>
        <v>7310</v>
      </c>
      <c r="G767" s="537"/>
      <c r="H767" s="443">
        <v>378</v>
      </c>
      <c r="I767" s="428">
        <v>15.65</v>
      </c>
      <c r="J767" s="429">
        <v>0.13</v>
      </c>
      <c r="K767" s="429">
        <f t="shared" si="131"/>
        <v>5915.57</v>
      </c>
      <c r="L767" s="427"/>
      <c r="M767" s="429"/>
    </row>
    <row r="768" spans="1:13" x14ac:dyDescent="0.25">
      <c r="A768" s="427"/>
      <c r="B768" s="473">
        <v>42557</v>
      </c>
      <c r="C768" s="427">
        <v>500</v>
      </c>
      <c r="D768" s="428">
        <v>14.78</v>
      </c>
      <c r="E768" s="429">
        <v>0</v>
      </c>
      <c r="F768" s="429">
        <f t="shared" si="130"/>
        <v>7390</v>
      </c>
      <c r="G768" s="537"/>
      <c r="H768" s="443">
        <v>500</v>
      </c>
      <c r="I768" s="428">
        <v>15.51</v>
      </c>
      <c r="J768" s="429">
        <v>0.17</v>
      </c>
      <c r="K768" s="429">
        <f t="shared" si="131"/>
        <v>7754.83</v>
      </c>
      <c r="L768" s="427"/>
      <c r="M768" s="429"/>
    </row>
    <row r="769" spans="1:13" x14ac:dyDescent="0.25">
      <c r="A769" s="427"/>
      <c r="B769" s="523">
        <v>42564</v>
      </c>
      <c r="C769" s="427">
        <v>320</v>
      </c>
      <c r="D769" s="428">
        <v>15.48</v>
      </c>
      <c r="E769" s="429">
        <v>0</v>
      </c>
      <c r="F769" s="429">
        <f t="shared" si="130"/>
        <v>4953.6000000000004</v>
      </c>
      <c r="G769" s="537"/>
      <c r="H769" s="443">
        <v>800</v>
      </c>
      <c r="I769" s="428">
        <v>15.78</v>
      </c>
      <c r="J769" s="429">
        <v>0.28000000000000003</v>
      </c>
      <c r="K769" s="429">
        <f t="shared" si="131"/>
        <v>12623.72</v>
      </c>
      <c r="L769" s="427"/>
      <c r="M769" s="429"/>
    </row>
    <row r="770" spans="1:13" x14ac:dyDescent="0.25">
      <c r="A770" s="524"/>
      <c r="B770" s="523">
        <v>42564</v>
      </c>
      <c r="C770" s="427">
        <v>160</v>
      </c>
      <c r="D770" s="428">
        <v>15.48</v>
      </c>
      <c r="E770" s="429">
        <v>0</v>
      </c>
      <c r="F770" s="429">
        <f t="shared" si="130"/>
        <v>2476.8000000000002</v>
      </c>
      <c r="G770" s="426">
        <v>42557</v>
      </c>
      <c r="H770" s="443">
        <v>500</v>
      </c>
      <c r="I770" s="428">
        <v>14.92</v>
      </c>
      <c r="J770" s="429">
        <v>0.16</v>
      </c>
      <c r="K770" s="429">
        <f t="shared" si="131"/>
        <v>7459.84</v>
      </c>
      <c r="L770" s="427"/>
      <c r="M770" s="429"/>
    </row>
    <row r="771" spans="1:13" x14ac:dyDescent="0.25">
      <c r="A771" s="524"/>
      <c r="B771" s="473">
        <v>42570</v>
      </c>
      <c r="C771" s="427">
        <v>200</v>
      </c>
      <c r="D771" s="428">
        <v>15.18</v>
      </c>
      <c r="E771" s="429">
        <v>0</v>
      </c>
      <c r="F771" s="429">
        <f t="shared" si="130"/>
        <v>3036</v>
      </c>
      <c r="G771" s="426">
        <v>42564</v>
      </c>
      <c r="H771" s="443">
        <v>420</v>
      </c>
      <c r="I771" s="428">
        <v>15.68</v>
      </c>
      <c r="J771" s="429">
        <v>0.14000000000000001</v>
      </c>
      <c r="K771" s="429">
        <f t="shared" si="131"/>
        <v>6585.4599999999991</v>
      </c>
      <c r="L771" s="427"/>
      <c r="M771" s="429"/>
    </row>
    <row r="772" spans="1:13" x14ac:dyDescent="0.25">
      <c r="A772" s="524"/>
      <c r="B772" s="473">
        <v>42570</v>
      </c>
      <c r="C772" s="427">
        <v>200</v>
      </c>
      <c r="D772" s="428">
        <v>14.68</v>
      </c>
      <c r="E772" s="429">
        <v>0</v>
      </c>
      <c r="F772" s="429">
        <f t="shared" si="130"/>
        <v>2936</v>
      </c>
      <c r="G772" s="426">
        <v>42571</v>
      </c>
      <c r="H772" s="443">
        <v>200</v>
      </c>
      <c r="I772" s="428">
        <v>14.82</v>
      </c>
      <c r="J772" s="429">
        <v>0.06</v>
      </c>
      <c r="K772" s="429">
        <f t="shared" si="131"/>
        <v>2963.94</v>
      </c>
      <c r="L772" s="427"/>
      <c r="M772" s="429"/>
    </row>
    <row r="773" spans="1:13" x14ac:dyDescent="0.25">
      <c r="A773" s="427"/>
      <c r="B773" s="473">
        <v>42571</v>
      </c>
      <c r="C773" s="427">
        <v>200</v>
      </c>
      <c r="D773" s="428">
        <v>14.33</v>
      </c>
      <c r="E773" s="429">
        <v>-1</v>
      </c>
      <c r="F773" s="429">
        <f t="shared" si="130"/>
        <v>2865</v>
      </c>
      <c r="G773" s="426">
        <v>42572</v>
      </c>
      <c r="H773" s="443">
        <v>200</v>
      </c>
      <c r="I773" s="428">
        <v>14.8</v>
      </c>
      <c r="J773" s="429">
        <v>0.06</v>
      </c>
      <c r="K773" s="429">
        <f t="shared" si="131"/>
        <v>2959.94</v>
      </c>
      <c r="L773" s="427"/>
      <c r="M773" s="429"/>
    </row>
    <row r="774" spans="1:13" x14ac:dyDescent="0.25">
      <c r="A774" s="427"/>
      <c r="B774" s="473">
        <v>42572</v>
      </c>
      <c r="C774" s="427">
        <v>60</v>
      </c>
      <c r="D774" s="428">
        <v>14.58</v>
      </c>
      <c r="E774" s="429">
        <v>0</v>
      </c>
      <c r="F774" s="429">
        <f t="shared" si="130"/>
        <v>874.8</v>
      </c>
      <c r="G774" s="426">
        <v>42577</v>
      </c>
      <c r="H774" s="443">
        <v>200</v>
      </c>
      <c r="I774" s="428">
        <v>13.78</v>
      </c>
      <c r="J774" s="429">
        <v>0.06</v>
      </c>
      <c r="K774" s="429">
        <f t="shared" si="131"/>
        <v>2755.94</v>
      </c>
      <c r="L774" s="427"/>
      <c r="M774" s="429"/>
    </row>
    <row r="775" spans="1:13" x14ac:dyDescent="0.25">
      <c r="A775" s="427"/>
      <c r="B775" s="473">
        <v>42572</v>
      </c>
      <c r="C775" s="427">
        <v>140</v>
      </c>
      <c r="D775" s="428">
        <v>14.65</v>
      </c>
      <c r="E775" s="429">
        <v>0</v>
      </c>
      <c r="F775" s="429">
        <f t="shared" si="130"/>
        <v>2051</v>
      </c>
      <c r="G775" s="426">
        <v>42580</v>
      </c>
      <c r="H775" s="443">
        <v>200</v>
      </c>
      <c r="I775" s="428">
        <v>13.224</v>
      </c>
      <c r="J775" s="429">
        <v>0.08</v>
      </c>
      <c r="K775" s="429">
        <f t="shared" si="131"/>
        <v>2644.7200000000003</v>
      </c>
      <c r="L775" s="427"/>
      <c r="M775" s="429"/>
    </row>
    <row r="776" spans="1:13" x14ac:dyDescent="0.25">
      <c r="A776" s="427"/>
      <c r="B776" s="473">
        <v>42573</v>
      </c>
      <c r="C776" s="427">
        <v>140</v>
      </c>
      <c r="D776" s="428">
        <v>14.08</v>
      </c>
      <c r="E776" s="429">
        <v>0</v>
      </c>
      <c r="F776" s="429">
        <f t="shared" si="130"/>
        <v>1971.2</v>
      </c>
      <c r="G776" s="426">
        <v>42580</v>
      </c>
      <c r="H776" s="443">
        <v>200</v>
      </c>
      <c r="I776" s="428">
        <v>13.58</v>
      </c>
      <c r="J776" s="429">
        <v>0.06</v>
      </c>
      <c r="K776" s="429">
        <f t="shared" si="131"/>
        <v>2715.94</v>
      </c>
      <c r="L776" s="427"/>
      <c r="M776" s="429"/>
    </row>
    <row r="777" spans="1:13" x14ac:dyDescent="0.25">
      <c r="A777" s="427"/>
      <c r="B777" s="473">
        <v>42576</v>
      </c>
      <c r="C777" s="427">
        <v>200</v>
      </c>
      <c r="D777" s="428">
        <v>13.55</v>
      </c>
      <c r="E777" s="429">
        <v>0</v>
      </c>
      <c r="F777" s="429">
        <f t="shared" si="130"/>
        <v>2710</v>
      </c>
      <c r="G777" s="426">
        <v>42586</v>
      </c>
      <c r="H777" s="443">
        <v>400</v>
      </c>
      <c r="I777" s="428">
        <v>13.78</v>
      </c>
      <c r="J777" s="429">
        <v>0.12</v>
      </c>
      <c r="K777" s="429">
        <f t="shared" si="131"/>
        <v>5511.88</v>
      </c>
      <c r="L777" s="427"/>
      <c r="M777" s="429"/>
    </row>
    <row r="778" spans="1:13" x14ac:dyDescent="0.25">
      <c r="A778" s="427"/>
      <c r="B778" s="473">
        <v>42578</v>
      </c>
      <c r="C778" s="427">
        <v>200</v>
      </c>
      <c r="D778" s="428">
        <v>13.18</v>
      </c>
      <c r="E778" s="429">
        <v>0</v>
      </c>
      <c r="F778" s="429">
        <f t="shared" si="130"/>
        <v>2636</v>
      </c>
      <c r="G778" s="426">
        <v>42586</v>
      </c>
      <c r="H778" s="443">
        <v>400</v>
      </c>
      <c r="I778" s="428">
        <v>13.72</v>
      </c>
      <c r="J778" s="429">
        <v>0.12</v>
      </c>
      <c r="K778" s="429">
        <f t="shared" si="131"/>
        <v>5487.88</v>
      </c>
      <c r="L778" s="427"/>
      <c r="M778" s="429"/>
    </row>
    <row r="779" spans="1:13" x14ac:dyDescent="0.25">
      <c r="A779" s="427"/>
      <c r="B779" s="473">
        <v>42580</v>
      </c>
      <c r="C779" s="427">
        <v>200</v>
      </c>
      <c r="D779" s="428">
        <v>13.15</v>
      </c>
      <c r="E779" s="429">
        <v>0</v>
      </c>
      <c r="F779" s="429">
        <f t="shared" si="130"/>
        <v>2630</v>
      </c>
      <c r="G779" s="426">
        <v>42586</v>
      </c>
      <c r="H779" s="443">
        <v>140</v>
      </c>
      <c r="I779" s="428">
        <v>13.88</v>
      </c>
      <c r="J779" s="429">
        <v>0.04</v>
      </c>
      <c r="K779" s="429">
        <f t="shared" si="131"/>
        <v>1943.16</v>
      </c>
      <c r="L779" s="427"/>
      <c r="M779" s="429"/>
    </row>
    <row r="780" spans="1:13" x14ac:dyDescent="0.25">
      <c r="A780" s="427"/>
      <c r="B780" s="473">
        <v>42583</v>
      </c>
      <c r="C780" s="520">
        <v>20</v>
      </c>
      <c r="D780" s="428">
        <v>13.02</v>
      </c>
      <c r="E780" s="429">
        <v>0</v>
      </c>
      <c r="F780" s="429">
        <f t="shared" si="130"/>
        <v>260.39999999999998</v>
      </c>
      <c r="G780" s="426">
        <v>42593</v>
      </c>
      <c r="H780" s="443">
        <v>460</v>
      </c>
      <c r="I780" s="428">
        <v>14.59</v>
      </c>
      <c r="J780" s="429">
        <v>0.15</v>
      </c>
      <c r="K780" s="429">
        <f t="shared" si="131"/>
        <v>6711.25</v>
      </c>
      <c r="L780" s="427"/>
      <c r="M780" s="429"/>
    </row>
    <row r="781" spans="1:13" x14ac:dyDescent="0.25">
      <c r="A781" s="427"/>
      <c r="B781" s="473">
        <v>42583</v>
      </c>
      <c r="C781" s="427">
        <v>180</v>
      </c>
      <c r="D781" s="428">
        <v>13.02</v>
      </c>
      <c r="E781" s="429">
        <v>0</v>
      </c>
      <c r="F781" s="429">
        <f t="shared" si="130"/>
        <v>2343.6</v>
      </c>
      <c r="G781" s="426">
        <v>42594</v>
      </c>
      <c r="H781" s="443">
        <v>500</v>
      </c>
      <c r="I781" s="428">
        <v>14.88</v>
      </c>
      <c r="J781" s="429">
        <v>0.16</v>
      </c>
      <c r="K781" s="429">
        <f t="shared" si="131"/>
        <v>7439.84</v>
      </c>
      <c r="L781" s="427"/>
      <c r="M781" s="429"/>
    </row>
    <row r="782" spans="1:13" x14ac:dyDescent="0.25">
      <c r="A782" s="427"/>
      <c r="B782" s="473">
        <v>42584</v>
      </c>
      <c r="C782" s="427">
        <v>120</v>
      </c>
      <c r="D782" s="428">
        <v>12.68</v>
      </c>
      <c r="E782" s="429">
        <v>0</v>
      </c>
      <c r="F782" s="429">
        <f t="shared" si="130"/>
        <v>1521.6</v>
      </c>
      <c r="G782" s="426">
        <v>42598</v>
      </c>
      <c r="H782" s="443">
        <v>500</v>
      </c>
      <c r="I782" s="428">
        <v>15.18</v>
      </c>
      <c r="J782" s="429">
        <v>0.17</v>
      </c>
      <c r="K782" s="429">
        <f t="shared" si="131"/>
        <v>7589.83</v>
      </c>
      <c r="L782" s="427"/>
      <c r="M782" s="429"/>
    </row>
    <row r="783" spans="1:13" x14ac:dyDescent="0.25">
      <c r="A783" s="427"/>
      <c r="B783" s="473">
        <v>42584</v>
      </c>
      <c r="C783" s="427">
        <v>80</v>
      </c>
      <c r="D783" s="428">
        <v>12.68</v>
      </c>
      <c r="E783" s="429">
        <v>0</v>
      </c>
      <c r="F783" s="429">
        <f t="shared" si="130"/>
        <v>1014.4</v>
      </c>
      <c r="G783" s="426">
        <v>42599</v>
      </c>
      <c r="H783" s="443">
        <v>500</v>
      </c>
      <c r="I783" s="428">
        <v>15.18</v>
      </c>
      <c r="J783" s="429">
        <v>0.17</v>
      </c>
      <c r="K783" s="429">
        <f t="shared" si="131"/>
        <v>7589.83</v>
      </c>
      <c r="L783" s="427"/>
      <c r="M783" s="429"/>
    </row>
    <row r="784" spans="1:13" x14ac:dyDescent="0.25">
      <c r="A784" s="427"/>
      <c r="B784" s="473">
        <v>42585</v>
      </c>
      <c r="C784" s="427">
        <v>242</v>
      </c>
      <c r="D784" s="428">
        <v>13.38</v>
      </c>
      <c r="E784" s="429">
        <v>0</v>
      </c>
      <c r="F784" s="429">
        <f t="shared" si="130"/>
        <v>3237.96</v>
      </c>
      <c r="G784" s="426">
        <v>42599</v>
      </c>
      <c r="H784" s="443">
        <v>500</v>
      </c>
      <c r="I784" s="428">
        <v>15.41</v>
      </c>
      <c r="J784" s="429">
        <v>0.17</v>
      </c>
      <c r="K784" s="429">
        <f t="shared" si="131"/>
        <v>7704.83</v>
      </c>
      <c r="L784" s="427"/>
      <c r="M784" s="429"/>
    </row>
    <row r="785" spans="1:13" x14ac:dyDescent="0.25">
      <c r="A785" s="427"/>
      <c r="B785" s="473">
        <v>42585</v>
      </c>
      <c r="C785" s="427">
        <v>158</v>
      </c>
      <c r="D785" s="428">
        <v>13.38</v>
      </c>
      <c r="E785" s="429">
        <v>0</v>
      </c>
      <c r="F785" s="429">
        <f t="shared" si="130"/>
        <v>2114.04</v>
      </c>
      <c r="G785" s="426">
        <v>42599</v>
      </c>
      <c r="H785" s="443">
        <v>500</v>
      </c>
      <c r="I785" s="428">
        <v>15.65</v>
      </c>
      <c r="J785" s="429">
        <v>0.17</v>
      </c>
      <c r="K785" s="429">
        <f t="shared" si="131"/>
        <v>7824.83</v>
      </c>
      <c r="L785" s="427"/>
      <c r="M785" s="429"/>
    </row>
    <row r="786" spans="1:13" ht="45" x14ac:dyDescent="0.25">
      <c r="A786" s="427"/>
      <c r="B786" s="473">
        <v>42594</v>
      </c>
      <c r="C786" s="427">
        <v>500</v>
      </c>
      <c r="D786" s="428">
        <v>14.65</v>
      </c>
      <c r="E786" s="429">
        <v>0</v>
      </c>
      <c r="F786" s="429">
        <f t="shared" si="130"/>
        <v>7325</v>
      </c>
      <c r="G786" s="542" t="s">
        <v>250</v>
      </c>
      <c r="H786" s="443">
        <v>500</v>
      </c>
      <c r="I786" s="428">
        <v>16.18</v>
      </c>
      <c r="J786" s="429">
        <v>0.18</v>
      </c>
      <c r="K786" s="429">
        <f t="shared" si="131"/>
        <v>8089.82</v>
      </c>
      <c r="L786" s="427"/>
      <c r="M786" s="429"/>
    </row>
    <row r="787" spans="1:13" x14ac:dyDescent="0.25">
      <c r="A787" s="427"/>
      <c r="B787" s="473">
        <v>42599</v>
      </c>
      <c r="C787" s="427">
        <v>242</v>
      </c>
      <c r="D787" s="428">
        <v>14.95</v>
      </c>
      <c r="E787" s="429">
        <v>0</v>
      </c>
      <c r="F787" s="429">
        <f t="shared" si="130"/>
        <v>3617.8999999999996</v>
      </c>
      <c r="G787" s="542"/>
      <c r="H787" s="443">
        <v>500</v>
      </c>
      <c r="I787" s="428">
        <v>16.38</v>
      </c>
      <c r="J787" s="429">
        <v>0.18</v>
      </c>
      <c r="K787" s="429">
        <f t="shared" si="131"/>
        <v>8189.8199999999988</v>
      </c>
      <c r="L787" s="427"/>
      <c r="M787" s="429"/>
    </row>
    <row r="788" spans="1:13" x14ac:dyDescent="0.25">
      <c r="A788" s="427"/>
      <c r="B788" s="473">
        <v>42599</v>
      </c>
      <c r="C788" s="427">
        <v>200</v>
      </c>
      <c r="D788" s="428">
        <v>14.95</v>
      </c>
      <c r="E788" s="429">
        <v>0</v>
      </c>
      <c r="F788" s="429">
        <f t="shared" si="130"/>
        <v>2990</v>
      </c>
      <c r="G788" s="542"/>
      <c r="H788" s="443">
        <v>178</v>
      </c>
      <c r="I788" s="428">
        <v>16.5</v>
      </c>
      <c r="J788" s="429">
        <v>0.06</v>
      </c>
      <c r="K788" s="429">
        <f t="shared" si="131"/>
        <v>2936.94</v>
      </c>
      <c r="L788" s="427"/>
      <c r="M788" s="429"/>
    </row>
    <row r="789" spans="1:13" x14ac:dyDescent="0.25">
      <c r="A789" s="427"/>
      <c r="B789" s="473">
        <v>42599</v>
      </c>
      <c r="C789" s="427">
        <v>36</v>
      </c>
      <c r="D789" s="428">
        <v>14.95</v>
      </c>
      <c r="E789" s="429">
        <v>0</v>
      </c>
      <c r="F789" s="429">
        <f t="shared" si="130"/>
        <v>538.19999999999993</v>
      </c>
      <c r="G789" s="542"/>
      <c r="H789" s="443">
        <v>500</v>
      </c>
      <c r="I789" s="428">
        <v>16.72</v>
      </c>
      <c r="J789" s="429">
        <v>0.18</v>
      </c>
      <c r="K789" s="429">
        <f t="shared" si="131"/>
        <v>8359.82</v>
      </c>
      <c r="L789" s="427"/>
      <c r="M789" s="429"/>
    </row>
    <row r="790" spans="1:13" x14ac:dyDescent="0.25">
      <c r="A790" s="427"/>
      <c r="B790" s="473">
        <v>42599</v>
      </c>
      <c r="C790" s="427">
        <v>22</v>
      </c>
      <c r="D790" s="428">
        <v>14.95</v>
      </c>
      <c r="E790" s="429">
        <v>0</v>
      </c>
      <c r="F790" s="429">
        <f t="shared" si="130"/>
        <v>328.9</v>
      </c>
      <c r="G790" s="426">
        <v>42601</v>
      </c>
      <c r="H790" s="443">
        <v>500</v>
      </c>
      <c r="I790" s="428">
        <v>16.82</v>
      </c>
      <c r="J790" s="429">
        <v>0.18</v>
      </c>
      <c r="K790" s="429">
        <f t="shared" si="131"/>
        <v>8409.82</v>
      </c>
      <c r="L790" s="427"/>
      <c r="M790" s="429"/>
    </row>
    <row r="791" spans="1:13" x14ac:dyDescent="0.25">
      <c r="A791" s="427"/>
      <c r="B791" s="473">
        <v>42604</v>
      </c>
      <c r="C791" s="427">
        <v>1000</v>
      </c>
      <c r="D791" s="428">
        <v>15.68</v>
      </c>
      <c r="E791" s="429">
        <v>0</v>
      </c>
      <c r="F791" s="429">
        <f t="shared" si="130"/>
        <v>15680</v>
      </c>
      <c r="G791" s="426">
        <v>42605</v>
      </c>
      <c r="H791" s="443">
        <v>500</v>
      </c>
      <c r="I791" s="428">
        <v>15.98</v>
      </c>
      <c r="J791" s="429">
        <v>0.17</v>
      </c>
      <c r="K791" s="429">
        <f t="shared" si="131"/>
        <v>7989.83</v>
      </c>
      <c r="L791" s="427"/>
      <c r="M791" s="429"/>
    </row>
    <row r="792" spans="1:13" x14ac:dyDescent="0.25">
      <c r="A792" s="427"/>
      <c r="B792" s="473">
        <v>42604</v>
      </c>
      <c r="C792" s="427">
        <v>500</v>
      </c>
      <c r="D792" s="428">
        <v>15.48</v>
      </c>
      <c r="E792" s="429">
        <v>0</v>
      </c>
      <c r="F792" s="429">
        <f t="shared" si="130"/>
        <v>7740</v>
      </c>
      <c r="G792" s="426">
        <v>42605</v>
      </c>
      <c r="H792" s="443">
        <v>500</v>
      </c>
      <c r="I792" s="428">
        <v>16.25</v>
      </c>
      <c r="J792" s="429">
        <v>0.18</v>
      </c>
      <c r="K792" s="429">
        <f t="shared" si="131"/>
        <v>8124.82</v>
      </c>
      <c r="L792" s="427"/>
      <c r="M792" s="429"/>
    </row>
    <row r="793" spans="1:13" x14ac:dyDescent="0.25">
      <c r="A793" s="427"/>
      <c r="B793" s="473">
        <v>42606</v>
      </c>
      <c r="C793" s="427">
        <v>178</v>
      </c>
      <c r="D793" s="428">
        <v>16.059999999999999</v>
      </c>
      <c r="E793" s="429">
        <v>0</v>
      </c>
      <c r="F793" s="429">
        <f t="shared" si="130"/>
        <v>2858.68</v>
      </c>
      <c r="G793" s="426">
        <v>42605</v>
      </c>
      <c r="H793" s="443">
        <v>500</v>
      </c>
      <c r="I793" s="428">
        <v>16.48</v>
      </c>
      <c r="J793" s="429">
        <v>0.18</v>
      </c>
      <c r="K793" s="429">
        <f t="shared" si="131"/>
        <v>8239.82</v>
      </c>
      <c r="L793" s="427"/>
      <c r="M793" s="429"/>
    </row>
    <row r="794" spans="1:13" x14ac:dyDescent="0.25">
      <c r="A794" s="427"/>
      <c r="B794" s="473">
        <v>42608</v>
      </c>
      <c r="C794" s="427">
        <v>500</v>
      </c>
      <c r="D794" s="428">
        <v>15.98</v>
      </c>
      <c r="E794" s="429">
        <v>0</v>
      </c>
      <c r="F794" s="429">
        <f t="shared" si="130"/>
        <v>7990</v>
      </c>
      <c r="G794" s="426">
        <v>42615</v>
      </c>
      <c r="H794" s="443">
        <v>500</v>
      </c>
      <c r="I794" s="428">
        <v>15.65</v>
      </c>
      <c r="J794" s="429">
        <v>0.17</v>
      </c>
      <c r="K794" s="429">
        <f t="shared" si="131"/>
        <v>7824.83</v>
      </c>
      <c r="L794" s="427"/>
      <c r="M794" s="429"/>
    </row>
    <row r="795" spans="1:13" ht="30" x14ac:dyDescent="0.25">
      <c r="A795" s="427"/>
      <c r="B795" s="473">
        <v>42608</v>
      </c>
      <c r="C795" s="427">
        <v>500</v>
      </c>
      <c r="D795" s="428">
        <v>15.85</v>
      </c>
      <c r="E795" s="429">
        <v>0</v>
      </c>
      <c r="F795" s="429">
        <f t="shared" si="130"/>
        <v>7925</v>
      </c>
      <c r="G795" s="426">
        <v>42621</v>
      </c>
      <c r="H795" s="443">
        <v>500</v>
      </c>
      <c r="I795" s="428">
        <v>16.72</v>
      </c>
      <c r="J795" s="429">
        <v>0.18</v>
      </c>
      <c r="K795" s="429">
        <f t="shared" si="131"/>
        <v>8359.82</v>
      </c>
      <c r="L795" s="543" t="s">
        <v>263</v>
      </c>
      <c r="M795" s="429"/>
    </row>
    <row r="796" spans="1:13" x14ac:dyDescent="0.25">
      <c r="A796" s="427"/>
      <c r="B796" s="473">
        <v>42612</v>
      </c>
      <c r="C796" s="427">
        <v>500</v>
      </c>
      <c r="D796" s="428">
        <v>15.68</v>
      </c>
      <c r="E796" s="429">
        <v>0</v>
      </c>
      <c r="F796" s="429">
        <f t="shared" si="130"/>
        <v>7840</v>
      </c>
      <c r="G796" s="426">
        <v>42621</v>
      </c>
      <c r="H796" s="443">
        <v>500</v>
      </c>
      <c r="I796" s="428">
        <v>16.28</v>
      </c>
      <c r="J796" s="429">
        <v>0.18</v>
      </c>
      <c r="K796" s="429">
        <f t="shared" si="131"/>
        <v>8139.8200000000006</v>
      </c>
      <c r="L796" s="543"/>
      <c r="M796" s="429"/>
    </row>
    <row r="797" spans="1:13" x14ac:dyDescent="0.25">
      <c r="A797" s="427"/>
      <c r="B797" s="473">
        <v>42612</v>
      </c>
      <c r="C797" s="427">
        <v>500</v>
      </c>
      <c r="D797" s="428">
        <v>15.55</v>
      </c>
      <c r="E797" s="429">
        <v>0</v>
      </c>
      <c r="F797" s="429">
        <f t="shared" si="130"/>
        <v>7775</v>
      </c>
      <c r="G797" s="426">
        <v>42621</v>
      </c>
      <c r="H797" s="443">
        <v>220</v>
      </c>
      <c r="I797" s="428">
        <v>16.77</v>
      </c>
      <c r="J797" s="429">
        <v>0.08</v>
      </c>
      <c r="K797" s="429">
        <f t="shared" si="131"/>
        <v>3689.32</v>
      </c>
      <c r="L797" s="543"/>
      <c r="M797" s="429"/>
    </row>
    <row r="798" spans="1:13" x14ac:dyDescent="0.25">
      <c r="A798" s="427"/>
      <c r="B798" s="473">
        <v>42613</v>
      </c>
      <c r="C798" s="427">
        <v>500</v>
      </c>
      <c r="D798" s="428">
        <v>15.244999999999999</v>
      </c>
      <c r="E798" s="429">
        <v>0</v>
      </c>
      <c r="F798" s="429">
        <f t="shared" si="130"/>
        <v>7622.5</v>
      </c>
      <c r="G798" s="426">
        <v>42625</v>
      </c>
      <c r="H798" s="443">
        <v>500</v>
      </c>
      <c r="I798" s="428">
        <v>15.5</v>
      </c>
      <c r="J798" s="429">
        <v>0.17</v>
      </c>
      <c r="K798" s="429">
        <f t="shared" si="131"/>
        <v>7749.83</v>
      </c>
      <c r="L798" s="427"/>
      <c r="M798" s="429"/>
    </row>
    <row r="799" spans="1:13" x14ac:dyDescent="0.25">
      <c r="A799" s="427"/>
      <c r="B799" s="473">
        <v>42613</v>
      </c>
      <c r="C799" s="427">
        <v>500</v>
      </c>
      <c r="D799" s="428">
        <v>15.08</v>
      </c>
      <c r="E799" s="429">
        <v>0</v>
      </c>
      <c r="F799" s="429">
        <f t="shared" si="130"/>
        <v>7540</v>
      </c>
      <c r="G799" s="426">
        <v>42628</v>
      </c>
      <c r="H799" s="443">
        <v>300</v>
      </c>
      <c r="I799" s="428">
        <v>14.46</v>
      </c>
      <c r="J799" s="429">
        <v>0.09</v>
      </c>
      <c r="K799" s="429">
        <f t="shared" si="131"/>
        <v>4337.91</v>
      </c>
      <c r="L799" s="427"/>
      <c r="M799" s="429"/>
    </row>
    <row r="800" spans="1:13" x14ac:dyDescent="0.25">
      <c r="A800" s="427"/>
      <c r="B800" s="473">
        <v>42622</v>
      </c>
      <c r="C800" s="427">
        <v>220</v>
      </c>
      <c r="D800" s="428">
        <v>16.25</v>
      </c>
      <c r="E800" s="429">
        <v>0</v>
      </c>
      <c r="F800" s="429">
        <f t="shared" si="130"/>
        <v>3575</v>
      </c>
      <c r="G800" s="426">
        <v>42634</v>
      </c>
      <c r="H800" s="443">
        <v>322</v>
      </c>
      <c r="I800" s="428">
        <v>14.28</v>
      </c>
      <c r="J800" s="429">
        <v>0.1</v>
      </c>
      <c r="K800" s="429">
        <f t="shared" si="131"/>
        <v>4598.0599999999995</v>
      </c>
      <c r="L800" s="427"/>
      <c r="M800" s="429"/>
    </row>
    <row r="801" spans="1:13" x14ac:dyDescent="0.25">
      <c r="A801" s="427"/>
      <c r="B801" s="473">
        <v>42622</v>
      </c>
      <c r="C801" s="427">
        <v>500</v>
      </c>
      <c r="D801" s="428">
        <v>15.98</v>
      </c>
      <c r="E801" s="429">
        <v>0</v>
      </c>
      <c r="F801" s="429">
        <f t="shared" si="130"/>
        <v>7990</v>
      </c>
      <c r="G801" s="426">
        <v>42634</v>
      </c>
      <c r="H801" s="443">
        <v>400</v>
      </c>
      <c r="I801" s="428">
        <v>14.64</v>
      </c>
      <c r="J801" s="429">
        <v>0.13</v>
      </c>
      <c r="K801" s="429">
        <f t="shared" si="131"/>
        <v>5855.87</v>
      </c>
      <c r="L801" s="427"/>
      <c r="M801" s="429"/>
    </row>
    <row r="802" spans="1:13" x14ac:dyDescent="0.25">
      <c r="A802" s="427"/>
      <c r="B802" s="473">
        <v>42622</v>
      </c>
      <c r="C802" s="427">
        <v>500</v>
      </c>
      <c r="D802" s="428">
        <v>15.75</v>
      </c>
      <c r="E802" s="429">
        <v>0</v>
      </c>
      <c r="F802" s="429">
        <f t="shared" si="130"/>
        <v>7875</v>
      </c>
      <c r="G802" s="426">
        <v>42639</v>
      </c>
      <c r="H802" s="443">
        <v>200</v>
      </c>
      <c r="I802" s="428">
        <v>14.72</v>
      </c>
      <c r="J802" s="429">
        <v>0.06</v>
      </c>
      <c r="K802" s="429">
        <f t="shared" si="131"/>
        <v>2943.94</v>
      </c>
      <c r="L802" s="427"/>
      <c r="M802" s="429"/>
    </row>
    <row r="803" spans="1:13" x14ac:dyDescent="0.25">
      <c r="A803" s="427"/>
      <c r="B803" s="473">
        <v>42625</v>
      </c>
      <c r="C803" s="427">
        <v>500</v>
      </c>
      <c r="D803" s="428">
        <v>15.22</v>
      </c>
      <c r="E803" s="429">
        <v>0</v>
      </c>
      <c r="F803" s="429">
        <f t="shared" si="130"/>
        <v>7610</v>
      </c>
      <c r="G803" s="426">
        <v>42641</v>
      </c>
      <c r="H803" s="443">
        <v>300</v>
      </c>
      <c r="I803" s="428">
        <v>15.28</v>
      </c>
      <c r="J803" s="429">
        <v>0.1</v>
      </c>
      <c r="K803" s="429">
        <f t="shared" si="131"/>
        <v>4583.8999999999996</v>
      </c>
      <c r="L803" s="427"/>
      <c r="M803" s="429"/>
    </row>
    <row r="804" spans="1:13" ht="30" x14ac:dyDescent="0.25">
      <c r="A804" s="525" t="s">
        <v>272</v>
      </c>
      <c r="B804" s="473">
        <v>42626</v>
      </c>
      <c r="C804" s="427">
        <v>600</v>
      </c>
      <c r="D804" s="428">
        <v>14.91</v>
      </c>
      <c r="E804" s="429">
        <v>-3</v>
      </c>
      <c r="F804" s="429">
        <f t="shared" si="130"/>
        <v>8943</v>
      </c>
      <c r="G804" s="426">
        <v>42641</v>
      </c>
      <c r="H804" s="443">
        <v>400</v>
      </c>
      <c r="I804" s="428">
        <v>15.06</v>
      </c>
      <c r="J804" s="429">
        <v>0.13</v>
      </c>
      <c r="K804" s="429">
        <f t="shared" si="131"/>
        <v>6023.87</v>
      </c>
      <c r="L804" s="427"/>
      <c r="M804" s="429"/>
    </row>
    <row r="805" spans="1:13" x14ac:dyDescent="0.25">
      <c r="A805" s="525"/>
      <c r="B805" s="473">
        <v>42626</v>
      </c>
      <c r="C805" s="427">
        <v>400</v>
      </c>
      <c r="D805" s="428">
        <v>14.75</v>
      </c>
      <c r="E805" s="429">
        <v>0</v>
      </c>
      <c r="F805" s="429">
        <f t="shared" si="130"/>
        <v>5900</v>
      </c>
      <c r="G805" s="426">
        <v>42641</v>
      </c>
      <c r="H805" s="443">
        <v>322</v>
      </c>
      <c r="I805" s="428">
        <v>14.39</v>
      </c>
      <c r="J805" s="429">
        <v>0.1</v>
      </c>
      <c r="K805" s="429">
        <f t="shared" si="131"/>
        <v>4633.4799999999996</v>
      </c>
      <c r="L805" s="427"/>
      <c r="M805" s="429"/>
    </row>
    <row r="806" spans="1:13" x14ac:dyDescent="0.25">
      <c r="A806" s="525"/>
      <c r="B806" s="473">
        <v>42626</v>
      </c>
      <c r="C806" s="427">
        <v>300</v>
      </c>
      <c r="D806" s="428">
        <v>14.48</v>
      </c>
      <c r="E806" s="429">
        <v>0</v>
      </c>
      <c r="F806" s="429">
        <f t="shared" si="130"/>
        <v>4344</v>
      </c>
      <c r="G806" s="426">
        <v>42641</v>
      </c>
      <c r="H806" s="443">
        <v>500</v>
      </c>
      <c r="I806" s="428">
        <v>14.26</v>
      </c>
      <c r="J806" s="429">
        <v>0.16</v>
      </c>
      <c r="K806" s="429">
        <f t="shared" si="131"/>
        <v>7129.84</v>
      </c>
      <c r="L806" s="427"/>
      <c r="M806" s="429"/>
    </row>
    <row r="807" spans="1:13" x14ac:dyDescent="0.25">
      <c r="A807" s="525"/>
      <c r="B807" s="473">
        <v>42626</v>
      </c>
      <c r="C807" s="427">
        <v>300</v>
      </c>
      <c r="D807" s="428">
        <v>14.25</v>
      </c>
      <c r="E807" s="429">
        <v>0</v>
      </c>
      <c r="F807" s="429">
        <f t="shared" si="130"/>
        <v>4275</v>
      </c>
      <c r="G807" s="426">
        <v>42642</v>
      </c>
      <c r="H807" s="443">
        <v>300</v>
      </c>
      <c r="I807" s="428">
        <v>15.28</v>
      </c>
      <c r="J807" s="429">
        <v>0.1</v>
      </c>
      <c r="K807" s="429">
        <f t="shared" si="131"/>
        <v>4583.8999999999996</v>
      </c>
      <c r="L807" s="427"/>
      <c r="M807" s="429"/>
    </row>
    <row r="808" spans="1:13" x14ac:dyDescent="0.25">
      <c r="A808" s="525"/>
      <c r="B808" s="473">
        <v>42627</v>
      </c>
      <c r="C808" s="427">
        <v>200</v>
      </c>
      <c r="D808" s="428">
        <v>14.02</v>
      </c>
      <c r="E808" s="429">
        <v>-1</v>
      </c>
      <c r="F808" s="429">
        <f t="shared" si="130"/>
        <v>2803</v>
      </c>
      <c r="G808" s="426">
        <v>42642</v>
      </c>
      <c r="H808" s="443">
        <v>700</v>
      </c>
      <c r="I808" s="428">
        <v>15.78</v>
      </c>
      <c r="J808" s="429">
        <v>0.24</v>
      </c>
      <c r="K808" s="429">
        <f t="shared" si="131"/>
        <v>11045.76</v>
      </c>
      <c r="L808" s="427"/>
      <c r="M808" s="429"/>
    </row>
    <row r="809" spans="1:13" x14ac:dyDescent="0.25">
      <c r="A809" s="427"/>
      <c r="B809" s="473">
        <v>42628</v>
      </c>
      <c r="C809" s="427">
        <v>300</v>
      </c>
      <c r="D809" s="428">
        <v>14.3</v>
      </c>
      <c r="E809" s="429">
        <v>0</v>
      </c>
      <c r="F809" s="429">
        <f t="shared" si="130"/>
        <v>4290</v>
      </c>
      <c r="G809" s="426">
        <v>42642</v>
      </c>
      <c r="H809" s="443">
        <v>214</v>
      </c>
      <c r="I809" s="428">
        <v>15.98</v>
      </c>
      <c r="J809" s="429">
        <v>7.0000000000000007E-2</v>
      </c>
      <c r="K809" s="429">
        <f t="shared" si="131"/>
        <v>3419.65</v>
      </c>
      <c r="L809" s="427"/>
      <c r="M809" s="429"/>
    </row>
    <row r="810" spans="1:13" x14ac:dyDescent="0.25">
      <c r="A810" s="427"/>
      <c r="B810" s="473">
        <v>42632</v>
      </c>
      <c r="C810" s="427">
        <v>200</v>
      </c>
      <c r="D810" s="428">
        <v>14.06</v>
      </c>
      <c r="E810" s="429">
        <v>0</v>
      </c>
      <c r="F810" s="429">
        <f t="shared" si="130"/>
        <v>2812</v>
      </c>
      <c r="G810" s="426">
        <v>42648</v>
      </c>
      <c r="H810" s="443">
        <v>1000</v>
      </c>
      <c r="I810" s="428">
        <v>16.079999999999998</v>
      </c>
      <c r="J810" s="429">
        <v>0.35</v>
      </c>
      <c r="K810" s="429">
        <f t="shared" si="131"/>
        <v>16079.649999999998</v>
      </c>
      <c r="L810" s="427"/>
      <c r="M810" s="429"/>
    </row>
    <row r="811" spans="1:13" x14ac:dyDescent="0.25">
      <c r="A811" s="427"/>
      <c r="B811" s="473">
        <v>42633</v>
      </c>
      <c r="C811" s="427">
        <v>200</v>
      </c>
      <c r="D811" s="428">
        <v>14.11</v>
      </c>
      <c r="E811" s="429">
        <v>0</v>
      </c>
      <c r="F811" s="429">
        <f t="shared" si="130"/>
        <v>2822</v>
      </c>
      <c r="G811" s="426">
        <v>42648</v>
      </c>
      <c r="H811" s="443">
        <v>500</v>
      </c>
      <c r="I811" s="428">
        <v>16.38</v>
      </c>
      <c r="J811" s="429">
        <v>0.18</v>
      </c>
      <c r="K811" s="429">
        <f t="shared" si="131"/>
        <v>8189.8199999999988</v>
      </c>
      <c r="L811" s="427"/>
      <c r="M811" s="429"/>
    </row>
    <row r="812" spans="1:13" x14ac:dyDescent="0.25">
      <c r="A812" s="427"/>
      <c r="B812" s="473">
        <v>42633</v>
      </c>
      <c r="C812" s="427">
        <v>122</v>
      </c>
      <c r="D812" s="428">
        <v>14.1</v>
      </c>
      <c r="E812" s="429">
        <v>0</v>
      </c>
      <c r="F812" s="429">
        <f t="shared" si="130"/>
        <v>1720.2</v>
      </c>
      <c r="G812" s="426">
        <v>42649</v>
      </c>
      <c r="H812" s="443">
        <v>500</v>
      </c>
      <c r="I812" s="428">
        <v>16.16</v>
      </c>
      <c r="J812" s="429">
        <v>0.18</v>
      </c>
      <c r="K812" s="429">
        <f t="shared" si="131"/>
        <v>8079.82</v>
      </c>
      <c r="L812" s="427"/>
      <c r="M812" s="429"/>
    </row>
    <row r="813" spans="1:13" x14ac:dyDescent="0.25">
      <c r="A813" s="427"/>
      <c r="B813" s="473">
        <v>42636</v>
      </c>
      <c r="C813" s="427">
        <v>200</v>
      </c>
      <c r="D813" s="428">
        <v>14.38</v>
      </c>
      <c r="E813" s="429">
        <v>0</v>
      </c>
      <c r="F813" s="429">
        <f t="shared" si="130"/>
        <v>2876</v>
      </c>
      <c r="G813" s="426">
        <v>42671</v>
      </c>
      <c r="H813" s="443">
        <v>1000</v>
      </c>
      <c r="I813" s="428">
        <v>14.22</v>
      </c>
      <c r="J813" s="429">
        <v>0.31</v>
      </c>
      <c r="K813" s="429">
        <f t="shared" si="131"/>
        <v>14219.69</v>
      </c>
      <c r="L813" s="427"/>
      <c r="M813" s="429"/>
    </row>
    <row r="814" spans="1:13" x14ac:dyDescent="0.25">
      <c r="A814" s="427"/>
      <c r="B814" s="473">
        <v>42639</v>
      </c>
      <c r="C814" s="427">
        <v>200</v>
      </c>
      <c r="D814" s="428">
        <v>14.5</v>
      </c>
      <c r="E814" s="429">
        <v>0</v>
      </c>
      <c r="F814" s="429">
        <f t="shared" ref="F814:F828" si="132">C814*D814+E814</f>
        <v>2900</v>
      </c>
      <c r="G814" s="426">
        <v>42674</v>
      </c>
      <c r="H814" s="443">
        <v>300</v>
      </c>
      <c r="I814" s="428">
        <v>13.42</v>
      </c>
      <c r="J814" s="429">
        <v>0.09</v>
      </c>
      <c r="K814" s="429">
        <f t="shared" si="131"/>
        <v>4025.91</v>
      </c>
      <c r="L814" s="427"/>
      <c r="M814" s="429"/>
    </row>
    <row r="815" spans="1:13" x14ac:dyDescent="0.25">
      <c r="A815" s="427"/>
      <c r="B815" s="473">
        <v>42639</v>
      </c>
      <c r="C815" s="427">
        <v>200</v>
      </c>
      <c r="D815" s="428">
        <v>14.38</v>
      </c>
      <c r="E815" s="429">
        <v>0</v>
      </c>
      <c r="F815" s="429">
        <f t="shared" si="132"/>
        <v>2876</v>
      </c>
      <c r="G815" s="426">
        <v>42674</v>
      </c>
      <c r="H815" s="443">
        <v>200</v>
      </c>
      <c r="I815" s="428">
        <v>13.25</v>
      </c>
      <c r="J815" s="429">
        <v>-0.74</v>
      </c>
      <c r="K815" s="429">
        <f t="shared" si="131"/>
        <v>2650.74</v>
      </c>
      <c r="L815" s="427"/>
      <c r="M815" s="429"/>
    </row>
    <row r="816" spans="1:13" x14ac:dyDescent="0.25">
      <c r="A816" s="427"/>
      <c r="B816" s="473">
        <v>42640</v>
      </c>
      <c r="C816" s="427">
        <v>322</v>
      </c>
      <c r="D816" s="428">
        <v>13.97</v>
      </c>
      <c r="E816" s="429">
        <v>0</v>
      </c>
      <c r="F816" s="429">
        <f t="shared" si="132"/>
        <v>4498.34</v>
      </c>
      <c r="G816" s="426">
        <v>42676</v>
      </c>
      <c r="H816" s="443">
        <v>200</v>
      </c>
      <c r="I816" s="428">
        <v>13.05</v>
      </c>
      <c r="J816" s="429">
        <v>0.06</v>
      </c>
      <c r="K816" s="429">
        <f t="shared" si="131"/>
        <v>2609.94</v>
      </c>
      <c r="L816" s="427"/>
      <c r="M816" s="429"/>
    </row>
    <row r="817" spans="1:13" x14ac:dyDescent="0.25">
      <c r="A817" s="427"/>
      <c r="B817" s="473">
        <v>42641</v>
      </c>
      <c r="C817" s="427">
        <v>300</v>
      </c>
      <c r="D817" s="428">
        <v>14.02</v>
      </c>
      <c r="E817" s="429">
        <v>-1.26</v>
      </c>
      <c r="F817" s="429">
        <f t="shared" si="132"/>
        <v>4204.74</v>
      </c>
      <c r="G817" s="426">
        <v>42677</v>
      </c>
      <c r="H817" s="443">
        <v>500</v>
      </c>
      <c r="I817" s="428">
        <v>13.96</v>
      </c>
      <c r="J817" s="429">
        <v>0.15</v>
      </c>
      <c r="K817" s="429">
        <f t="shared" si="131"/>
        <v>6979.85</v>
      </c>
      <c r="L817" s="427"/>
      <c r="M817" s="429"/>
    </row>
    <row r="818" spans="1:13" x14ac:dyDescent="0.25">
      <c r="A818" s="427"/>
      <c r="B818" s="473">
        <v>42641</v>
      </c>
      <c r="C818" s="427">
        <v>200</v>
      </c>
      <c r="D818" s="428">
        <v>14.17</v>
      </c>
      <c r="E818" s="429">
        <v>0</v>
      </c>
      <c r="F818" s="429">
        <f t="shared" si="132"/>
        <v>2834</v>
      </c>
      <c r="G818" s="426">
        <v>42677</v>
      </c>
      <c r="H818" s="443">
        <v>2000</v>
      </c>
      <c r="I818" s="428">
        <v>14.5</v>
      </c>
      <c r="J818" s="429">
        <v>0.63</v>
      </c>
      <c r="K818" s="429">
        <f t="shared" si="131"/>
        <v>28999.37</v>
      </c>
      <c r="L818" s="427"/>
      <c r="M818" s="429"/>
    </row>
    <row r="819" spans="1:13" x14ac:dyDescent="0.25">
      <c r="A819" s="427"/>
      <c r="B819" s="473">
        <v>42642</v>
      </c>
      <c r="C819" s="427">
        <v>414</v>
      </c>
      <c r="D819" s="428">
        <v>15.66</v>
      </c>
      <c r="E819" s="429">
        <v>0</v>
      </c>
      <c r="F819" s="429">
        <f t="shared" si="132"/>
        <v>6483.24</v>
      </c>
      <c r="G819" s="426">
        <v>42682</v>
      </c>
      <c r="H819" s="443">
        <v>1000</v>
      </c>
      <c r="I819" s="428">
        <v>14.28</v>
      </c>
      <c r="J819" s="429">
        <v>0.31</v>
      </c>
      <c r="K819" s="429">
        <f t="shared" si="131"/>
        <v>14279.69</v>
      </c>
      <c r="L819" s="427"/>
      <c r="M819" s="429"/>
    </row>
    <row r="820" spans="1:13" ht="30" x14ac:dyDescent="0.25">
      <c r="A820" s="525" t="s">
        <v>286</v>
      </c>
      <c r="B820" s="473">
        <v>42647</v>
      </c>
      <c r="C820" s="427">
        <v>500</v>
      </c>
      <c r="D820" s="428">
        <v>15.86</v>
      </c>
      <c r="E820" s="429">
        <v>0</v>
      </c>
      <c r="F820" s="429">
        <f t="shared" si="132"/>
        <v>7930</v>
      </c>
      <c r="G820" s="426">
        <v>42685</v>
      </c>
      <c r="H820" s="443">
        <v>500</v>
      </c>
      <c r="I820" s="428">
        <v>15.88</v>
      </c>
      <c r="J820" s="429">
        <v>0.17</v>
      </c>
      <c r="K820" s="429">
        <f t="shared" si="131"/>
        <v>7939.83</v>
      </c>
      <c r="L820" s="427"/>
      <c r="M820" s="429"/>
    </row>
    <row r="821" spans="1:13" x14ac:dyDescent="0.25">
      <c r="A821" s="525"/>
      <c r="B821" s="473">
        <v>42647</v>
      </c>
      <c r="C821" s="427">
        <v>500</v>
      </c>
      <c r="D821" s="428">
        <v>15.62</v>
      </c>
      <c r="E821" s="429">
        <v>0</v>
      </c>
      <c r="F821" s="429">
        <f t="shared" si="132"/>
        <v>7810</v>
      </c>
      <c r="G821" s="426">
        <v>42695</v>
      </c>
      <c r="H821" s="443">
        <v>2272</v>
      </c>
      <c r="I821" s="428">
        <v>16.28</v>
      </c>
      <c r="J821" s="429">
        <v>0.81</v>
      </c>
      <c r="K821" s="429">
        <f t="shared" si="131"/>
        <v>36987.350000000006</v>
      </c>
      <c r="L821" s="427"/>
      <c r="M821" s="429"/>
    </row>
    <row r="822" spans="1:13" x14ac:dyDescent="0.25">
      <c r="A822" s="525"/>
      <c r="B822" s="473">
        <v>42649</v>
      </c>
      <c r="C822" s="427">
        <v>500</v>
      </c>
      <c r="D822" s="428">
        <v>15.97</v>
      </c>
      <c r="E822" s="429">
        <v>0</v>
      </c>
      <c r="F822" s="429">
        <f t="shared" si="132"/>
        <v>7985</v>
      </c>
      <c r="G822" s="426">
        <v>42695</v>
      </c>
      <c r="H822" s="443">
        <v>500</v>
      </c>
      <c r="I822" s="428">
        <v>16.45</v>
      </c>
      <c r="J822" s="429">
        <v>0.18</v>
      </c>
      <c r="K822" s="429">
        <f t="shared" si="131"/>
        <v>8224.82</v>
      </c>
      <c r="L822" s="427"/>
      <c r="M822" s="429"/>
    </row>
    <row r="823" spans="1:13" x14ac:dyDescent="0.25">
      <c r="A823" s="525"/>
      <c r="B823" s="473">
        <v>42649</v>
      </c>
      <c r="C823" s="427">
        <v>500</v>
      </c>
      <c r="D823" s="428">
        <v>15.84</v>
      </c>
      <c r="E823" s="429">
        <v>0</v>
      </c>
      <c r="F823" s="429">
        <f t="shared" si="132"/>
        <v>7920</v>
      </c>
      <c r="G823" s="426">
        <v>42696</v>
      </c>
      <c r="H823" s="443">
        <v>500</v>
      </c>
      <c r="I823" s="428">
        <v>16.54</v>
      </c>
      <c r="J823" s="429">
        <v>0.18</v>
      </c>
      <c r="K823" s="429">
        <f t="shared" si="131"/>
        <v>8269.82</v>
      </c>
      <c r="L823" s="427"/>
      <c r="M823" s="429"/>
    </row>
    <row r="824" spans="1:13" x14ac:dyDescent="0.25">
      <c r="A824" s="427"/>
      <c r="B824" s="473">
        <v>42649</v>
      </c>
      <c r="C824" s="427">
        <v>500</v>
      </c>
      <c r="D824" s="428">
        <v>16.079999999999998</v>
      </c>
      <c r="E824" s="429">
        <v>0</v>
      </c>
      <c r="F824" s="429">
        <f t="shared" si="132"/>
        <v>8039.9999999999991</v>
      </c>
      <c r="G824" s="426">
        <v>42697</v>
      </c>
      <c r="H824" s="443">
        <v>200</v>
      </c>
      <c r="I824" s="428">
        <v>16.79</v>
      </c>
      <c r="J824" s="429">
        <v>7.0000000000000007E-2</v>
      </c>
      <c r="K824" s="429">
        <f t="shared" si="131"/>
        <v>3357.93</v>
      </c>
      <c r="L824" s="427"/>
      <c r="M824" s="429"/>
    </row>
    <row r="825" spans="1:13" x14ac:dyDescent="0.25">
      <c r="A825" s="427"/>
      <c r="B825" s="473">
        <v>42650</v>
      </c>
      <c r="C825" s="427">
        <v>300</v>
      </c>
      <c r="D825" s="428">
        <v>15.75</v>
      </c>
      <c r="E825" s="429">
        <v>0</v>
      </c>
      <c r="F825" s="429">
        <f t="shared" si="132"/>
        <v>4725</v>
      </c>
      <c r="G825" s="426">
        <v>42697</v>
      </c>
      <c r="H825" s="443">
        <v>500</v>
      </c>
      <c r="I825" s="428">
        <v>16.59</v>
      </c>
      <c r="J825" s="429">
        <v>0.18</v>
      </c>
      <c r="K825" s="429">
        <f t="shared" si="131"/>
        <v>8294.82</v>
      </c>
      <c r="L825" s="427"/>
      <c r="M825" s="429"/>
    </row>
    <row r="826" spans="1:13" x14ac:dyDescent="0.25">
      <c r="A826" s="427"/>
      <c r="B826" s="473">
        <v>42650</v>
      </c>
      <c r="C826" s="427">
        <v>300</v>
      </c>
      <c r="D826" s="428">
        <v>15.58</v>
      </c>
      <c r="E826" s="429">
        <v>0</v>
      </c>
      <c r="F826" s="429">
        <f t="shared" si="132"/>
        <v>4674</v>
      </c>
      <c r="G826" s="426">
        <v>42704</v>
      </c>
      <c r="H826" s="443">
        <v>1000</v>
      </c>
      <c r="I826" s="428">
        <v>16.420000000000002</v>
      </c>
      <c r="J826" s="429">
        <v>0.36</v>
      </c>
      <c r="K826" s="429">
        <f t="shared" si="131"/>
        <v>16419.64</v>
      </c>
      <c r="L826" s="427"/>
      <c r="M826" s="429"/>
    </row>
    <row r="827" spans="1:13" x14ac:dyDescent="0.25">
      <c r="A827" s="427"/>
      <c r="B827" s="473">
        <v>42653</v>
      </c>
      <c r="C827" s="427">
        <v>394</v>
      </c>
      <c r="D827" s="428">
        <v>15.72</v>
      </c>
      <c r="E827" s="429">
        <v>0</v>
      </c>
      <c r="F827" s="429">
        <f t="shared" si="132"/>
        <v>6193.68</v>
      </c>
      <c r="G827" s="426">
        <v>42704</v>
      </c>
      <c r="H827" s="443">
        <v>300</v>
      </c>
      <c r="I827" s="428">
        <v>16.78</v>
      </c>
      <c r="J827" s="429">
        <v>1.61</v>
      </c>
      <c r="K827" s="429">
        <f t="shared" si="131"/>
        <v>5032.3900000000003</v>
      </c>
      <c r="L827" s="427"/>
      <c r="M827" s="429"/>
    </row>
    <row r="828" spans="1:13" x14ac:dyDescent="0.25">
      <c r="A828" s="427"/>
      <c r="B828" s="473">
        <v>42653</v>
      </c>
      <c r="C828" s="427">
        <v>6</v>
      </c>
      <c r="D828" s="428">
        <v>15.72</v>
      </c>
      <c r="E828" s="429">
        <v>0</v>
      </c>
      <c r="F828" s="429">
        <f t="shared" si="132"/>
        <v>94.320000000000007</v>
      </c>
      <c r="G828" s="426">
        <v>42704</v>
      </c>
      <c r="H828" s="443">
        <v>1000</v>
      </c>
      <c r="I828" s="428">
        <v>17.079999999999998</v>
      </c>
      <c r="J828" s="429">
        <v>0.37</v>
      </c>
      <c r="K828" s="429">
        <f t="shared" si="131"/>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31"/>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31"/>
        <v>8819.81</v>
      </c>
      <c r="L830" s="427"/>
      <c r="M830" s="429"/>
    </row>
    <row r="831" spans="1:13" x14ac:dyDescent="0.25">
      <c r="A831" s="526"/>
      <c r="B831" s="473">
        <v>42668</v>
      </c>
      <c r="C831" s="427">
        <v>500</v>
      </c>
      <c r="D831" s="428">
        <v>14.26</v>
      </c>
      <c r="E831" s="429">
        <v>-2.5</v>
      </c>
      <c r="F831" s="429">
        <f t="shared" ref="F831:F840" si="133">C831*D831+E831</f>
        <v>7127.5</v>
      </c>
      <c r="G831" s="426">
        <v>42705</v>
      </c>
      <c r="H831" s="443">
        <v>528</v>
      </c>
      <c r="I831" s="428">
        <v>18.7</v>
      </c>
      <c r="J831" s="429">
        <v>0.22</v>
      </c>
      <c r="K831" s="429">
        <f t="shared" si="131"/>
        <v>9873.380000000001</v>
      </c>
      <c r="L831" s="427"/>
      <c r="M831" s="429"/>
    </row>
    <row r="832" spans="1:13" x14ac:dyDescent="0.25">
      <c r="A832" s="526"/>
      <c r="B832" s="473">
        <v>42668</v>
      </c>
      <c r="C832" s="427">
        <v>500</v>
      </c>
      <c r="D832" s="428">
        <v>14.16</v>
      </c>
      <c r="E832" s="429">
        <v>0</v>
      </c>
      <c r="F832" s="429">
        <f t="shared" si="133"/>
        <v>7080</v>
      </c>
      <c r="G832" s="426">
        <v>42711</v>
      </c>
      <c r="H832" s="443">
        <v>500</v>
      </c>
      <c r="I832" s="428">
        <v>18.329999999999998</v>
      </c>
      <c r="J832" s="429">
        <v>0.2</v>
      </c>
      <c r="K832" s="429">
        <f t="shared" si="131"/>
        <v>9164.7999999999993</v>
      </c>
      <c r="L832" s="427"/>
      <c r="M832" s="429"/>
    </row>
    <row r="833" spans="1:13" x14ac:dyDescent="0.25">
      <c r="A833" s="526"/>
      <c r="B833" s="473">
        <v>42670</v>
      </c>
      <c r="C833" s="427">
        <v>500</v>
      </c>
      <c r="D833" s="428">
        <v>14.18</v>
      </c>
      <c r="E833" s="429">
        <v>0</v>
      </c>
      <c r="F833" s="429">
        <f t="shared" si="133"/>
        <v>7090</v>
      </c>
      <c r="G833" s="426">
        <v>42713</v>
      </c>
      <c r="H833" s="443">
        <v>500</v>
      </c>
      <c r="I833" s="428">
        <v>18.28</v>
      </c>
      <c r="J833" s="429">
        <v>0.2</v>
      </c>
      <c r="K833" s="429">
        <f t="shared" si="131"/>
        <v>9139.7999999999993</v>
      </c>
      <c r="L833" s="427"/>
      <c r="M833" s="429"/>
    </row>
    <row r="834" spans="1:13" x14ac:dyDescent="0.25">
      <c r="A834" s="526"/>
      <c r="B834" s="473">
        <v>42670</v>
      </c>
      <c r="C834" s="427">
        <v>500</v>
      </c>
      <c r="D834" s="428">
        <v>14.05</v>
      </c>
      <c r="E834" s="429">
        <v>0</v>
      </c>
      <c r="F834" s="429">
        <f t="shared" si="133"/>
        <v>7025</v>
      </c>
      <c r="G834" s="426">
        <v>42718</v>
      </c>
      <c r="H834" s="443">
        <v>200</v>
      </c>
      <c r="I834" s="428">
        <v>18.78</v>
      </c>
      <c r="J834" s="429">
        <v>0.08</v>
      </c>
      <c r="K834" s="429">
        <f t="shared" si="131"/>
        <v>3755.92</v>
      </c>
      <c r="L834" s="427"/>
      <c r="M834" s="429"/>
    </row>
    <row r="835" spans="1:13" x14ac:dyDescent="0.25">
      <c r="A835" s="526"/>
      <c r="B835" s="473">
        <v>42670</v>
      </c>
      <c r="C835" s="427">
        <v>500</v>
      </c>
      <c r="D835" s="428">
        <v>13.88</v>
      </c>
      <c r="E835" s="429">
        <v>0</v>
      </c>
      <c r="F835" s="429">
        <f t="shared" si="133"/>
        <v>6940</v>
      </c>
      <c r="G835" s="426">
        <v>42734</v>
      </c>
      <c r="H835" s="443">
        <v>1000</v>
      </c>
      <c r="I835" s="428">
        <v>17.72</v>
      </c>
      <c r="J835" s="429">
        <v>0.39</v>
      </c>
      <c r="K835" s="429">
        <f t="shared" si="131"/>
        <v>17719.61</v>
      </c>
      <c r="L835" s="427"/>
      <c r="M835" s="429"/>
    </row>
    <row r="836" spans="1:13" x14ac:dyDescent="0.25">
      <c r="A836" s="427"/>
      <c r="B836" s="473">
        <v>42671</v>
      </c>
      <c r="C836" s="427">
        <v>1000</v>
      </c>
      <c r="D836" s="428">
        <v>14.15</v>
      </c>
      <c r="E836" s="429">
        <v>0</v>
      </c>
      <c r="F836" s="429">
        <f t="shared" si="133"/>
        <v>14150</v>
      </c>
      <c r="G836" s="426">
        <v>42739</v>
      </c>
      <c r="H836" s="443">
        <v>500</v>
      </c>
      <c r="I836" s="428">
        <v>18.079999999999998</v>
      </c>
      <c r="J836" s="429">
        <v>0.2</v>
      </c>
      <c r="K836" s="429">
        <f t="shared" si="131"/>
        <v>9039.7999999999993</v>
      </c>
      <c r="L836" s="427"/>
      <c r="M836" s="429"/>
    </row>
    <row r="837" spans="1:13" x14ac:dyDescent="0.25">
      <c r="A837" s="427"/>
      <c r="B837" s="473">
        <v>42674</v>
      </c>
      <c r="C837" s="427">
        <v>300</v>
      </c>
      <c r="D837" s="428">
        <v>13.28</v>
      </c>
      <c r="E837" s="429">
        <v>-1.5</v>
      </c>
      <c r="F837" s="429">
        <f t="shared" si="133"/>
        <v>3982.5</v>
      </c>
      <c r="G837" s="426">
        <v>42748</v>
      </c>
      <c r="H837" s="443">
        <v>500</v>
      </c>
      <c r="I837" s="428">
        <v>17.48</v>
      </c>
      <c r="J837" s="429">
        <v>0.19</v>
      </c>
      <c r="K837" s="429">
        <f t="shared" si="131"/>
        <v>8739.81</v>
      </c>
      <c r="L837" s="427"/>
      <c r="M837" s="429"/>
    </row>
    <row r="838" spans="1:13" x14ac:dyDescent="0.25">
      <c r="A838" s="427"/>
      <c r="B838" s="473">
        <v>42674</v>
      </c>
      <c r="C838" s="427">
        <v>200</v>
      </c>
      <c r="D838" s="428">
        <v>13.15</v>
      </c>
      <c r="E838" s="429">
        <v>0.02</v>
      </c>
      <c r="F838" s="429">
        <f t="shared" si="133"/>
        <v>2630.02</v>
      </c>
      <c r="G838" s="426">
        <v>42761</v>
      </c>
      <c r="H838" s="443">
        <v>1000</v>
      </c>
      <c r="I838" s="428">
        <v>17.899999999999999</v>
      </c>
      <c r="J838" s="429">
        <v>0.39</v>
      </c>
      <c r="K838" s="429">
        <f t="shared" si="131"/>
        <v>17899.61</v>
      </c>
      <c r="L838" s="427"/>
      <c r="M838" s="429"/>
    </row>
    <row r="839" spans="1:13" x14ac:dyDescent="0.25">
      <c r="A839" s="427"/>
      <c r="B839" s="473">
        <v>42676</v>
      </c>
      <c r="C839" s="427">
        <v>200</v>
      </c>
      <c r="D839" s="428">
        <v>12.89</v>
      </c>
      <c r="E839" s="429">
        <v>0</v>
      </c>
      <c r="F839" s="429">
        <f t="shared" si="133"/>
        <v>2578</v>
      </c>
      <c r="G839" s="426">
        <v>42766</v>
      </c>
      <c r="H839" s="443">
        <v>300</v>
      </c>
      <c r="I839" s="428">
        <v>16.649999999999999</v>
      </c>
      <c r="J839" s="429">
        <v>0.11</v>
      </c>
      <c r="K839" s="429">
        <f t="shared" si="131"/>
        <v>4994.8900000000003</v>
      </c>
      <c r="L839" s="427"/>
      <c r="M839" s="429"/>
    </row>
    <row r="840" spans="1:13" x14ac:dyDescent="0.25">
      <c r="A840" s="427"/>
      <c r="B840" s="473">
        <v>42678</v>
      </c>
      <c r="C840" s="427">
        <v>500</v>
      </c>
      <c r="D840" s="428">
        <v>13.69</v>
      </c>
      <c r="E840" s="429">
        <v>0</v>
      </c>
      <c r="F840" s="429">
        <f t="shared" si="133"/>
        <v>6845</v>
      </c>
      <c r="G840" s="426">
        <v>42767</v>
      </c>
      <c r="H840" s="443">
        <v>612</v>
      </c>
      <c r="I840" s="428">
        <v>17.03</v>
      </c>
      <c r="J840" s="429">
        <v>0.23</v>
      </c>
      <c r="K840" s="429">
        <f t="shared" si="131"/>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31"/>
        <v>4930.4500000000007</v>
      </c>
      <c r="L841" s="427"/>
      <c r="M841" s="429"/>
    </row>
    <row r="842" spans="1:13" x14ac:dyDescent="0.25">
      <c r="A842" s="427"/>
      <c r="B842" s="473">
        <v>42691</v>
      </c>
      <c r="C842" s="427">
        <v>150</v>
      </c>
      <c r="D842" s="428">
        <v>15.48</v>
      </c>
      <c r="E842" s="429">
        <v>0</v>
      </c>
      <c r="F842" s="429">
        <f t="shared" ref="F842:F858" si="134">C842*D842+E842</f>
        <v>2322</v>
      </c>
      <c r="G842" s="426">
        <v>42767</v>
      </c>
      <c r="H842" s="443">
        <v>700</v>
      </c>
      <c r="I842" s="428">
        <v>16.57</v>
      </c>
      <c r="J842" s="429">
        <v>0.25</v>
      </c>
      <c r="K842" s="429">
        <f t="shared" si="131"/>
        <v>11598.75</v>
      </c>
      <c r="L842" s="427"/>
      <c r="M842" s="429"/>
    </row>
    <row r="843" spans="1:13" x14ac:dyDescent="0.25">
      <c r="A843" s="427"/>
      <c r="B843" s="473">
        <v>42691</v>
      </c>
      <c r="C843" s="427">
        <v>300</v>
      </c>
      <c r="D843" s="428">
        <v>15.48</v>
      </c>
      <c r="E843" s="429">
        <v>0</v>
      </c>
      <c r="F843" s="429">
        <f t="shared" si="134"/>
        <v>4644</v>
      </c>
      <c r="G843" s="426">
        <v>42768</v>
      </c>
      <c r="H843" s="443">
        <v>200</v>
      </c>
      <c r="I843" s="428">
        <v>16.7</v>
      </c>
      <c r="J843" s="429">
        <v>7.0000000000000007E-2</v>
      </c>
      <c r="K843" s="429">
        <f t="shared" si="131"/>
        <v>3339.93</v>
      </c>
      <c r="L843" s="427"/>
      <c r="M843" s="429"/>
    </row>
    <row r="844" spans="1:13" x14ac:dyDescent="0.25">
      <c r="A844" s="427"/>
      <c r="B844" s="473">
        <v>42696</v>
      </c>
      <c r="C844" s="427">
        <v>1000</v>
      </c>
      <c r="D844" s="428">
        <v>16.12</v>
      </c>
      <c r="E844" s="429">
        <v>0</v>
      </c>
      <c r="F844" s="429">
        <f t="shared" si="134"/>
        <v>16120.000000000002</v>
      </c>
      <c r="G844" s="426">
        <v>42768</v>
      </c>
      <c r="H844" s="443">
        <v>500</v>
      </c>
      <c r="I844" s="428">
        <v>16.600000000000001</v>
      </c>
      <c r="J844" s="429">
        <v>-1.82</v>
      </c>
      <c r="K844" s="429">
        <f t="shared" si="131"/>
        <v>8301.82</v>
      </c>
      <c r="L844" s="427"/>
      <c r="M844" s="429"/>
    </row>
    <row r="845" spans="1:13" x14ac:dyDescent="0.25">
      <c r="A845" s="427"/>
      <c r="B845" s="473">
        <v>42699</v>
      </c>
      <c r="C845" s="427">
        <v>200</v>
      </c>
      <c r="D845" s="428">
        <v>16.28</v>
      </c>
      <c r="E845" s="429">
        <v>0</v>
      </c>
      <c r="F845" s="429">
        <f t="shared" si="134"/>
        <v>3256</v>
      </c>
      <c r="G845" s="426">
        <v>42768</v>
      </c>
      <c r="H845" s="443">
        <v>500</v>
      </c>
      <c r="I845" s="428">
        <v>16.75</v>
      </c>
      <c r="J845" s="429">
        <v>0.18</v>
      </c>
      <c r="K845" s="429">
        <f t="shared" si="131"/>
        <v>8374.82</v>
      </c>
      <c r="L845" s="427"/>
      <c r="M845" s="429"/>
    </row>
    <row r="846" spans="1:13" x14ac:dyDescent="0.25">
      <c r="A846" s="526"/>
      <c r="B846" s="473">
        <v>42699</v>
      </c>
      <c r="C846" s="427">
        <v>500</v>
      </c>
      <c r="D846" s="428">
        <v>16.16</v>
      </c>
      <c r="E846" s="429">
        <v>0</v>
      </c>
      <c r="F846" s="429">
        <f t="shared" si="134"/>
        <v>8080</v>
      </c>
      <c r="G846" s="426">
        <v>42769</v>
      </c>
      <c r="H846" s="527">
        <v>400</v>
      </c>
      <c r="I846" s="528">
        <v>16.95</v>
      </c>
      <c r="J846" s="529">
        <v>0.15</v>
      </c>
      <c r="K846" s="529">
        <f t="shared" si="131"/>
        <v>6779.85</v>
      </c>
      <c r="L846" s="427"/>
      <c r="M846" s="429"/>
    </row>
    <row r="847" spans="1:13" x14ac:dyDescent="0.25">
      <c r="A847" s="526"/>
      <c r="B847" s="473">
        <v>42702</v>
      </c>
      <c r="C847" s="427">
        <v>500</v>
      </c>
      <c r="D847" s="428">
        <v>16.059999999999999</v>
      </c>
      <c r="E847" s="429">
        <v>0</v>
      </c>
      <c r="F847" s="429">
        <f t="shared" si="134"/>
        <v>8029.9999999999991</v>
      </c>
      <c r="G847" s="426">
        <v>42769</v>
      </c>
      <c r="H847" s="527">
        <v>300</v>
      </c>
      <c r="I847" s="528">
        <v>17.32</v>
      </c>
      <c r="J847" s="529">
        <v>0.11</v>
      </c>
      <c r="K847" s="529">
        <f t="shared" si="131"/>
        <v>5195.8900000000003</v>
      </c>
      <c r="L847" s="427"/>
      <c r="M847" s="429"/>
    </row>
    <row r="848" spans="1:13" x14ac:dyDescent="0.25">
      <c r="A848" s="526"/>
      <c r="B848" s="473">
        <v>42702</v>
      </c>
      <c r="C848" s="427">
        <v>200</v>
      </c>
      <c r="D848" s="428">
        <v>15.8</v>
      </c>
      <c r="E848" s="429">
        <v>0</v>
      </c>
      <c r="F848" s="429">
        <f t="shared" si="134"/>
        <v>3160</v>
      </c>
      <c r="G848" s="426">
        <v>42781</v>
      </c>
      <c r="H848" s="443">
        <v>600</v>
      </c>
      <c r="I848" s="428">
        <v>16.52</v>
      </c>
      <c r="J848" s="429">
        <v>0.22</v>
      </c>
      <c r="K848" s="429">
        <f t="shared" si="131"/>
        <v>9911.7800000000007</v>
      </c>
      <c r="L848" s="427"/>
      <c r="M848" s="429"/>
    </row>
    <row r="849" spans="1:13" x14ac:dyDescent="0.25">
      <c r="A849" s="526"/>
      <c r="B849" s="473">
        <v>42702</v>
      </c>
      <c r="C849" s="427">
        <v>300</v>
      </c>
      <c r="D849" s="428">
        <v>15.65</v>
      </c>
      <c r="E849" s="429">
        <v>0</v>
      </c>
      <c r="F849" s="429">
        <f t="shared" si="134"/>
        <v>4695</v>
      </c>
      <c r="G849" s="426">
        <v>42781</v>
      </c>
      <c r="H849" s="443">
        <v>300</v>
      </c>
      <c r="I849" s="428">
        <v>16.440000000000001</v>
      </c>
      <c r="J849" s="429">
        <v>0.11</v>
      </c>
      <c r="K849" s="429">
        <f t="shared" si="131"/>
        <v>4931.8900000000003</v>
      </c>
      <c r="L849" s="427"/>
      <c r="M849" s="429"/>
    </row>
    <row r="850" spans="1:13" x14ac:dyDescent="0.25">
      <c r="A850" s="427"/>
      <c r="B850" s="473">
        <v>42703</v>
      </c>
      <c r="C850" s="427">
        <v>300</v>
      </c>
      <c r="D850" s="428">
        <v>14.78</v>
      </c>
      <c r="E850" s="429">
        <v>0</v>
      </c>
      <c r="F850" s="429">
        <f t="shared" si="134"/>
        <v>4434</v>
      </c>
      <c r="G850" s="426">
        <v>42782</v>
      </c>
      <c r="H850" s="443">
        <v>300</v>
      </c>
      <c r="I850" s="428">
        <v>17</v>
      </c>
      <c r="J850" s="429">
        <v>0.11</v>
      </c>
      <c r="K850" s="429">
        <f t="shared" si="131"/>
        <v>5099.8900000000003</v>
      </c>
      <c r="L850" s="427"/>
      <c r="M850" s="429"/>
    </row>
    <row r="851" spans="1:13" x14ac:dyDescent="0.25">
      <c r="A851" s="427"/>
      <c r="B851" s="473">
        <v>42705</v>
      </c>
      <c r="C851" s="427">
        <v>350</v>
      </c>
      <c r="D851" s="428">
        <v>17.600000000000001</v>
      </c>
      <c r="E851" s="429">
        <v>0</v>
      </c>
      <c r="F851" s="429">
        <f t="shared" si="134"/>
        <v>6160.0000000000009</v>
      </c>
      <c r="G851" s="427"/>
      <c r="H851" s="443"/>
      <c r="I851" s="428"/>
      <c r="J851" s="429"/>
      <c r="K851" s="429"/>
      <c r="L851" s="427"/>
      <c r="M851" s="429"/>
    </row>
    <row r="852" spans="1:13" x14ac:dyDescent="0.25">
      <c r="A852" s="427"/>
      <c r="B852" s="473">
        <v>42711</v>
      </c>
      <c r="C852" s="427">
        <v>500</v>
      </c>
      <c r="D852" s="428">
        <v>18.12</v>
      </c>
      <c r="E852" s="429">
        <v>0</v>
      </c>
      <c r="F852" s="429">
        <f t="shared" si="134"/>
        <v>9060</v>
      </c>
      <c r="G852" s="427"/>
      <c r="H852" s="443"/>
      <c r="I852" s="428"/>
      <c r="J852" s="429"/>
      <c r="K852" s="429"/>
      <c r="L852" s="427"/>
      <c r="M852" s="429"/>
    </row>
    <row r="853" spans="1:13" x14ac:dyDescent="0.25">
      <c r="A853" s="427"/>
      <c r="B853" s="473">
        <v>42713</v>
      </c>
      <c r="C853" s="427">
        <v>500</v>
      </c>
      <c r="D853" s="428">
        <v>18.12</v>
      </c>
      <c r="E853" s="429">
        <v>0</v>
      </c>
      <c r="F853" s="429">
        <f t="shared" si="134"/>
        <v>9060</v>
      </c>
      <c r="G853" s="427"/>
      <c r="H853" s="443"/>
      <c r="I853" s="428"/>
      <c r="J853" s="429"/>
      <c r="K853" s="429"/>
      <c r="L853" s="427"/>
      <c r="M853" s="429"/>
    </row>
    <row r="854" spans="1:13" x14ac:dyDescent="0.25">
      <c r="A854" s="427"/>
      <c r="B854" s="473">
        <v>42718</v>
      </c>
      <c r="C854" s="427">
        <v>200</v>
      </c>
      <c r="D854" s="428">
        <v>18.73</v>
      </c>
      <c r="E854" s="429">
        <v>-1</v>
      </c>
      <c r="F854" s="429">
        <f t="shared" si="134"/>
        <v>3745</v>
      </c>
      <c r="G854" s="427"/>
      <c r="H854" s="443"/>
      <c r="I854" s="428"/>
      <c r="J854" s="429"/>
      <c r="K854" s="429"/>
      <c r="L854" s="427"/>
      <c r="M854" s="429"/>
    </row>
    <row r="855" spans="1:13" x14ac:dyDescent="0.25">
      <c r="A855" s="427"/>
      <c r="B855" s="473">
        <v>42733</v>
      </c>
      <c r="C855" s="427">
        <v>1000</v>
      </c>
      <c r="D855" s="428">
        <v>17.64</v>
      </c>
      <c r="E855" s="429">
        <v>-1.5</v>
      </c>
      <c r="F855" s="429">
        <f t="shared" si="134"/>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34"/>
        <v>17330</v>
      </c>
      <c r="G856" s="427"/>
      <c r="H856" s="443"/>
      <c r="I856" s="428"/>
      <c r="J856" s="429"/>
      <c r="K856" s="429"/>
      <c r="L856" s="427"/>
      <c r="M856" s="429"/>
    </row>
    <row r="857" spans="1:13" x14ac:dyDescent="0.25">
      <c r="A857" s="427"/>
      <c r="B857" s="473">
        <v>42741</v>
      </c>
      <c r="C857" s="427">
        <v>500</v>
      </c>
      <c r="D857" s="428">
        <v>17.88</v>
      </c>
      <c r="E857" s="429">
        <v>0</v>
      </c>
      <c r="F857" s="429">
        <f t="shared" si="134"/>
        <v>8940</v>
      </c>
      <c r="G857" s="427"/>
      <c r="H857" s="443"/>
      <c r="I857" s="428"/>
      <c r="J857" s="429"/>
      <c r="K857" s="429"/>
      <c r="L857" s="427"/>
      <c r="M857" s="429"/>
    </row>
    <row r="858" spans="1:13" x14ac:dyDescent="0.25">
      <c r="A858" s="427"/>
      <c r="B858" s="473">
        <v>42748</v>
      </c>
      <c r="C858" s="427">
        <v>500</v>
      </c>
      <c r="D858" s="428">
        <v>17.260000000000002</v>
      </c>
      <c r="E858" s="429">
        <v>0</v>
      </c>
      <c r="F858" s="429">
        <f t="shared" si="134"/>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61" priority="223">
      <formula>F129&gt;0</formula>
    </cfRule>
    <cfRule type="expression" dxfId="2660"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59" priority="216">
      <formula>F360&gt;0</formula>
    </cfRule>
    <cfRule type="expression" dxfId="2658" priority="217">
      <formula>F360&lt;0</formula>
    </cfRule>
  </conditionalFormatting>
  <conditionalFormatting sqref="H360:H366">
    <cfRule type="expression" dxfId="2657" priority="212">
      <formula>H360&gt;0</formula>
    </cfRule>
    <cfRule type="expression" dxfId="2656" priority="213">
      <formula>H360&lt;0</formula>
    </cfRule>
  </conditionalFormatting>
  <conditionalFormatting sqref="Q8">
    <cfRule type="expression" dxfId="2655" priority="198">
      <formula>Q8&gt;0</formula>
    </cfRule>
    <cfRule type="expression" dxfId="2654" priority="199">
      <formula>Q8&lt;0</formula>
    </cfRule>
  </conditionalFormatting>
  <conditionalFormatting sqref="Q7">
    <cfRule type="expression" dxfId="2653" priority="200">
      <formula>Q7&gt;0</formula>
    </cfRule>
    <cfRule type="expression" dxfId="2652" priority="201">
      <formula>Q7&lt;0</formula>
    </cfRule>
  </conditionalFormatting>
  <conditionalFormatting sqref="F468:F474">
    <cfRule type="expression" dxfId="2651" priority="172">
      <formula>F468&gt;0</formula>
    </cfRule>
    <cfRule type="expression" dxfId="2650" priority="173">
      <formula>F468&lt;0</formula>
    </cfRule>
  </conditionalFormatting>
  <conditionalFormatting sqref="F393:F411 H393:H411">
    <cfRule type="expression" dxfId="2649" priority="194">
      <formula>F393&gt;0</formula>
    </cfRule>
    <cfRule type="expression" dxfId="2648" priority="195">
      <formula>F393&lt;0</formula>
    </cfRule>
  </conditionalFormatting>
  <conditionalFormatting sqref="F386:F392">
    <cfRule type="expression" dxfId="2647" priority="192">
      <formula>F386&gt;0</formula>
    </cfRule>
    <cfRule type="expression" dxfId="2646" priority="193">
      <formula>F386&lt;0</formula>
    </cfRule>
  </conditionalFormatting>
  <conditionalFormatting sqref="H386:H392">
    <cfRule type="expression" dxfId="2645" priority="190">
      <formula>H386&gt;0</formula>
    </cfRule>
    <cfRule type="expression" dxfId="2644" priority="191">
      <formula>H386&lt;0</formula>
    </cfRule>
  </conditionalFormatting>
  <conditionalFormatting sqref="F419:F437 H419:H437">
    <cfRule type="expression" dxfId="2643" priority="188">
      <formula>F419&gt;0</formula>
    </cfRule>
    <cfRule type="expression" dxfId="2642" priority="189">
      <formula>F419&lt;0</formula>
    </cfRule>
  </conditionalFormatting>
  <conditionalFormatting sqref="F412:F418">
    <cfRule type="expression" dxfId="2641" priority="186">
      <formula>F412&gt;0</formula>
    </cfRule>
    <cfRule type="expression" dxfId="2640" priority="187">
      <formula>F412&lt;0</formula>
    </cfRule>
  </conditionalFormatting>
  <conditionalFormatting sqref="H412:H418">
    <cfRule type="expression" dxfId="2639" priority="184">
      <formula>H412&gt;0</formula>
    </cfRule>
    <cfRule type="expression" dxfId="2638" priority="185">
      <formula>H412&lt;0</formula>
    </cfRule>
  </conditionalFormatting>
  <conditionalFormatting sqref="F445:F462 H445:H462">
    <cfRule type="expression" dxfId="2637" priority="182">
      <formula>F445&gt;0</formula>
    </cfRule>
    <cfRule type="expression" dxfId="2636" priority="183">
      <formula>F445&lt;0</formula>
    </cfRule>
  </conditionalFormatting>
  <conditionalFormatting sqref="F438:F444">
    <cfRule type="expression" dxfId="2635" priority="180">
      <formula>F438&gt;0</formula>
    </cfRule>
    <cfRule type="expression" dxfId="2634" priority="181">
      <formula>F438&lt;0</formula>
    </cfRule>
  </conditionalFormatting>
  <conditionalFormatting sqref="H438:H444">
    <cfRule type="expression" dxfId="2633" priority="178">
      <formula>H438&gt;0</formula>
    </cfRule>
    <cfRule type="expression" dxfId="2632" priority="179">
      <formula>H438&lt;0</formula>
    </cfRule>
  </conditionalFormatting>
  <conditionalFormatting sqref="F463:F467 H463:H467">
    <cfRule type="expression" dxfId="2631" priority="176">
      <formula>F463&gt;0</formula>
    </cfRule>
    <cfRule type="expression" dxfId="2630" priority="177">
      <formula>F463&lt;0</formula>
    </cfRule>
  </conditionalFormatting>
  <conditionalFormatting sqref="F475:F490 H475:H490">
    <cfRule type="expression" dxfId="2629" priority="174">
      <formula>F475&gt;0</formula>
    </cfRule>
    <cfRule type="expression" dxfId="2628" priority="175">
      <formula>F475&lt;0</formula>
    </cfRule>
  </conditionalFormatting>
  <conditionalFormatting sqref="H468:H474">
    <cfRule type="expression" dxfId="2627" priority="170">
      <formula>H468&gt;0</formula>
    </cfRule>
    <cfRule type="expression" dxfId="2626" priority="171">
      <formula>H468&lt;0</formula>
    </cfRule>
  </conditionalFormatting>
  <conditionalFormatting sqref="F491 H491">
    <cfRule type="expression" dxfId="2625" priority="168">
      <formula>F491&gt;0</formula>
    </cfRule>
    <cfRule type="expression" dxfId="2624" priority="169">
      <formula>F491&lt;0</formula>
    </cfRule>
  </conditionalFormatting>
  <conditionalFormatting sqref="F492:F496 H492:H496">
    <cfRule type="expression" dxfId="2623" priority="166">
      <formula>F492&gt;0</formula>
    </cfRule>
    <cfRule type="expression" dxfId="2622" priority="167">
      <formula>F492&lt;0</formula>
    </cfRule>
  </conditionalFormatting>
  <conditionalFormatting sqref="F504:F519 H504:H519">
    <cfRule type="expression" dxfId="2621" priority="164">
      <formula>F504&gt;0</formula>
    </cfRule>
    <cfRule type="expression" dxfId="2620" priority="165">
      <formula>F504&lt;0</formula>
    </cfRule>
  </conditionalFormatting>
  <conditionalFormatting sqref="F497:F503">
    <cfRule type="expression" dxfId="2619" priority="162">
      <formula>F497&gt;0</formula>
    </cfRule>
    <cfRule type="expression" dxfId="2618" priority="163">
      <formula>F497&lt;0</formula>
    </cfRule>
  </conditionalFormatting>
  <conditionalFormatting sqref="H497:H503">
    <cfRule type="expression" dxfId="2617" priority="160">
      <formula>H497&gt;0</formula>
    </cfRule>
    <cfRule type="expression" dxfId="2616" priority="161">
      <formula>H497&lt;0</formula>
    </cfRule>
  </conditionalFormatting>
  <conditionalFormatting sqref="F521:F526 H521:H526">
    <cfRule type="expression" dxfId="2615" priority="158">
      <formula>F521&gt;0</formula>
    </cfRule>
    <cfRule type="expression" dxfId="2614" priority="159">
      <formula>F521&lt;0</formula>
    </cfRule>
  </conditionalFormatting>
  <conditionalFormatting sqref="F527 H527">
    <cfRule type="expression" dxfId="2613" priority="156">
      <formula>F527&gt;0</formula>
    </cfRule>
    <cfRule type="expression" dxfId="2612" priority="157">
      <formula>F527&lt;0</formula>
    </cfRule>
  </conditionalFormatting>
  <conditionalFormatting sqref="F528:F532 H528:H532">
    <cfRule type="expression" dxfId="2611" priority="154">
      <formula>F528&gt;0</formula>
    </cfRule>
    <cfRule type="expression" dxfId="2610" priority="155">
      <formula>F528&lt;0</formula>
    </cfRule>
  </conditionalFormatting>
  <conditionalFormatting sqref="F540:F555 H540:H555">
    <cfRule type="expression" dxfId="2609" priority="152">
      <formula>F540&gt;0</formula>
    </cfRule>
    <cfRule type="expression" dxfId="2608" priority="153">
      <formula>F540&lt;0</formula>
    </cfRule>
  </conditionalFormatting>
  <conditionalFormatting sqref="F533:F539">
    <cfRule type="expression" dxfId="2607" priority="150">
      <formula>F533&gt;0</formula>
    </cfRule>
    <cfRule type="expression" dxfId="2606" priority="151">
      <formula>F533&lt;0</formula>
    </cfRule>
  </conditionalFormatting>
  <conditionalFormatting sqref="H533:H539">
    <cfRule type="expression" dxfId="2605" priority="148">
      <formula>H533&gt;0</formula>
    </cfRule>
    <cfRule type="expression" dxfId="2604" priority="149">
      <formula>H533&lt;0</formula>
    </cfRule>
  </conditionalFormatting>
  <conditionalFormatting sqref="F556:F561 H556:H561">
    <cfRule type="expression" dxfId="2603" priority="146">
      <formula>F556&gt;0</formula>
    </cfRule>
    <cfRule type="expression" dxfId="2602" priority="147">
      <formula>F556&lt;0</formula>
    </cfRule>
  </conditionalFormatting>
  <conditionalFormatting sqref="F562 H562">
    <cfRule type="expression" dxfId="2601" priority="144">
      <formula>F562&gt;0</formula>
    </cfRule>
    <cfRule type="expression" dxfId="2600" priority="145">
      <formula>F562&lt;0</formula>
    </cfRule>
  </conditionalFormatting>
  <conditionalFormatting sqref="F563:F567 H563:H567">
    <cfRule type="expression" dxfId="2599" priority="142">
      <formula>F563&gt;0</formula>
    </cfRule>
    <cfRule type="expression" dxfId="2598" priority="143">
      <formula>F563&lt;0</formula>
    </cfRule>
  </conditionalFormatting>
  <conditionalFormatting sqref="F575:F590 H575:H590">
    <cfRule type="expression" dxfId="2597" priority="140">
      <formula>F575&gt;0</formula>
    </cfRule>
    <cfRule type="expression" dxfId="2596" priority="141">
      <formula>F575&lt;0</formula>
    </cfRule>
  </conditionalFormatting>
  <conditionalFormatting sqref="F568:F574">
    <cfRule type="expression" dxfId="2595" priority="138">
      <formula>F568&gt;0</formula>
    </cfRule>
    <cfRule type="expression" dxfId="2594" priority="139">
      <formula>F568&lt;0</formula>
    </cfRule>
  </conditionalFormatting>
  <conditionalFormatting sqref="H568:H574">
    <cfRule type="expression" dxfId="2593" priority="136">
      <formula>H568&gt;0</formula>
    </cfRule>
    <cfRule type="expression" dxfId="2592" priority="137">
      <formula>H568&lt;0</formula>
    </cfRule>
  </conditionalFormatting>
  <conditionalFormatting sqref="M619">
    <cfRule type="expression" dxfId="2591" priority="134">
      <formula>M619&gt;0</formula>
    </cfRule>
    <cfRule type="expression" dxfId="2590" priority="135">
      <formula>M619&lt;0</formula>
    </cfRule>
  </conditionalFormatting>
  <conditionalFormatting sqref="F135:F146">
    <cfRule type="expression" dxfId="2589" priority="130">
      <formula>F135&gt;0</formula>
    </cfRule>
    <cfRule type="expression" dxfId="2588" priority="131">
      <formula>F135&lt;0</formula>
    </cfRule>
  </conditionalFormatting>
  <conditionalFormatting sqref="H135:H146">
    <cfRule type="expression" dxfId="2587" priority="128">
      <formula>H135&gt;0</formula>
    </cfRule>
    <cfRule type="expression" dxfId="2586" priority="129">
      <formula>H135&lt;0</formula>
    </cfRule>
  </conditionalFormatting>
  <conditionalFormatting sqref="F129:F134 H129:H134">
    <cfRule type="expression" dxfId="2585" priority="126">
      <formula>F129&gt;0</formula>
    </cfRule>
    <cfRule type="expression" dxfId="2584" priority="127">
      <formula>F129&lt;0</formula>
    </cfRule>
  </conditionalFormatting>
  <conditionalFormatting sqref="J131">
    <cfRule type="expression" dxfId="2583" priority="124">
      <formula>J131&gt;0</formula>
    </cfRule>
    <cfRule type="expression" dxfId="2582" priority="125">
      <formula>J131&lt;0</formula>
    </cfRule>
  </conditionalFormatting>
  <conditionalFormatting sqref="J132:J138">
    <cfRule type="expression" dxfId="2581" priority="122">
      <formula>J132&gt;0</formula>
    </cfRule>
    <cfRule type="expression" dxfId="2580" priority="123">
      <formula>J132&lt;0</formula>
    </cfRule>
  </conditionalFormatting>
  <conditionalFormatting sqref="L131:L213 L220 L222">
    <cfRule type="expression" dxfId="2579" priority="118">
      <formula>L131&gt;0</formula>
    </cfRule>
    <cfRule type="expression" dxfId="2578" priority="119">
      <formula>L131&lt;0</formula>
    </cfRule>
  </conditionalFormatting>
  <conditionalFormatting sqref="Q10">
    <cfRule type="expression" dxfId="2577" priority="116">
      <formula>Q10&gt;0</formula>
    </cfRule>
    <cfRule type="expression" dxfId="2576" priority="117">
      <formula>Q10&lt;0</formula>
    </cfRule>
  </conditionalFormatting>
  <conditionalFormatting sqref="H242:H244 F242:F244">
    <cfRule type="expression" dxfId="2575" priority="113">
      <formula>F242&gt;0</formula>
    </cfRule>
    <cfRule type="expression" dxfId="2574" priority="114">
      <formula>F242&lt;0</formula>
    </cfRule>
  </conditionalFormatting>
  <conditionalFormatting sqref="H238:H240 F238:F240">
    <cfRule type="expression" dxfId="2573" priority="111">
      <formula>F238&gt;0</formula>
    </cfRule>
    <cfRule type="expression" dxfId="2572" priority="112">
      <formula>F238&lt;0</formula>
    </cfRule>
  </conditionalFormatting>
  <conditionalFormatting sqref="H237 F237">
    <cfRule type="expression" dxfId="2571" priority="109">
      <formula>F237&gt;0</formula>
    </cfRule>
    <cfRule type="expression" dxfId="2570" priority="110">
      <formula>F237&lt;0</formula>
    </cfRule>
  </conditionalFormatting>
  <conditionalFormatting sqref="H241 F241">
    <cfRule type="expression" dxfId="2569" priority="107">
      <formula>F241&gt;0</formula>
    </cfRule>
    <cfRule type="expression" dxfId="2568" priority="108">
      <formula>F241&lt;0</formula>
    </cfRule>
  </conditionalFormatting>
  <conditionalFormatting sqref="H247:H250 F247:F250">
    <cfRule type="expression" dxfId="2567" priority="103">
      <formula>F247&gt;0</formula>
    </cfRule>
    <cfRule type="expression" dxfId="2566" priority="104">
      <formula>F247&lt;0</formula>
    </cfRule>
  </conditionalFormatting>
  <conditionalFormatting sqref="H245:H246 F245:F246">
    <cfRule type="expression" dxfId="2565" priority="101">
      <formula>F245&gt;0</formula>
    </cfRule>
    <cfRule type="expression" dxfId="2564" priority="102">
      <formula>F245&lt;0</formula>
    </cfRule>
  </conditionalFormatting>
  <conditionalFormatting sqref="H272 F272">
    <cfRule type="expression" dxfId="2563" priority="99">
      <formula>F272&gt;0</formula>
    </cfRule>
    <cfRule type="expression" dxfId="2562" priority="100">
      <formula>F272&lt;0</formula>
    </cfRule>
  </conditionalFormatting>
  <conditionalFormatting sqref="H253:H255 F253:F255">
    <cfRule type="expression" dxfId="2561" priority="97">
      <formula>F253&gt;0</formula>
    </cfRule>
    <cfRule type="expression" dxfId="2560" priority="98">
      <formula>F253&lt;0</formula>
    </cfRule>
  </conditionalFormatting>
  <conditionalFormatting sqref="H251:H252 F251:F252">
    <cfRule type="expression" dxfId="2559" priority="95">
      <formula>F251&gt;0</formula>
    </cfRule>
    <cfRule type="expression" dxfId="2558" priority="96">
      <formula>F251&lt;0</formula>
    </cfRule>
  </conditionalFormatting>
  <conditionalFormatting sqref="H265:H267 F265:F267">
    <cfRule type="expression" dxfId="2557" priority="93">
      <formula>F265&gt;0</formula>
    </cfRule>
    <cfRule type="expression" dxfId="2556" priority="94">
      <formula>F265&lt;0</formula>
    </cfRule>
  </conditionalFormatting>
  <conditionalFormatting sqref="H264 F264">
    <cfRule type="expression" dxfId="2555" priority="91">
      <formula>F264&gt;0</formula>
    </cfRule>
    <cfRule type="expression" dxfId="2554" priority="92">
      <formula>F264&lt;0</formula>
    </cfRule>
  </conditionalFormatting>
  <conditionalFormatting sqref="H261:H263 F261:F263">
    <cfRule type="expression" dxfId="2553" priority="89">
      <formula>F261&gt;0</formula>
    </cfRule>
    <cfRule type="expression" dxfId="2552" priority="90">
      <formula>F261&lt;0</formula>
    </cfRule>
  </conditionalFormatting>
  <conditionalFormatting sqref="H260 F260">
    <cfRule type="expression" dxfId="2551" priority="87">
      <formula>F260&gt;0</formula>
    </cfRule>
    <cfRule type="expression" dxfId="2550" priority="88">
      <formula>F260&lt;0</formula>
    </cfRule>
  </conditionalFormatting>
  <conditionalFormatting sqref="H257:H259 F257:F259">
    <cfRule type="expression" dxfId="2549" priority="85">
      <formula>F257&gt;0</formula>
    </cfRule>
    <cfRule type="expression" dxfId="2548" priority="86">
      <formula>F257&lt;0</formula>
    </cfRule>
  </conditionalFormatting>
  <conditionalFormatting sqref="H256 F256">
    <cfRule type="expression" dxfId="2547" priority="83">
      <formula>F256&gt;0</formula>
    </cfRule>
    <cfRule type="expression" dxfId="2546" priority="84">
      <formula>F256&lt;0</formula>
    </cfRule>
  </conditionalFormatting>
  <conditionalFormatting sqref="H269:H271 F269:F271">
    <cfRule type="expression" dxfId="2545" priority="81">
      <formula>F269&gt;0</formula>
    </cfRule>
    <cfRule type="expression" dxfId="2544" priority="82">
      <formula>F269&lt;0</formula>
    </cfRule>
  </conditionalFormatting>
  <conditionalFormatting sqref="H268 F268">
    <cfRule type="expression" dxfId="2543" priority="79">
      <formula>F268&gt;0</formula>
    </cfRule>
    <cfRule type="expression" dxfId="2542" priority="80">
      <formula>F268&lt;0</formula>
    </cfRule>
  </conditionalFormatting>
  <conditionalFormatting sqref="H276 F276">
    <cfRule type="expression" dxfId="2541" priority="75">
      <formula>F276&gt;0</formula>
    </cfRule>
    <cfRule type="expression" dxfId="2540" priority="76">
      <formula>F276&lt;0</formula>
    </cfRule>
  </conditionalFormatting>
  <conditionalFormatting sqref="H273:H275 F273:F275">
    <cfRule type="expression" dxfId="2539" priority="73">
      <formula>F273&gt;0</formula>
    </cfRule>
    <cfRule type="expression" dxfId="2538" priority="74">
      <formula>F273&lt;0</formula>
    </cfRule>
  </conditionalFormatting>
  <conditionalFormatting sqref="H287:H288 F287:F288">
    <cfRule type="expression" dxfId="2537" priority="71">
      <formula>F287&gt;0</formula>
    </cfRule>
    <cfRule type="expression" dxfId="2536" priority="72">
      <formula>F287&lt;0</formula>
    </cfRule>
  </conditionalFormatting>
  <conditionalFormatting sqref="H283:H286 F283:F286">
    <cfRule type="expression" dxfId="2535" priority="67">
      <formula>F283&gt;0</formula>
    </cfRule>
    <cfRule type="expression" dxfId="2534" priority="68">
      <formula>F283&lt;0</formula>
    </cfRule>
  </conditionalFormatting>
  <conditionalFormatting sqref="H281:H282 F281:F282">
    <cfRule type="expression" dxfId="2533" priority="65">
      <formula>F281&gt;0</formula>
    </cfRule>
    <cfRule type="expression" dxfId="2532" priority="66">
      <formula>F281&lt;0</formula>
    </cfRule>
  </conditionalFormatting>
  <conditionalFormatting sqref="H277:H280 F277:F280">
    <cfRule type="expression" dxfId="2531" priority="61">
      <formula>F277&gt;0</formula>
    </cfRule>
    <cfRule type="expression" dxfId="2530" priority="62">
      <formula>F277&lt;0</formula>
    </cfRule>
  </conditionalFormatting>
  <conditionalFormatting sqref="F296:F299 H296:H299">
    <cfRule type="expression" dxfId="2529" priority="59">
      <formula>F296&gt;0</formula>
    </cfRule>
    <cfRule type="expression" dxfId="2528" priority="60">
      <formula>F296&lt;0</formula>
    </cfRule>
  </conditionalFormatting>
  <conditionalFormatting sqref="F294:F295 H294:H295">
    <cfRule type="expression" dxfId="2527" priority="57">
      <formula>F294&gt;0</formula>
    </cfRule>
    <cfRule type="expression" dxfId="2526" priority="58">
      <formula>F294&lt;0</formula>
    </cfRule>
  </conditionalFormatting>
  <conditionalFormatting sqref="F300:F302 H300:H302 K300:K303">
    <cfRule type="expression" dxfId="2525" priority="51">
      <formula>F300&gt;0</formula>
    </cfRule>
    <cfRule type="expression" dxfId="2524" priority="52">
      <formula>F300&lt;0</formula>
    </cfRule>
  </conditionalFormatting>
  <conditionalFormatting sqref="H307:H309 F307:F309 K307:K310">
    <cfRule type="expression" dxfId="2523" priority="47">
      <formula>F307&gt;0</formula>
    </cfRule>
    <cfRule type="expression" dxfId="2522" priority="48">
      <formula>F307&lt;0</formula>
    </cfRule>
  </conditionalFormatting>
  <conditionalFormatting sqref="H310:H313 F310:F313 K311:K313">
    <cfRule type="expression" dxfId="2521" priority="45">
      <formula>F310&gt;0</formula>
    </cfRule>
    <cfRule type="expression" dxfId="2520" priority="46">
      <formula>F310&lt;0</formula>
    </cfRule>
  </conditionalFormatting>
  <conditionalFormatting sqref="H314:H315 F314:F315 K314:K315">
    <cfRule type="expression" dxfId="2519" priority="43">
      <formula>F314&gt;0</formula>
    </cfRule>
    <cfRule type="expression" dxfId="2518" priority="44">
      <formula>F314&lt;0</formula>
    </cfRule>
  </conditionalFormatting>
  <conditionalFormatting sqref="K331 F331 H331">
    <cfRule type="expression" dxfId="2517" priority="41">
      <formula>F331&gt;0</formula>
    </cfRule>
    <cfRule type="expression" dxfId="2516" priority="42">
      <formula>F331&lt;0</formula>
    </cfRule>
  </conditionalFormatting>
  <conditionalFormatting sqref="K319:K321 F319:F321 H319:H321">
    <cfRule type="expression" dxfId="2515" priority="39">
      <formula>F319&gt;0</formula>
    </cfRule>
    <cfRule type="expression" dxfId="2514" priority="40">
      <formula>F319&lt;0</formula>
    </cfRule>
  </conditionalFormatting>
  <conditionalFormatting sqref="F323:F325 H323:H325 K323:K325">
    <cfRule type="expression" dxfId="2513" priority="35">
      <formula>F323&gt;0</formula>
    </cfRule>
    <cfRule type="expression" dxfId="2512" priority="36">
      <formula>F323&lt;0</formula>
    </cfRule>
  </conditionalFormatting>
  <conditionalFormatting sqref="K322 F322 H322">
    <cfRule type="expression" dxfId="2511" priority="33">
      <formula>F322&gt;0</formula>
    </cfRule>
    <cfRule type="expression" dxfId="2510" priority="34">
      <formula>F322&lt;0</formula>
    </cfRule>
  </conditionalFormatting>
  <conditionalFormatting sqref="K326:K327 F326:F327 H326:H327">
    <cfRule type="expression" dxfId="2509" priority="31">
      <formula>F326&gt;0</formula>
    </cfRule>
    <cfRule type="expression" dxfId="2508" priority="32">
      <formula>F326&lt;0</formula>
    </cfRule>
  </conditionalFormatting>
  <conditionalFormatting sqref="K328:K330 F328:F330 H328:H330">
    <cfRule type="expression" dxfId="2507" priority="25">
      <formula>F328&gt;0</formula>
    </cfRule>
    <cfRule type="expression" dxfId="2506" priority="26">
      <formula>F328&lt;0</formula>
    </cfRule>
  </conditionalFormatting>
  <conditionalFormatting sqref="F336:F338 H336:H338">
    <cfRule type="expression" dxfId="2505" priority="23">
      <formula>F336&gt;0</formula>
    </cfRule>
    <cfRule type="expression" dxfId="2504" priority="24">
      <formula>F336&lt;0</formula>
    </cfRule>
  </conditionalFormatting>
  <conditionalFormatting sqref="F335 H335">
    <cfRule type="expression" dxfId="2503" priority="21">
      <formula>F335&gt;0</formula>
    </cfRule>
    <cfRule type="expression" dxfId="2502" priority="22">
      <formula>F335&lt;0</formula>
    </cfRule>
  </conditionalFormatting>
  <conditionalFormatting sqref="F332:F334 H332:H334 K332:K338">
    <cfRule type="expression" dxfId="2501" priority="19">
      <formula>F332&gt;0</formula>
    </cfRule>
    <cfRule type="expression" dxfId="2500" priority="20">
      <formula>F332&lt;0</formula>
    </cfRule>
  </conditionalFormatting>
  <conditionalFormatting sqref="K339 F339 H339">
    <cfRule type="expression" dxfId="2499" priority="17">
      <formula>F339&gt;0</formula>
    </cfRule>
    <cfRule type="expression" dxfId="2498" priority="18">
      <formula>F339&lt;0</formula>
    </cfRule>
  </conditionalFormatting>
  <conditionalFormatting sqref="K340:K342 F340:F342 H340:H342">
    <cfRule type="expression" dxfId="2497" priority="15">
      <formula>F340&gt;0</formula>
    </cfRule>
    <cfRule type="expression" dxfId="2496" priority="16">
      <formula>F340&lt;0</formula>
    </cfRule>
  </conditionalFormatting>
  <conditionalFormatting sqref="K347 F347 H347">
    <cfRule type="expression" dxfId="2495" priority="13">
      <formula>F347&gt;0</formula>
    </cfRule>
    <cfRule type="expression" dxfId="2494" priority="14">
      <formula>F347&lt;0</formula>
    </cfRule>
  </conditionalFormatting>
  <conditionalFormatting sqref="F344:F346 H344:H346 K344:K346">
    <cfRule type="expression" dxfId="2493" priority="11">
      <formula>F344&gt;0</formula>
    </cfRule>
    <cfRule type="expression" dxfId="2492" priority="12">
      <formula>F344&lt;0</formula>
    </cfRule>
  </conditionalFormatting>
  <conditionalFormatting sqref="K343 F343 H343">
    <cfRule type="expression" dxfId="2491" priority="9">
      <formula>F343&gt;0</formula>
    </cfRule>
    <cfRule type="expression" dxfId="2490" priority="10">
      <formula>F343&lt;0</formula>
    </cfRule>
  </conditionalFormatting>
  <conditionalFormatting sqref="K352:K353 F352:F353 H352:H353">
    <cfRule type="expression" dxfId="2489" priority="7">
      <formula>F352&gt;0</formula>
    </cfRule>
    <cfRule type="expression" dxfId="2488" priority="8">
      <formula>F352&lt;0</formula>
    </cfRule>
  </conditionalFormatting>
  <conditionalFormatting sqref="K351 F351 H351">
    <cfRule type="expression" dxfId="2487" priority="5">
      <formula>F351&gt;0</formula>
    </cfRule>
    <cfRule type="expression" dxfId="2486" priority="6">
      <formula>F351&lt;0</formula>
    </cfRule>
  </conditionalFormatting>
  <conditionalFormatting sqref="K348:K350 F348:F350 H348:H350">
    <cfRule type="expression" dxfId="2485" priority="3">
      <formula>F348&gt;0</formula>
    </cfRule>
    <cfRule type="expression" dxfId="2484" priority="4">
      <formula>F348&lt;0</formula>
    </cfRule>
  </conditionalFormatting>
  <conditionalFormatting sqref="K354:K355 F354:F355 H354:H355">
    <cfRule type="expression" dxfId="2483" priority="1">
      <formula>F354&gt;0</formula>
    </cfRule>
    <cfRule type="expression" dxfId="2482"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428</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81" priority="27">
      <formula>Q7&gt;0</formula>
    </cfRule>
    <cfRule type="expression" dxfId="2480" priority="28">
      <formula>Q7&lt;0</formula>
    </cfRule>
  </conditionalFormatting>
  <conditionalFormatting sqref="Q8">
    <cfRule type="expression" dxfId="2479" priority="25">
      <formula>Q8&gt;0</formula>
    </cfRule>
    <cfRule type="expression" dxfId="2478" priority="26">
      <formula>Q8&lt;0</formula>
    </cfRule>
  </conditionalFormatting>
  <conditionalFormatting sqref="F25:F30 F34:F64">
    <cfRule type="expression" dxfId="2477" priority="23">
      <formula>F25&gt;0</formula>
    </cfRule>
    <cfRule type="expression" dxfId="2476" priority="24">
      <formula>F25&lt;0</formula>
    </cfRule>
  </conditionalFormatting>
  <conditionalFormatting sqref="H25:H30 H34:H64">
    <cfRule type="expression" dxfId="2475" priority="21">
      <formula>H25&gt;0</formula>
    </cfRule>
    <cfRule type="expression" dxfId="2474" priority="22">
      <formula>H25&lt;0</formula>
    </cfRule>
  </conditionalFormatting>
  <conditionalFormatting sqref="F89:F110">
    <cfRule type="expression" dxfId="2473" priority="19">
      <formula>F89&gt;0</formula>
    </cfRule>
    <cfRule type="expression" dxfId="2472" priority="20">
      <formula>F89&lt;0</formula>
    </cfRule>
  </conditionalFormatting>
  <conditionalFormatting sqref="H89:H110">
    <cfRule type="expression" dxfId="2471" priority="17">
      <formula>H89&gt;0</formula>
    </cfRule>
    <cfRule type="expression" dxfId="2470" priority="18">
      <formula>H89&lt;0</formula>
    </cfRule>
  </conditionalFormatting>
  <conditionalFormatting sqref="Q10">
    <cfRule type="expression" dxfId="2469" priority="15">
      <formula>Q10&gt;0</formula>
    </cfRule>
    <cfRule type="expression" dxfId="2468" priority="16">
      <formula>Q10&lt;0</formula>
    </cfRule>
  </conditionalFormatting>
  <conditionalFormatting sqref="J25:J38">
    <cfRule type="expression" dxfId="2467" priority="13">
      <formula>J25&gt;0</formula>
    </cfRule>
    <cfRule type="expression" dxfId="2466" priority="14">
      <formula>J25&lt;0</formula>
    </cfRule>
  </conditionalFormatting>
  <conditionalFormatting sqref="K25:K38">
    <cfRule type="expression" dxfId="2465" priority="11">
      <formula>K25&gt;0</formula>
    </cfRule>
    <cfRule type="expression" dxfId="2464" priority="12">
      <formula>K25&lt;0</formula>
    </cfRule>
  </conditionalFormatting>
  <conditionalFormatting sqref="L25:L38">
    <cfRule type="expression" dxfId="2463" priority="9">
      <formula>L25&gt;0</formula>
    </cfRule>
    <cfRule type="expression" dxfId="246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61" priority="7">
      <formula>F31&gt;0</formula>
    </cfRule>
    <cfRule type="expression" dxfId="2460" priority="8">
      <formula>F31&lt;0</formula>
    </cfRule>
  </conditionalFormatting>
  <conditionalFormatting sqref="H31:H33">
    <cfRule type="expression" dxfId="2459" priority="5">
      <formula>H31&gt;0</formula>
    </cfRule>
    <cfRule type="expression" dxfId="2458" priority="6">
      <formula>H31&lt;0</formula>
    </cfRule>
  </conditionalFormatting>
  <conditionalFormatting sqref="J61">
    <cfRule type="expression" dxfId="2457" priority="3">
      <formula>J61&gt;0</formula>
    </cfRule>
    <cfRule type="expression" dxfId="2456" priority="4">
      <formula>J61&lt;0</formula>
    </cfRule>
  </conditionalFormatting>
  <conditionalFormatting sqref="J62">
    <cfRule type="expression" dxfId="2455" priority="1">
      <formula>J62&gt;0</formula>
    </cfRule>
    <cfRule type="expression" dxfId="245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4">
        <v>50</v>
      </c>
      <c r="D2" s="3">
        <v>52.8</v>
      </c>
      <c r="E2" s="3">
        <v>0</v>
      </c>
      <c r="F2" s="3">
        <f t="shared" ref="F2:F7" si="0">C2*D2+E2</f>
        <v>2640</v>
      </c>
      <c r="G2" s="368">
        <v>43300</v>
      </c>
      <c r="H2" s="7">
        <v>50</v>
      </c>
      <c r="I2" s="43">
        <v>45.6</v>
      </c>
      <c r="J2" s="43">
        <v>0.03</v>
      </c>
      <c r="K2" s="43">
        <f>H2*I2-J2</f>
        <v>2279.9699999999998</v>
      </c>
      <c r="L2" s="72">
        <v>43203</v>
      </c>
      <c r="M2" s="43">
        <v>8.75</v>
      </c>
      <c r="O2" s="11" t="s">
        <v>57</v>
      </c>
      <c r="Q2">
        <f>C18-H18</f>
        <v>150</v>
      </c>
      <c r="T2" s="1" t="s">
        <v>1112</v>
      </c>
      <c r="U2" t="s">
        <v>1243</v>
      </c>
    </row>
    <row r="3" spans="1:21" x14ac:dyDescent="0.25">
      <c r="A3" s="22" t="s">
        <v>71</v>
      </c>
      <c r="B3" s="368">
        <v>43181</v>
      </c>
      <c r="C3" s="4">
        <v>50</v>
      </c>
      <c r="D3" s="3">
        <v>52.8</v>
      </c>
      <c r="E3" s="3">
        <v>0</v>
      </c>
      <c r="F3" s="3">
        <f t="shared" si="0"/>
        <v>2640</v>
      </c>
      <c r="G3" s="368">
        <v>43318</v>
      </c>
      <c r="H3" s="80">
        <v>50</v>
      </c>
      <c r="I3" s="43">
        <v>48.88</v>
      </c>
      <c r="J3" s="43">
        <v>0.03</v>
      </c>
      <c r="K3" s="43">
        <f>H3*I3-J3</f>
        <v>2443.9699999999998</v>
      </c>
      <c r="L3" s="72">
        <v>43294</v>
      </c>
      <c r="M3" s="43">
        <v>17.5</v>
      </c>
      <c r="O3" s="11" t="s">
        <v>58</v>
      </c>
      <c r="Q3" s="178">
        <f>IF(Q2=0, Q4, (F18-K18-M18)/Q2)</f>
        <v>46.424399999999999</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41.22</v>
      </c>
      <c r="R4" s="425">
        <v>-7.7000000000000002E-3</v>
      </c>
    </row>
    <row r="5" spans="1:21" x14ac:dyDescent="0.25">
      <c r="B5" s="368">
        <v>43299</v>
      </c>
      <c r="C5" s="4">
        <v>50</v>
      </c>
      <c r="D5" s="3">
        <v>43.98</v>
      </c>
      <c r="E5" s="3">
        <v>0</v>
      </c>
      <c r="F5" s="3">
        <f t="shared" si="0"/>
        <v>2199</v>
      </c>
      <c r="G5" s="368">
        <v>43488</v>
      </c>
      <c r="H5" s="80">
        <v>50</v>
      </c>
      <c r="I5" s="43">
        <v>41.2</v>
      </c>
      <c r="J5" s="43">
        <v>0.03</v>
      </c>
      <c r="K5" s="43">
        <f>H5*I5-J5</f>
        <v>2059.9699999999998</v>
      </c>
      <c r="L5" s="72">
        <v>43476</v>
      </c>
      <c r="M5" s="7">
        <v>30.63</v>
      </c>
      <c r="O5" s="11" t="s">
        <v>67</v>
      </c>
      <c r="Q5" s="3">
        <f>Q4*Q2</f>
        <v>6183</v>
      </c>
      <c r="T5" s="1">
        <v>43160</v>
      </c>
      <c r="U5" t="s">
        <v>968</v>
      </c>
    </row>
    <row r="6" spans="1:21" x14ac:dyDescent="0.25">
      <c r="B6" s="368">
        <v>43319</v>
      </c>
      <c r="C6" s="7">
        <v>50</v>
      </c>
      <c r="D6" s="43">
        <v>39.4</v>
      </c>
      <c r="E6" s="43">
        <v>0</v>
      </c>
      <c r="F6" s="43">
        <f t="shared" si="0"/>
        <v>1970</v>
      </c>
      <c r="G6" s="4"/>
      <c r="H6" s="161"/>
      <c r="I6" s="3"/>
      <c r="J6" s="3"/>
      <c r="K6" s="3"/>
      <c r="L6" s="4"/>
      <c r="M6" s="4"/>
      <c r="O6" s="11" t="s">
        <v>64</v>
      </c>
      <c r="Q6" s="2">
        <f>Q3*Q2</f>
        <v>6963.66</v>
      </c>
    </row>
    <row r="7" spans="1:21" x14ac:dyDescent="0.25">
      <c r="B7" s="72">
        <v>43327</v>
      </c>
      <c r="C7" s="7">
        <v>150</v>
      </c>
      <c r="D7" s="43">
        <v>37.799999999999997</v>
      </c>
      <c r="E7" s="43">
        <v>0</v>
      </c>
      <c r="F7" s="43">
        <f t="shared" si="0"/>
        <v>5670</v>
      </c>
      <c r="G7" s="4"/>
      <c r="H7" s="161"/>
      <c r="I7" s="3"/>
      <c r="J7" s="3"/>
      <c r="K7" s="3"/>
      <c r="L7" s="4"/>
      <c r="M7" s="4"/>
      <c r="O7" s="11" t="s">
        <v>177</v>
      </c>
      <c r="Q7" s="2">
        <f>Q10+Q8</f>
        <v>-780.65999999999985</v>
      </c>
      <c r="R7">
        <v>150</v>
      </c>
      <c r="T7" s="1">
        <v>43227</v>
      </c>
      <c r="U7" t="s">
        <v>1036</v>
      </c>
    </row>
    <row r="8" spans="1:21" x14ac:dyDescent="0.25">
      <c r="B8" s="72"/>
      <c r="C8" s="4"/>
      <c r="D8" s="3"/>
      <c r="E8" s="3"/>
      <c r="F8" s="3"/>
      <c r="G8" s="4"/>
      <c r="H8" s="161"/>
      <c r="I8" s="3"/>
      <c r="J8" s="3"/>
      <c r="K8" s="3"/>
      <c r="L8" s="4"/>
      <c r="M8" s="4"/>
      <c r="O8" s="11" t="s">
        <v>179</v>
      </c>
      <c r="P8" s="33"/>
      <c r="Q8" s="2">
        <f>K18+M18-F18+Q2*Q4</f>
        <v>-780.65999999999985</v>
      </c>
      <c r="U8" t="s">
        <v>1042</v>
      </c>
    </row>
    <row r="9" spans="1:21" x14ac:dyDescent="0.25">
      <c r="B9" s="4"/>
      <c r="C9" s="4"/>
      <c r="D9" s="3"/>
      <c r="E9" s="3"/>
      <c r="F9" s="3"/>
      <c r="G9" s="4"/>
      <c r="H9" s="161"/>
      <c r="I9" s="3"/>
      <c r="J9" s="3"/>
      <c r="K9" s="3"/>
      <c r="L9" s="4"/>
      <c r="M9" s="4"/>
      <c r="O9" s="11" t="s">
        <v>204</v>
      </c>
      <c r="Q9" s="134">
        <f>IF(Q2=0, 0, Q8/Q6)</f>
        <v>-0.1121048414195983</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8.4910237748665688E-3</v>
      </c>
      <c r="R11">
        <v>8.7499999999999994E-2</v>
      </c>
    </row>
    <row r="12" spans="1:21" x14ac:dyDescent="0.25">
      <c r="H12" s="70"/>
      <c r="O12" s="11" t="s">
        <v>82</v>
      </c>
      <c r="Q12" s="1" t="s">
        <v>1362</v>
      </c>
    </row>
    <row r="13" spans="1:21" x14ac:dyDescent="0.25">
      <c r="H13" s="70"/>
      <c r="O13" s="11" t="s">
        <v>947</v>
      </c>
      <c r="Q13" s="2">
        <f>Q4/2.075</f>
        <v>19.865060240963853</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SUM(H2:H5)</f>
        <v>300</v>
      </c>
      <c r="I18" s="18"/>
      <c r="J18" s="18"/>
      <c r="K18" s="18">
        <f>SUM(K2:K5)</f>
        <v>12675.83</v>
      </c>
      <c r="L18" s="14"/>
      <c r="M18" s="18">
        <f>SUM(M2:M10)</f>
        <v>87.509999999999991</v>
      </c>
    </row>
    <row r="19" spans="1:21" ht="15.75" thickBot="1" x14ac:dyDescent="0.3">
      <c r="A19" s="277" t="s">
        <v>191</v>
      </c>
      <c r="B19" s="278"/>
      <c r="C19" s="279">
        <f>SumByColor($A$19,C2:C17)</f>
        <v>300</v>
      </c>
      <c r="D19" s="279"/>
      <c r="E19" s="279"/>
      <c r="F19" s="280">
        <f>SumByColor($A$19,F2:F17)</f>
        <v>12248</v>
      </c>
      <c r="G19" s="279"/>
      <c r="H19" s="279">
        <f>SumByColor($A$19,H2:H17)</f>
        <v>300</v>
      </c>
      <c r="I19" s="279"/>
      <c r="J19" s="279"/>
      <c r="K19" s="280">
        <f>SumByColor($A$19,K2:K17)</f>
        <v>12676</v>
      </c>
      <c r="L19" s="279"/>
      <c r="M19" s="280">
        <f>SumByColor($A$19,M2:M17)</f>
        <v>88</v>
      </c>
    </row>
    <row r="22" spans="1:21" ht="20.25" thickBot="1" x14ac:dyDescent="0.35">
      <c r="O22" s="719" t="s">
        <v>78</v>
      </c>
      <c r="P22" s="719"/>
    </row>
    <row r="23" spans="1:21" ht="15.75" thickTop="1" x14ac:dyDescent="0.25">
      <c r="O23" s="81">
        <v>1.1000000000000001</v>
      </c>
      <c r="P23" s="81">
        <f>O23*$Q$4</f>
        <v>45.342000000000006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44.9298</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44.517600000000002</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44.105400000000003</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43.693200000000004</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43.280999999999999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42.8688</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42.456600000000002</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42.044400000000003</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41.632199999999997</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41.22</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40.8078</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40.395599999999995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39.983399999999996</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39.571199999999997</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39.158999999999999</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38.746799999999993</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38.334600000000002</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37.922400000000003</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37.510199999999998</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37.097999999999999</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59" si="8">C48*(E48-D48)</f>
        <v>-1441.9999999999991</v>
      </c>
      <c r="G48" s="39">
        <f t="shared" ref="G48:G59" si="9">D48*C48</f>
        <v>14976.5</v>
      </c>
      <c r="H48" s="179">
        <f t="shared" ref="H48:H59"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B60" s="164"/>
      <c r="C60" s="10"/>
      <c r="D60" s="39"/>
      <c r="E60" s="39"/>
      <c r="F60" s="39"/>
      <c r="G60" s="39"/>
      <c r="H60" s="179"/>
      <c r="I60" s="39"/>
      <c r="J60" s="39"/>
      <c r="K60" s="39"/>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0">
      <colorScale>
        <cfvo type="min"/>
        <cfvo type="percentile" val="50"/>
        <cfvo type="max"/>
        <color rgb="FFF8696B"/>
        <color rgb="FFFFEB84"/>
        <color rgb="FF63BE7B"/>
      </colorScale>
    </cfRule>
  </conditionalFormatting>
  <conditionalFormatting sqref="P23:P43">
    <cfRule type="colorScale" priority="39">
      <colorScale>
        <cfvo type="min"/>
        <cfvo type="percentile" val="50"/>
        <cfvo type="max"/>
        <color rgb="FFF8696B"/>
        <color rgb="FFFFEB84"/>
        <color rgb="FF63BE7B"/>
      </colorScale>
    </cfRule>
  </conditionalFormatting>
  <conditionalFormatting sqref="H64:H69 F64:F69 F51:F61 H51:H61">
    <cfRule type="expression" dxfId="2453" priority="37">
      <formula>F51&gt;0</formula>
    </cfRule>
    <cfRule type="expression" dxfId="2452" priority="38">
      <formula>F51&lt;0</formula>
    </cfRule>
  </conditionalFormatting>
  <conditionalFormatting sqref="Q7">
    <cfRule type="expression" dxfId="2451" priority="35">
      <formula>Q7&gt;0</formula>
    </cfRule>
    <cfRule type="expression" dxfId="2450" priority="36">
      <formula>Q7&lt;0</formula>
    </cfRule>
  </conditionalFormatting>
  <conditionalFormatting sqref="Q8">
    <cfRule type="expression" dxfId="2449" priority="33">
      <formula>Q8&gt;0</formula>
    </cfRule>
    <cfRule type="expression" dxfId="2448" priority="34">
      <formula>Q8&lt;0</formula>
    </cfRule>
  </conditionalFormatting>
  <conditionalFormatting sqref="F31:F49">
    <cfRule type="expression" dxfId="2447" priority="31">
      <formula>F31&gt;0</formula>
    </cfRule>
    <cfRule type="expression" dxfId="2446" priority="32">
      <formula>F31&lt;0</formula>
    </cfRule>
  </conditionalFormatting>
  <conditionalFormatting sqref="H31:H49">
    <cfRule type="expression" dxfId="2445" priority="29">
      <formula>H31&gt;0</formula>
    </cfRule>
    <cfRule type="expression" dxfId="2444" priority="30">
      <formula>H31&lt;0</formula>
    </cfRule>
  </conditionalFormatting>
  <conditionalFormatting sqref="Q10">
    <cfRule type="expression" dxfId="2443" priority="27">
      <formula>Q10&gt;0</formula>
    </cfRule>
    <cfRule type="expression" dxfId="2442" priority="28">
      <formula>Q10&lt;0</formula>
    </cfRule>
  </conditionalFormatting>
  <conditionalFormatting sqref="J25:J38">
    <cfRule type="expression" dxfId="2441" priority="25">
      <formula>J25&gt;0</formula>
    </cfRule>
    <cfRule type="expression" dxfId="2440" priority="26">
      <formula>J25&lt;0</formula>
    </cfRule>
  </conditionalFormatting>
  <conditionalFormatting sqref="K38">
    <cfRule type="expression" dxfId="2439" priority="23">
      <formula>K38&gt;0</formula>
    </cfRule>
    <cfRule type="expression" dxfId="2438" priority="24">
      <formula>K38&lt;0</formula>
    </cfRule>
  </conditionalFormatting>
  <conditionalFormatting sqref="L25:L38">
    <cfRule type="expression" dxfId="2437" priority="21">
      <formula>L25&gt;0</formula>
    </cfRule>
    <cfRule type="expression" dxfId="2436" priority="22">
      <formula>L25&lt;0</formula>
    </cfRule>
  </conditionalFormatting>
  <conditionalFormatting sqref="F95:F116">
    <cfRule type="expression" dxfId="2435" priority="19">
      <formula>F95&gt;0</formula>
    </cfRule>
    <cfRule type="expression" dxfId="2434" priority="20">
      <formula>F95&lt;0</formula>
    </cfRule>
  </conditionalFormatting>
  <conditionalFormatting sqref="H95:H116">
    <cfRule type="expression" dxfId="2433" priority="17">
      <formula>H95&gt;0</formula>
    </cfRule>
    <cfRule type="expression" dxfId="2432" priority="18">
      <formula>H95&lt;0</formula>
    </cfRule>
  </conditionalFormatting>
  <conditionalFormatting sqref="J95:J108">
    <cfRule type="expression" dxfId="2431" priority="15">
      <formula>J95&gt;0</formula>
    </cfRule>
    <cfRule type="expression" dxfId="2430" priority="16">
      <formula>J95&lt;0</formula>
    </cfRule>
  </conditionalFormatting>
  <conditionalFormatting sqref="K95:K108">
    <cfRule type="expression" dxfId="2429" priority="13">
      <formula>K95&gt;0</formula>
    </cfRule>
    <cfRule type="expression" dxfId="2428" priority="14">
      <formula>K95&lt;0</formula>
    </cfRule>
  </conditionalFormatting>
  <conditionalFormatting sqref="L95:L108">
    <cfRule type="expression" dxfId="2427" priority="11">
      <formula>L95&gt;0</formula>
    </cfRule>
    <cfRule type="expression" dxfId="2426" priority="12">
      <formula>L95&lt;0</formula>
    </cfRule>
  </conditionalFormatting>
  <conditionalFormatting sqref="F25:F30">
    <cfRule type="expression" dxfId="2425" priority="9">
      <formula>F25&gt;0</formula>
    </cfRule>
    <cfRule type="expression" dxfId="2424" priority="10">
      <formula>F25&lt;0</formula>
    </cfRule>
  </conditionalFormatting>
  <conditionalFormatting sqref="H25:H30">
    <cfRule type="expression" dxfId="2423" priority="7">
      <formula>H25&gt;0</formula>
    </cfRule>
    <cfRule type="expression" dxfId="2422" priority="8">
      <formula>H25&lt;0</formula>
    </cfRule>
  </conditionalFormatting>
  <conditionalFormatting sqref="F50">
    <cfRule type="expression" dxfId="2421" priority="5">
      <formula>F50&gt;0</formula>
    </cfRule>
    <cfRule type="expression" dxfId="2420" priority="6">
      <formula>F50&lt;0</formula>
    </cfRule>
  </conditionalFormatting>
  <conditionalFormatting sqref="H50">
    <cfRule type="expression" dxfId="2419" priority="3">
      <formula>H50&gt;0</formula>
    </cfRule>
    <cfRule type="expression" dxfId="2418" priority="4">
      <formula>H50&lt;0</formula>
    </cfRule>
  </conditionalFormatting>
  <conditionalFormatting sqref="H62:H63 F62:F63">
    <cfRule type="expression" dxfId="2417" priority="1">
      <formula>F62&gt;0</formula>
    </cfRule>
    <cfRule type="expression" dxfId="241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42.08</v>
      </c>
      <c r="R4" s="425">
        <v>2.8999999999999998E-3</v>
      </c>
      <c r="T4" s="693"/>
      <c r="U4" s="30"/>
    </row>
    <row r="5" spans="1:21" x14ac:dyDescent="0.25">
      <c r="B5" s="72"/>
      <c r="C5" s="4"/>
      <c r="D5" s="3"/>
      <c r="E5" s="3"/>
      <c r="F5" s="3"/>
      <c r="G5" s="4"/>
      <c r="H5" s="161"/>
      <c r="I5" s="3"/>
      <c r="J5" s="3"/>
      <c r="K5" s="3"/>
      <c r="L5" s="4"/>
      <c r="M5" s="4"/>
      <c r="O5" s="11" t="s">
        <v>67</v>
      </c>
      <c r="Q5" s="3">
        <f>Q4*Q2</f>
        <v>4208</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180</v>
      </c>
      <c r="R7" s="29">
        <v>43537</v>
      </c>
    </row>
    <row r="8" spans="1:21" x14ac:dyDescent="0.25">
      <c r="B8" s="72"/>
      <c r="C8" s="4"/>
      <c r="D8" s="3"/>
      <c r="E8" s="3"/>
      <c r="F8" s="3"/>
      <c r="G8" s="4"/>
      <c r="H8" s="161"/>
      <c r="I8" s="3"/>
      <c r="J8" s="3"/>
      <c r="K8" s="3"/>
      <c r="L8" s="4"/>
      <c r="M8" s="4"/>
      <c r="O8" s="11" t="s">
        <v>179</v>
      </c>
      <c r="P8" s="33"/>
      <c r="Q8" s="2">
        <f>K18+M18-F18+Q2*Q4</f>
        <v>180</v>
      </c>
      <c r="T8" s="1"/>
    </row>
    <row r="9" spans="1:21" x14ac:dyDescent="0.25">
      <c r="B9" s="4"/>
      <c r="C9" s="4"/>
      <c r="D9" s="3"/>
      <c r="E9" s="3"/>
      <c r="F9" s="3"/>
      <c r="G9" s="4"/>
      <c r="H9" s="161"/>
      <c r="I9" s="3"/>
      <c r="J9" s="3"/>
      <c r="K9" s="3"/>
      <c r="L9" s="4"/>
      <c r="M9" s="4"/>
      <c r="O9" s="11" t="s">
        <v>204</v>
      </c>
      <c r="Q9" s="134">
        <f>IF(Q2=0, 0, Q8/Q6)</f>
        <v>4.4687189672293945E-2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8.0798479087452486E-3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46.288000000000004</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45.867200000000004</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45.446400000000004</v>
      </c>
    </row>
    <row r="20" spans="1:16" x14ac:dyDescent="0.25">
      <c r="O20" s="81">
        <v>1.07</v>
      </c>
      <c r="P20" s="81">
        <f t="shared" si="0"/>
        <v>45.025600000000004</v>
      </c>
    </row>
    <row r="21" spans="1:16" x14ac:dyDescent="0.25">
      <c r="O21" s="81">
        <v>1.06</v>
      </c>
      <c r="P21" s="81">
        <f t="shared" si="0"/>
        <v>44.604799999999997</v>
      </c>
    </row>
    <row r="22" spans="1:16" x14ac:dyDescent="0.25">
      <c r="O22" s="81">
        <v>1.05</v>
      </c>
      <c r="P22" s="81">
        <f t="shared" si="0"/>
        <v>44.183999999999997</v>
      </c>
    </row>
    <row r="23" spans="1:16" x14ac:dyDescent="0.25">
      <c r="O23" s="81">
        <v>1.04</v>
      </c>
      <c r="P23" s="81">
        <f t="shared" si="0"/>
        <v>43.763199999999998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43.342399999999998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42.921599999999998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42.500799999999998</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42.08</v>
      </c>
    </row>
    <row r="28" spans="1:16" x14ac:dyDescent="0.25">
      <c r="B28" s="164"/>
      <c r="C28" s="10"/>
      <c r="D28" s="39"/>
      <c r="E28" s="39"/>
      <c r="F28" s="39"/>
      <c r="G28" s="39"/>
      <c r="H28" s="179"/>
      <c r="I28" s="39"/>
      <c r="J28" s="39"/>
      <c r="K28" s="39"/>
      <c r="L28" s="39"/>
      <c r="O28" s="81">
        <v>0.99</v>
      </c>
      <c r="P28" s="81">
        <f t="shared" si="0"/>
        <v>41.659199999999998</v>
      </c>
    </row>
    <row r="29" spans="1:16" x14ac:dyDescent="0.25">
      <c r="B29" s="164"/>
      <c r="C29" s="10"/>
      <c r="D29" s="39"/>
      <c r="E29" s="39"/>
      <c r="F29" s="39"/>
      <c r="G29" s="39"/>
      <c r="H29" s="179"/>
      <c r="I29" s="39"/>
      <c r="J29" s="39"/>
      <c r="K29" s="39"/>
      <c r="L29" s="39"/>
      <c r="O29" s="81">
        <v>0.98</v>
      </c>
      <c r="P29" s="81">
        <f t="shared" si="0"/>
        <v>41.238399999999999</v>
      </c>
    </row>
    <row r="30" spans="1:16" x14ac:dyDescent="0.25">
      <c r="B30" s="164"/>
      <c r="C30" s="10"/>
      <c r="D30" s="39"/>
      <c r="E30" s="39"/>
      <c r="F30" s="39"/>
      <c r="G30" s="39"/>
      <c r="H30" s="179"/>
      <c r="I30" s="39"/>
      <c r="J30" s="39"/>
      <c r="K30" s="39"/>
      <c r="L30" s="39"/>
      <c r="O30" s="81">
        <v>0.97</v>
      </c>
      <c r="P30" s="81">
        <f t="shared" si="0"/>
        <v>40.817599999999999</v>
      </c>
    </row>
    <row r="31" spans="1:16" x14ac:dyDescent="0.25">
      <c r="B31" s="164"/>
      <c r="C31" s="10"/>
      <c r="D31" s="39"/>
      <c r="E31" s="39"/>
      <c r="F31" s="39"/>
      <c r="G31" s="39"/>
      <c r="H31" s="179"/>
      <c r="I31" s="39"/>
      <c r="J31" s="39"/>
      <c r="K31" s="39"/>
      <c r="L31" s="39"/>
      <c r="O31" s="81">
        <v>0.96</v>
      </c>
      <c r="P31" s="81">
        <f t="shared" si="0"/>
        <v>40.396799999999999</v>
      </c>
    </row>
    <row r="32" spans="1:16" x14ac:dyDescent="0.25">
      <c r="B32" s="164"/>
      <c r="C32" s="10"/>
      <c r="D32" s="39"/>
      <c r="E32" s="39"/>
      <c r="F32" s="39"/>
      <c r="G32" s="39"/>
      <c r="H32" s="179"/>
      <c r="I32" s="39"/>
      <c r="J32" s="39"/>
      <c r="K32" s="39"/>
      <c r="L32" s="39"/>
      <c r="O32" s="81">
        <v>0.95</v>
      </c>
      <c r="P32" s="81">
        <f t="shared" si="0"/>
        <v>39.975999999999999</v>
      </c>
    </row>
    <row r="33" spans="2:17" x14ac:dyDescent="0.25">
      <c r="B33" s="164"/>
      <c r="C33" s="10"/>
      <c r="D33" s="39"/>
      <c r="E33" s="39"/>
      <c r="F33" s="39"/>
      <c r="G33" s="39"/>
      <c r="H33" s="179"/>
      <c r="I33" s="39"/>
      <c r="J33" s="39"/>
      <c r="K33" s="39"/>
      <c r="L33" s="39"/>
      <c r="O33" s="81">
        <v>0.94</v>
      </c>
      <c r="P33" s="81">
        <f t="shared" si="0"/>
        <v>39.555199999999999</v>
      </c>
    </row>
    <row r="34" spans="2:17" x14ac:dyDescent="0.25">
      <c r="B34" s="164"/>
      <c r="C34" s="10"/>
      <c r="D34" s="39"/>
      <c r="E34" s="39"/>
      <c r="F34" s="39"/>
      <c r="G34" s="39"/>
      <c r="H34" s="179"/>
      <c r="I34" s="39"/>
      <c r="J34" s="39"/>
      <c r="K34" s="39"/>
      <c r="L34" s="39"/>
      <c r="O34" s="81">
        <v>0.93</v>
      </c>
      <c r="P34" s="81">
        <f t="shared" si="0"/>
        <v>39.134399999999999</v>
      </c>
    </row>
    <row r="35" spans="2:17" x14ac:dyDescent="0.25">
      <c r="B35" s="164"/>
      <c r="C35" s="10"/>
      <c r="D35" s="39"/>
      <c r="E35" s="39"/>
      <c r="F35" s="39"/>
      <c r="G35" s="39"/>
      <c r="H35" s="179"/>
      <c r="I35" s="39"/>
      <c r="J35" s="39"/>
      <c r="K35" s="39"/>
      <c r="L35" s="39"/>
      <c r="O35" s="81">
        <v>0.92</v>
      </c>
      <c r="P35" s="81">
        <f t="shared" si="0"/>
        <v>38.7136</v>
      </c>
    </row>
    <row r="36" spans="2:17" x14ac:dyDescent="0.25">
      <c r="B36" s="164"/>
      <c r="C36" s="10"/>
      <c r="D36" s="39"/>
      <c r="E36" s="39"/>
      <c r="F36" s="39"/>
      <c r="G36" s="39"/>
      <c r="H36" s="179"/>
      <c r="I36" s="39"/>
      <c r="J36" s="39"/>
      <c r="K36" s="39"/>
      <c r="L36" s="39"/>
      <c r="O36" s="81">
        <v>0.91</v>
      </c>
      <c r="P36" s="81">
        <f t="shared" si="0"/>
        <v>38.2928</v>
      </c>
    </row>
    <row r="37" spans="2:17" x14ac:dyDescent="0.25">
      <c r="B37" s="164"/>
      <c r="C37" s="10"/>
      <c r="D37" s="39"/>
      <c r="E37" s="39"/>
      <c r="F37" s="39"/>
      <c r="G37" s="39"/>
      <c r="H37" s="179"/>
      <c r="I37" s="39"/>
      <c r="J37" s="39"/>
      <c r="K37" s="39"/>
      <c r="L37" s="39"/>
      <c r="O37" s="81">
        <v>0.9</v>
      </c>
      <c r="P37" s="81">
        <f t="shared" si="0"/>
        <v>37.872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5" priority="35">
      <formula>F47&gt;0</formula>
    </cfRule>
    <cfRule type="expression" dxfId="2414" priority="36">
      <formula>F47&lt;0</formula>
    </cfRule>
  </conditionalFormatting>
  <conditionalFormatting sqref="Q7">
    <cfRule type="expression" dxfId="2413" priority="33">
      <formula>Q7&gt;0</formula>
    </cfRule>
    <cfRule type="expression" dxfId="2412" priority="34">
      <formula>Q7&lt;0</formula>
    </cfRule>
  </conditionalFormatting>
  <conditionalFormatting sqref="Q8">
    <cfRule type="expression" dxfId="2411" priority="31">
      <formula>Q8&gt;0</formula>
    </cfRule>
    <cfRule type="expression" dxfId="2410" priority="32">
      <formula>Q8&lt;0</formula>
    </cfRule>
  </conditionalFormatting>
  <conditionalFormatting sqref="F30:F46">
    <cfRule type="expression" dxfId="2409" priority="29">
      <formula>F30&gt;0</formula>
    </cfRule>
    <cfRule type="expression" dxfId="2408" priority="30">
      <formula>F30&lt;0</formula>
    </cfRule>
  </conditionalFormatting>
  <conditionalFormatting sqref="H30:H46">
    <cfRule type="expression" dxfId="2407" priority="27">
      <formula>H30&gt;0</formula>
    </cfRule>
    <cfRule type="expression" dxfId="2406" priority="28">
      <formula>H30&lt;0</formula>
    </cfRule>
  </conditionalFormatting>
  <conditionalFormatting sqref="Q10">
    <cfRule type="expression" dxfId="2405" priority="25">
      <formula>Q10&gt;0</formula>
    </cfRule>
    <cfRule type="expression" dxfId="2404" priority="26">
      <formula>Q10&lt;0</formula>
    </cfRule>
  </conditionalFormatting>
  <conditionalFormatting sqref="J25:J38">
    <cfRule type="expression" dxfId="2403" priority="23">
      <formula>J25&gt;0</formula>
    </cfRule>
    <cfRule type="expression" dxfId="2402" priority="24">
      <formula>J25&lt;0</formula>
    </cfRule>
  </conditionalFormatting>
  <conditionalFormatting sqref="K25:K38">
    <cfRule type="expression" dxfId="2401" priority="21">
      <formula>K25&gt;0</formula>
    </cfRule>
    <cfRule type="expression" dxfId="2400" priority="22">
      <formula>K25&lt;0</formula>
    </cfRule>
  </conditionalFormatting>
  <conditionalFormatting sqref="L25 L38">
    <cfRule type="expression" dxfId="2399" priority="19">
      <formula>L25&gt;0</formula>
    </cfRule>
    <cfRule type="expression" dxfId="2398" priority="20">
      <formula>L25&lt;0</formula>
    </cfRule>
  </conditionalFormatting>
  <conditionalFormatting sqref="F89:F110">
    <cfRule type="expression" dxfId="2397" priority="17">
      <formula>F89&gt;0</formula>
    </cfRule>
    <cfRule type="expression" dxfId="2396" priority="18">
      <formula>F89&lt;0</formula>
    </cfRule>
  </conditionalFormatting>
  <conditionalFormatting sqref="H89:H110">
    <cfRule type="expression" dxfId="2395" priority="15">
      <formula>H89&gt;0</formula>
    </cfRule>
    <cfRule type="expression" dxfId="2394" priority="16">
      <formula>H89&lt;0</formula>
    </cfRule>
  </conditionalFormatting>
  <conditionalFormatting sqref="J89:J102">
    <cfRule type="expression" dxfId="2393" priority="13">
      <formula>J89&gt;0</formula>
    </cfRule>
    <cfRule type="expression" dxfId="2392" priority="14">
      <formula>J89&lt;0</formula>
    </cfRule>
  </conditionalFormatting>
  <conditionalFormatting sqref="K89:K102">
    <cfRule type="expression" dxfId="2391" priority="11">
      <formula>K89&gt;0</formula>
    </cfRule>
    <cfRule type="expression" dxfId="2390" priority="12">
      <formula>K89&lt;0</formula>
    </cfRule>
  </conditionalFormatting>
  <conditionalFormatting sqref="L89:L102">
    <cfRule type="expression" dxfId="2389" priority="9">
      <formula>L89&gt;0</formula>
    </cfRule>
    <cfRule type="expression" dxfId="2388" priority="10">
      <formula>L89&lt;0</formula>
    </cfRule>
  </conditionalFormatting>
  <conditionalFormatting sqref="F29 F25:F27">
    <cfRule type="expression" dxfId="2387" priority="7">
      <formula>F25&gt;0</formula>
    </cfRule>
    <cfRule type="expression" dxfId="2386" priority="8">
      <formula>F25&lt;0</formula>
    </cfRule>
  </conditionalFormatting>
  <conditionalFormatting sqref="H29 H25:H27">
    <cfRule type="expression" dxfId="2385" priority="5">
      <formula>H25&gt;0</formula>
    </cfRule>
    <cfRule type="expression" dxfId="2384" priority="6">
      <formula>H25&lt;0</formula>
    </cfRule>
  </conditionalFormatting>
  <conditionalFormatting sqref="F28">
    <cfRule type="expression" dxfId="2383" priority="3">
      <formula>F28&gt;0</formula>
    </cfRule>
    <cfRule type="expression" dxfId="2382" priority="4">
      <formula>F28&lt;0</formula>
    </cfRule>
  </conditionalFormatting>
  <conditionalFormatting sqref="H28">
    <cfRule type="expression" dxfId="2381" priority="1">
      <formula>H28&gt;0</formula>
    </cfRule>
    <cfRule type="expression" dxfId="2380"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9" priority="35">
      <formula>F47&gt;0</formula>
    </cfRule>
    <cfRule type="expression" dxfId="2378" priority="36">
      <formula>F47&lt;0</formula>
    </cfRule>
  </conditionalFormatting>
  <conditionalFormatting sqref="Q7">
    <cfRule type="expression" dxfId="2377" priority="33">
      <formula>Q7&gt;0</formula>
    </cfRule>
    <cfRule type="expression" dxfId="2376" priority="34">
      <formula>Q7&lt;0</formula>
    </cfRule>
  </conditionalFormatting>
  <conditionalFormatting sqref="Q8">
    <cfRule type="expression" dxfId="2375" priority="31">
      <formula>Q8&gt;0</formula>
    </cfRule>
    <cfRule type="expression" dxfId="2374" priority="32">
      <formula>Q8&lt;0</formula>
    </cfRule>
  </conditionalFormatting>
  <conditionalFormatting sqref="F30:F46">
    <cfRule type="expression" dxfId="2373" priority="29">
      <formula>F30&gt;0</formula>
    </cfRule>
    <cfRule type="expression" dxfId="2372" priority="30">
      <formula>F30&lt;0</formula>
    </cfRule>
  </conditionalFormatting>
  <conditionalFormatting sqref="H30:H46">
    <cfRule type="expression" dxfId="2371" priority="27">
      <formula>H30&gt;0</formula>
    </cfRule>
    <cfRule type="expression" dxfId="2370" priority="28">
      <formula>H30&lt;0</formula>
    </cfRule>
  </conditionalFormatting>
  <conditionalFormatting sqref="Q10">
    <cfRule type="expression" dxfId="2369" priority="25">
      <formula>Q10&gt;0</formula>
    </cfRule>
    <cfRule type="expression" dxfId="2368" priority="26">
      <formula>Q10&lt;0</formula>
    </cfRule>
  </conditionalFormatting>
  <conditionalFormatting sqref="J25:J38">
    <cfRule type="expression" dxfId="2367" priority="23">
      <formula>J25&gt;0</formula>
    </cfRule>
    <cfRule type="expression" dxfId="2366" priority="24">
      <formula>J25&lt;0</formula>
    </cfRule>
  </conditionalFormatting>
  <conditionalFormatting sqref="K25:K38">
    <cfRule type="expression" dxfId="2365" priority="21">
      <formula>K25&gt;0</formula>
    </cfRule>
    <cfRule type="expression" dxfId="2364" priority="22">
      <formula>K25&lt;0</formula>
    </cfRule>
  </conditionalFormatting>
  <conditionalFormatting sqref="L25 L38">
    <cfRule type="expression" dxfId="2363" priority="19">
      <formula>L25&gt;0</formula>
    </cfRule>
    <cfRule type="expression" dxfId="2362" priority="20">
      <formula>L25&lt;0</formula>
    </cfRule>
  </conditionalFormatting>
  <conditionalFormatting sqref="F89:F110">
    <cfRule type="expression" dxfId="2361" priority="17">
      <formula>F89&gt;0</formula>
    </cfRule>
    <cfRule type="expression" dxfId="2360" priority="18">
      <formula>F89&lt;0</formula>
    </cfRule>
  </conditionalFormatting>
  <conditionalFormatting sqref="H89:H110">
    <cfRule type="expression" dxfId="2359" priority="15">
      <formula>H89&gt;0</formula>
    </cfRule>
    <cfRule type="expression" dxfId="2358" priority="16">
      <formula>H89&lt;0</formula>
    </cfRule>
  </conditionalFormatting>
  <conditionalFormatting sqref="J89:J102">
    <cfRule type="expression" dxfId="2357" priority="13">
      <formula>J89&gt;0</formula>
    </cfRule>
    <cfRule type="expression" dxfId="2356" priority="14">
      <formula>J89&lt;0</formula>
    </cfRule>
  </conditionalFormatting>
  <conditionalFormatting sqref="K89:K102">
    <cfRule type="expression" dxfId="2355" priority="11">
      <formula>K89&gt;0</formula>
    </cfRule>
    <cfRule type="expression" dxfId="2354" priority="12">
      <formula>K89&lt;0</formula>
    </cfRule>
  </conditionalFormatting>
  <conditionalFormatting sqref="L89:L102">
    <cfRule type="expression" dxfId="2353" priority="9">
      <formula>L89&gt;0</formula>
    </cfRule>
    <cfRule type="expression" dxfId="2352" priority="10">
      <formula>L89&lt;0</formula>
    </cfRule>
  </conditionalFormatting>
  <conditionalFormatting sqref="F29 F25:F27">
    <cfRule type="expression" dxfId="2351" priority="7">
      <formula>F25&gt;0</formula>
    </cfRule>
    <cfRule type="expression" dxfId="2350" priority="8">
      <formula>F25&lt;0</formula>
    </cfRule>
  </conditionalFormatting>
  <conditionalFormatting sqref="H25:H29">
    <cfRule type="expression" dxfId="2349" priority="5">
      <formula>H25&gt;0</formula>
    </cfRule>
    <cfRule type="expression" dxfId="2348" priority="6">
      <formula>H25&lt;0</formula>
    </cfRule>
  </conditionalFormatting>
  <conditionalFormatting sqref="F28">
    <cfRule type="expression" dxfId="2347" priority="3">
      <formula>F28&gt;0</formula>
    </cfRule>
    <cfRule type="expression" dxfId="2346"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5" priority="35">
      <formula>F47&gt;0</formula>
    </cfRule>
    <cfRule type="expression" dxfId="2344" priority="36">
      <formula>F47&lt;0</formula>
    </cfRule>
  </conditionalFormatting>
  <conditionalFormatting sqref="Q7">
    <cfRule type="expression" dxfId="2343" priority="33">
      <formula>Q7&gt;0</formula>
    </cfRule>
    <cfRule type="expression" dxfId="2342" priority="34">
      <formula>Q7&lt;0</formula>
    </cfRule>
  </conditionalFormatting>
  <conditionalFormatting sqref="Q8">
    <cfRule type="expression" dxfId="2341" priority="31">
      <formula>Q8&gt;0</formula>
    </cfRule>
    <cfRule type="expression" dxfId="2340" priority="32">
      <formula>Q8&lt;0</formula>
    </cfRule>
  </conditionalFormatting>
  <conditionalFormatting sqref="F30:F46">
    <cfRule type="expression" dxfId="2339" priority="29">
      <formula>F30&gt;0</formula>
    </cfRule>
    <cfRule type="expression" dxfId="2338" priority="30">
      <formula>F30&lt;0</formula>
    </cfRule>
  </conditionalFormatting>
  <conditionalFormatting sqref="H30:H46">
    <cfRule type="expression" dxfId="2337" priority="27">
      <formula>H30&gt;0</formula>
    </cfRule>
    <cfRule type="expression" dxfId="2336" priority="28">
      <formula>H30&lt;0</formula>
    </cfRule>
  </conditionalFormatting>
  <conditionalFormatting sqref="Q10">
    <cfRule type="expression" dxfId="2335" priority="25">
      <formula>Q10&gt;0</formula>
    </cfRule>
    <cfRule type="expression" dxfId="2334" priority="26">
      <formula>Q10&lt;0</formula>
    </cfRule>
  </conditionalFormatting>
  <conditionalFormatting sqref="J25:J38">
    <cfRule type="expression" dxfId="2333" priority="23">
      <formula>J25&gt;0</formula>
    </cfRule>
    <cfRule type="expression" dxfId="2332" priority="24">
      <formula>J25&lt;0</formula>
    </cfRule>
  </conditionalFormatting>
  <conditionalFormatting sqref="K25:K38">
    <cfRule type="expression" dxfId="2331" priority="21">
      <formula>K25&gt;0</formula>
    </cfRule>
    <cfRule type="expression" dxfId="2330" priority="22">
      <formula>K25&lt;0</formula>
    </cfRule>
  </conditionalFormatting>
  <conditionalFormatting sqref="L25 L38">
    <cfRule type="expression" dxfId="2329" priority="19">
      <formula>L25&gt;0</formula>
    </cfRule>
    <cfRule type="expression" dxfId="2328" priority="20">
      <formula>L25&lt;0</formula>
    </cfRule>
  </conditionalFormatting>
  <conditionalFormatting sqref="F89:F110">
    <cfRule type="expression" dxfId="2327" priority="17">
      <formula>F89&gt;0</formula>
    </cfRule>
    <cfRule type="expression" dxfId="2326" priority="18">
      <formula>F89&lt;0</formula>
    </cfRule>
  </conditionalFormatting>
  <conditionalFormatting sqref="H89:H110">
    <cfRule type="expression" dxfId="2325" priority="15">
      <formula>H89&gt;0</formula>
    </cfRule>
    <cfRule type="expression" dxfId="2324" priority="16">
      <formula>H89&lt;0</formula>
    </cfRule>
  </conditionalFormatting>
  <conditionalFormatting sqref="J89:J102">
    <cfRule type="expression" dxfId="2323" priority="13">
      <formula>J89&gt;0</formula>
    </cfRule>
    <cfRule type="expression" dxfId="2322" priority="14">
      <formula>J89&lt;0</formula>
    </cfRule>
  </conditionalFormatting>
  <conditionalFormatting sqref="K89:K102">
    <cfRule type="expression" dxfId="2321" priority="11">
      <formula>K89&gt;0</formula>
    </cfRule>
    <cfRule type="expression" dxfId="2320" priority="12">
      <formula>K89&lt;0</formula>
    </cfRule>
  </conditionalFormatting>
  <conditionalFormatting sqref="L89:L102">
    <cfRule type="expression" dxfId="2319" priority="9">
      <formula>L89&gt;0</formula>
    </cfRule>
    <cfRule type="expression" dxfId="2318" priority="10">
      <formula>L89&lt;0</formula>
    </cfRule>
  </conditionalFormatting>
  <conditionalFormatting sqref="F29 F25:F26">
    <cfRule type="expression" dxfId="2317" priority="7">
      <formula>F25&gt;0</formula>
    </cfRule>
    <cfRule type="expression" dxfId="2316" priority="8">
      <formula>F25&lt;0</formula>
    </cfRule>
  </conditionalFormatting>
  <conditionalFormatting sqref="H29 H25:H27">
    <cfRule type="expression" dxfId="2315" priority="5">
      <formula>H25&gt;0</formula>
    </cfRule>
    <cfRule type="expression" dxfId="2314" priority="6">
      <formula>H25&lt;0</formula>
    </cfRule>
  </conditionalFormatting>
  <conditionalFormatting sqref="F27:F28">
    <cfRule type="expression" dxfId="2313" priority="3">
      <formula>F27&gt;0</formula>
    </cfRule>
    <cfRule type="expression" dxfId="2312" priority="4">
      <formula>F27&lt;0</formula>
    </cfRule>
  </conditionalFormatting>
  <conditionalFormatting sqref="H28">
    <cfRule type="expression" dxfId="2311" priority="1">
      <formula>H28&gt;0</formula>
    </cfRule>
    <cfRule type="expression" dxfId="2310"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9" priority="35">
      <formula>F47&gt;0</formula>
    </cfRule>
    <cfRule type="expression" dxfId="2308" priority="36">
      <formula>F47&lt;0</formula>
    </cfRule>
  </conditionalFormatting>
  <conditionalFormatting sqref="Q7">
    <cfRule type="expression" dxfId="2307" priority="33">
      <formula>Q7&gt;0</formula>
    </cfRule>
    <cfRule type="expression" dxfId="2306" priority="34">
      <formula>Q7&lt;0</formula>
    </cfRule>
  </conditionalFormatting>
  <conditionalFormatting sqref="Q8">
    <cfRule type="expression" dxfId="2305" priority="31">
      <formula>Q8&gt;0</formula>
    </cfRule>
    <cfRule type="expression" dxfId="2304" priority="32">
      <formula>Q8&lt;0</formula>
    </cfRule>
  </conditionalFormatting>
  <conditionalFormatting sqref="F30:F46">
    <cfRule type="expression" dxfId="2303" priority="29">
      <formula>F30&gt;0</formula>
    </cfRule>
    <cfRule type="expression" dxfId="2302" priority="30">
      <formula>F30&lt;0</formula>
    </cfRule>
  </conditionalFormatting>
  <conditionalFormatting sqref="H30:H46">
    <cfRule type="expression" dxfId="2301" priority="27">
      <formula>H30&gt;0</formula>
    </cfRule>
    <cfRule type="expression" dxfId="2300" priority="28">
      <formula>H30&lt;0</formula>
    </cfRule>
  </conditionalFormatting>
  <conditionalFormatting sqref="Q10">
    <cfRule type="expression" dxfId="2299" priority="25">
      <formula>Q10&gt;0</formula>
    </cfRule>
    <cfRule type="expression" dxfId="2298" priority="26">
      <formula>Q10&lt;0</formula>
    </cfRule>
  </conditionalFormatting>
  <conditionalFormatting sqref="J25:J38">
    <cfRule type="expression" dxfId="2297" priority="23">
      <formula>J25&gt;0</formula>
    </cfRule>
    <cfRule type="expression" dxfId="2296" priority="24">
      <formula>J25&lt;0</formula>
    </cfRule>
  </conditionalFormatting>
  <conditionalFormatting sqref="K25:K38">
    <cfRule type="expression" dxfId="2295" priority="21">
      <formula>K25&gt;0</formula>
    </cfRule>
    <cfRule type="expression" dxfId="2294" priority="22">
      <formula>K25&lt;0</formula>
    </cfRule>
  </conditionalFormatting>
  <conditionalFormatting sqref="L25 L38">
    <cfRule type="expression" dxfId="2293" priority="19">
      <formula>L25&gt;0</formula>
    </cfRule>
    <cfRule type="expression" dxfId="2292" priority="20">
      <formula>L25&lt;0</formula>
    </cfRule>
  </conditionalFormatting>
  <conditionalFormatting sqref="F89:F110">
    <cfRule type="expression" dxfId="2291" priority="17">
      <formula>F89&gt;0</formula>
    </cfRule>
    <cfRule type="expression" dxfId="2290" priority="18">
      <formula>F89&lt;0</formula>
    </cfRule>
  </conditionalFormatting>
  <conditionalFormatting sqref="H89:H110">
    <cfRule type="expression" dxfId="2289" priority="15">
      <formula>H89&gt;0</formula>
    </cfRule>
    <cfRule type="expression" dxfId="2288" priority="16">
      <formula>H89&lt;0</formula>
    </cfRule>
  </conditionalFormatting>
  <conditionalFormatting sqref="J89:J102">
    <cfRule type="expression" dxfId="2287" priority="13">
      <formula>J89&gt;0</formula>
    </cfRule>
    <cfRule type="expression" dxfId="2286" priority="14">
      <formula>J89&lt;0</formula>
    </cfRule>
  </conditionalFormatting>
  <conditionalFormatting sqref="K89:K102">
    <cfRule type="expression" dxfId="2285" priority="11">
      <formula>K89&gt;0</formula>
    </cfRule>
    <cfRule type="expression" dxfId="2284" priority="12">
      <formula>K89&lt;0</formula>
    </cfRule>
  </conditionalFormatting>
  <conditionalFormatting sqref="L89:L102">
    <cfRule type="expression" dxfId="2283" priority="9">
      <formula>L89&gt;0</formula>
    </cfRule>
    <cfRule type="expression" dxfId="2282" priority="10">
      <formula>L89&lt;0</formula>
    </cfRule>
  </conditionalFormatting>
  <conditionalFormatting sqref="F29 F25:F26">
    <cfRule type="expression" dxfId="2281" priority="7">
      <formula>F25&gt;0</formula>
    </cfRule>
    <cfRule type="expression" dxfId="2280" priority="8">
      <formula>F25&lt;0</formula>
    </cfRule>
  </conditionalFormatting>
  <conditionalFormatting sqref="H29 H25:H27">
    <cfRule type="expression" dxfId="2279" priority="5">
      <formula>H25&gt;0</formula>
    </cfRule>
    <cfRule type="expression" dxfId="2278" priority="6">
      <formula>H25&lt;0</formula>
    </cfRule>
  </conditionalFormatting>
  <conditionalFormatting sqref="F27:F28">
    <cfRule type="expression" dxfId="2277" priority="3">
      <formula>F27&gt;0</formula>
    </cfRule>
    <cfRule type="expression" dxfId="2276" priority="4">
      <formula>F27&lt;0</formula>
    </cfRule>
  </conditionalFormatting>
  <conditionalFormatting sqref="H28">
    <cfRule type="expression" dxfId="2275" priority="1">
      <formula>H28&gt;0</formula>
    </cfRule>
    <cfRule type="expression" dxfId="2274"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142.76</v>
      </c>
      <c r="R4" s="425">
        <v>-1.1999999999999999E-3</v>
      </c>
      <c r="T4" s="693"/>
      <c r="U4" s="30"/>
    </row>
    <row r="5" spans="1:21" x14ac:dyDescent="0.25">
      <c r="B5" s="72"/>
      <c r="C5" s="4"/>
      <c r="D5" s="3"/>
      <c r="E5" s="3"/>
      <c r="F5" s="3"/>
      <c r="G5" s="72"/>
      <c r="H5" s="161"/>
      <c r="I5" s="3"/>
      <c r="J5" s="3"/>
      <c r="K5" s="3"/>
      <c r="L5" s="4"/>
      <c r="M5" s="4"/>
      <c r="O5" s="11" t="s">
        <v>67</v>
      </c>
      <c r="Q5" s="3">
        <f>Q4*Q2</f>
        <v>3569</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-97.25</v>
      </c>
      <c r="R7">
        <v>25</v>
      </c>
      <c r="T7" s="1"/>
    </row>
    <row r="8" spans="1:21" x14ac:dyDescent="0.25">
      <c r="B8" s="72"/>
      <c r="C8" s="4"/>
      <c r="D8" s="3"/>
      <c r="E8" s="3"/>
      <c r="F8" s="3"/>
      <c r="G8" s="72"/>
      <c r="H8" s="161"/>
      <c r="I8" s="3"/>
      <c r="J8" s="3"/>
      <c r="K8" s="3"/>
      <c r="L8" s="4"/>
      <c r="M8" s="4"/>
      <c r="O8" s="11" t="s">
        <v>179</v>
      </c>
      <c r="P8" s="33"/>
      <c r="Q8" s="2">
        <f>K18+M18-F18+Q2*Q4</f>
        <v>-97.25</v>
      </c>
    </row>
    <row r="9" spans="1:21" x14ac:dyDescent="0.25">
      <c r="B9" s="4"/>
      <c r="C9" s="4"/>
      <c r="D9" s="3"/>
      <c r="E9" s="3"/>
      <c r="F9" s="3"/>
      <c r="G9" s="4"/>
      <c r="H9" s="161"/>
      <c r="I9" s="3"/>
      <c r="J9" s="3"/>
      <c r="K9" s="3"/>
      <c r="L9" s="4"/>
      <c r="M9" s="4"/>
      <c r="O9" s="11" t="s">
        <v>204</v>
      </c>
      <c r="Q9" s="134">
        <f>IF(Q2=0, 0, Q8/Q6)</f>
        <v>-2.6525741561541083E-2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6.1641916503222191E-3</v>
      </c>
      <c r="R11">
        <f>0.88/4</f>
        <v>0.22</v>
      </c>
    </row>
    <row r="12" spans="1:21" x14ac:dyDescent="0.25">
      <c r="H12" s="70"/>
      <c r="O12" s="11" t="s">
        <v>921</v>
      </c>
      <c r="Q12" s="1" t="s">
        <v>1341</v>
      </c>
    </row>
    <row r="13" spans="1:21" x14ac:dyDescent="0.25">
      <c r="H13" s="70"/>
      <c r="O13" s="11" t="s">
        <v>947</v>
      </c>
      <c r="Q13" s="2">
        <f>Q4/4.4</f>
        <v>32.445454545454538</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157.036</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155.60839999999999</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154.1808</v>
      </c>
    </row>
    <row r="20" spans="1:16" x14ac:dyDescent="0.25">
      <c r="O20" s="81">
        <v>1.07</v>
      </c>
      <c r="P20" s="81">
        <f t="shared" si="0"/>
        <v>152.75319999999999</v>
      </c>
    </row>
    <row r="21" spans="1:16" x14ac:dyDescent="0.25">
      <c r="O21" s="81">
        <v>1.06</v>
      </c>
      <c r="P21" s="81">
        <f t="shared" si="0"/>
        <v>151.32560000000001</v>
      </c>
    </row>
    <row r="22" spans="1:16" x14ac:dyDescent="0.25">
      <c r="O22" s="81">
        <v>1.05</v>
      </c>
      <c r="P22" s="81">
        <f t="shared" si="0"/>
        <v>149.898</v>
      </c>
    </row>
    <row r="23" spans="1:16" x14ac:dyDescent="0.25">
      <c r="O23" s="81">
        <v>1.04</v>
      </c>
      <c r="P23" s="81">
        <f t="shared" si="0"/>
        <v>148.47039999999998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147.0428</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145.61519999999999</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144.1876</v>
      </c>
    </row>
    <row r="27" spans="1:16" x14ac:dyDescent="0.25">
      <c r="B27" s="164"/>
      <c r="C27" s="10"/>
      <c r="D27" s="39"/>
      <c r="E27" s="39"/>
      <c r="F27" s="39"/>
      <c r="G27" s="39"/>
      <c r="H27" s="179"/>
      <c r="I27" s="39"/>
      <c r="J27" s="39"/>
      <c r="K27" s="39"/>
      <c r="L27" s="39"/>
      <c r="O27" s="81">
        <v>1</v>
      </c>
      <c r="P27" s="81">
        <f t="shared" si="0"/>
        <v>142.76</v>
      </c>
    </row>
    <row r="28" spans="1:16" x14ac:dyDescent="0.25">
      <c r="B28" s="164"/>
      <c r="C28" s="10"/>
      <c r="D28" s="39"/>
      <c r="E28" s="39"/>
      <c r="F28" s="39"/>
      <c r="G28" s="39"/>
      <c r="H28" s="179"/>
      <c r="I28" s="39"/>
      <c r="J28" s="39"/>
      <c r="K28" s="39"/>
      <c r="L28" s="39"/>
      <c r="O28" s="81">
        <v>0.99</v>
      </c>
      <c r="P28" s="81">
        <f t="shared" si="0"/>
        <v>141.33239999999998</v>
      </c>
    </row>
    <row r="29" spans="1:16" x14ac:dyDescent="0.25">
      <c r="B29" s="164"/>
      <c r="C29" s="10"/>
      <c r="D29" s="39"/>
      <c r="E29" s="39"/>
      <c r="F29" s="39"/>
      <c r="G29" s="39"/>
      <c r="H29" s="179"/>
      <c r="I29" s="39"/>
      <c r="J29" s="39"/>
      <c r="K29" s="39"/>
      <c r="L29" s="39"/>
      <c r="O29" s="81">
        <v>0.98</v>
      </c>
      <c r="P29" s="81">
        <f t="shared" si="0"/>
        <v>139.90479999999999</v>
      </c>
    </row>
    <row r="30" spans="1:16" x14ac:dyDescent="0.25">
      <c r="B30" s="164"/>
      <c r="C30" s="10"/>
      <c r="D30" s="39"/>
      <c r="E30" s="39"/>
      <c r="F30" s="39"/>
      <c r="G30" s="39"/>
      <c r="H30" s="179"/>
      <c r="I30" s="39"/>
      <c r="J30" s="39"/>
      <c r="K30" s="39"/>
      <c r="L30" s="39"/>
      <c r="O30" s="81">
        <v>0.97</v>
      </c>
      <c r="P30" s="81">
        <f t="shared" si="0"/>
        <v>138.47719999999998</v>
      </c>
    </row>
    <row r="31" spans="1:16" x14ac:dyDescent="0.25">
      <c r="B31" s="164"/>
      <c r="C31" s="10"/>
      <c r="D31" s="39"/>
      <c r="E31" s="39"/>
      <c r="F31" s="39"/>
      <c r="G31" s="39"/>
      <c r="H31" s="179"/>
      <c r="I31" s="39"/>
      <c r="J31" s="39"/>
      <c r="K31" s="39"/>
      <c r="L31" s="39"/>
      <c r="O31" s="81">
        <v>0.96</v>
      </c>
      <c r="P31" s="81">
        <f t="shared" si="0"/>
        <v>137.0496</v>
      </c>
    </row>
    <row r="32" spans="1:16" x14ac:dyDescent="0.25">
      <c r="B32" s="164"/>
      <c r="C32" s="10"/>
      <c r="D32" s="39"/>
      <c r="E32" s="39"/>
      <c r="F32" s="39"/>
      <c r="G32" s="39"/>
      <c r="H32" s="179"/>
      <c r="I32" s="39"/>
      <c r="J32" s="39"/>
      <c r="K32" s="39"/>
      <c r="L32" s="39"/>
      <c r="O32" s="81">
        <v>0.95</v>
      </c>
      <c r="P32" s="81">
        <f t="shared" si="0"/>
        <v>135.62199999999999</v>
      </c>
    </row>
    <row r="33" spans="2:17" x14ac:dyDescent="0.25">
      <c r="B33" s="164"/>
      <c r="C33" s="10"/>
      <c r="D33" s="39"/>
      <c r="E33" s="39"/>
      <c r="F33" s="39"/>
      <c r="G33" s="39"/>
      <c r="H33" s="179"/>
      <c r="I33" s="39"/>
      <c r="J33" s="39"/>
      <c r="K33" s="39"/>
      <c r="L33" s="39"/>
      <c r="O33" s="81">
        <v>0.94</v>
      </c>
      <c r="P33" s="81">
        <f t="shared" si="0"/>
        <v>134.19439999999997</v>
      </c>
    </row>
    <row r="34" spans="2:17" x14ac:dyDescent="0.25">
      <c r="B34" s="164"/>
      <c r="C34" s="10"/>
      <c r="D34" s="39"/>
      <c r="E34" s="39"/>
      <c r="F34" s="39"/>
      <c r="G34" s="39"/>
      <c r="H34" s="179"/>
      <c r="I34" s="39"/>
      <c r="J34" s="39"/>
      <c r="K34" s="39"/>
      <c r="L34" s="39"/>
      <c r="O34" s="81">
        <v>0.93</v>
      </c>
      <c r="P34" s="81">
        <f t="shared" si="0"/>
        <v>132.76679999999999</v>
      </c>
    </row>
    <row r="35" spans="2:17" x14ac:dyDescent="0.25">
      <c r="B35" s="164"/>
      <c r="C35" s="10"/>
      <c r="D35" s="39"/>
      <c r="E35" s="39"/>
      <c r="F35" s="39"/>
      <c r="G35" s="39"/>
      <c r="H35" s="179"/>
      <c r="I35" s="39"/>
      <c r="J35" s="39"/>
      <c r="K35" s="39"/>
      <c r="L35" s="39"/>
      <c r="O35" s="81">
        <v>0.92</v>
      </c>
      <c r="P35" s="81">
        <f t="shared" si="0"/>
        <v>131.33920000000001</v>
      </c>
    </row>
    <row r="36" spans="2:17" x14ac:dyDescent="0.25">
      <c r="B36" s="164"/>
      <c r="C36" s="10"/>
      <c r="D36" s="39"/>
      <c r="E36" s="39"/>
      <c r="F36" s="39"/>
      <c r="G36" s="39"/>
      <c r="H36" s="179"/>
      <c r="I36" s="39"/>
      <c r="J36" s="39"/>
      <c r="K36" s="39"/>
      <c r="L36" s="39"/>
      <c r="O36" s="81">
        <v>0.91</v>
      </c>
      <c r="P36" s="81">
        <f t="shared" si="0"/>
        <v>129.91159999999999</v>
      </c>
    </row>
    <row r="37" spans="2:17" x14ac:dyDescent="0.25">
      <c r="B37" s="164"/>
      <c r="C37" s="10"/>
      <c r="D37" s="39"/>
      <c r="E37" s="39"/>
      <c r="F37" s="39"/>
      <c r="G37" s="39"/>
      <c r="H37" s="179"/>
      <c r="I37" s="39"/>
      <c r="J37" s="39"/>
      <c r="K37" s="39"/>
      <c r="L37" s="39"/>
      <c r="O37" s="81">
        <v>0.9</v>
      </c>
      <c r="P37" s="81">
        <f t="shared" si="0"/>
        <v>128.48400000000001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73" priority="43">
      <formula>F54&gt;0</formula>
    </cfRule>
    <cfRule type="expression" dxfId="2272" priority="44">
      <formula>F54&lt;0</formula>
    </cfRule>
  </conditionalFormatting>
  <conditionalFormatting sqref="Q7">
    <cfRule type="expression" dxfId="2271" priority="41">
      <formula>Q7&gt;0</formula>
    </cfRule>
    <cfRule type="expression" dxfId="2270" priority="42">
      <formula>Q7&lt;0</formula>
    </cfRule>
  </conditionalFormatting>
  <conditionalFormatting sqref="Q8">
    <cfRule type="expression" dxfId="2269" priority="39">
      <formula>Q8&gt;0</formula>
    </cfRule>
    <cfRule type="expression" dxfId="2268" priority="40">
      <formula>Q8&lt;0</formula>
    </cfRule>
  </conditionalFormatting>
  <conditionalFormatting sqref="F33:F36 F38:F53">
    <cfRule type="expression" dxfId="2267" priority="37">
      <formula>F33&gt;0</formula>
    </cfRule>
    <cfRule type="expression" dxfId="2266" priority="38">
      <formula>F33&lt;0</formula>
    </cfRule>
  </conditionalFormatting>
  <conditionalFormatting sqref="H33:H36 H38:H53">
    <cfRule type="expression" dxfId="2265" priority="35">
      <formula>H33&gt;0</formula>
    </cfRule>
    <cfRule type="expression" dxfId="2264" priority="36">
      <formula>H33&lt;0</formula>
    </cfRule>
  </conditionalFormatting>
  <conditionalFormatting sqref="Q10">
    <cfRule type="expression" dxfId="2263" priority="33">
      <formula>Q10&gt;0</formula>
    </cfRule>
    <cfRule type="expression" dxfId="2262" priority="34">
      <formula>Q10&lt;0</formula>
    </cfRule>
  </conditionalFormatting>
  <conditionalFormatting sqref="J25:J37">
    <cfRule type="expression" dxfId="2261" priority="31">
      <formula>J25&gt;0</formula>
    </cfRule>
    <cfRule type="expression" dxfId="2260" priority="32">
      <formula>J25&lt;0</formula>
    </cfRule>
  </conditionalFormatting>
  <conditionalFormatting sqref="K25:K38">
    <cfRule type="expression" dxfId="2259" priority="29">
      <formula>K25&gt;0</formula>
    </cfRule>
    <cfRule type="expression" dxfId="2258" priority="30">
      <formula>K25&lt;0</formula>
    </cfRule>
  </conditionalFormatting>
  <conditionalFormatting sqref="L25">
    <cfRule type="expression" dxfId="2257" priority="27">
      <formula>L25&gt;0</formula>
    </cfRule>
    <cfRule type="expression" dxfId="2256" priority="28">
      <formula>L25&lt;0</formula>
    </cfRule>
  </conditionalFormatting>
  <conditionalFormatting sqref="F89:F110">
    <cfRule type="expression" dxfId="2255" priority="25">
      <formula>F89&gt;0</formula>
    </cfRule>
    <cfRule type="expression" dxfId="2254" priority="26">
      <formula>F89&lt;0</formula>
    </cfRule>
  </conditionalFormatting>
  <conditionalFormatting sqref="H89:H110">
    <cfRule type="expression" dxfId="2253" priority="23">
      <formula>H89&gt;0</formula>
    </cfRule>
    <cfRule type="expression" dxfId="2252" priority="24">
      <formula>H89&lt;0</formula>
    </cfRule>
  </conditionalFormatting>
  <conditionalFormatting sqref="J89:J102">
    <cfRule type="expression" dxfId="2251" priority="21">
      <formula>J89&gt;0</formula>
    </cfRule>
    <cfRule type="expression" dxfId="2250" priority="22">
      <formula>J89&lt;0</formula>
    </cfRule>
  </conditionalFormatting>
  <conditionalFormatting sqref="K89:K102">
    <cfRule type="expression" dxfId="2249" priority="19">
      <formula>K89&gt;0</formula>
    </cfRule>
    <cfRule type="expression" dxfId="2248" priority="20">
      <formula>K89&lt;0</formula>
    </cfRule>
  </conditionalFormatting>
  <conditionalFormatting sqref="L89:L102">
    <cfRule type="expression" dxfId="2247" priority="17">
      <formula>L89&gt;0</formula>
    </cfRule>
    <cfRule type="expression" dxfId="2246" priority="18">
      <formula>L89&lt;0</formula>
    </cfRule>
  </conditionalFormatting>
  <conditionalFormatting sqref="F29:F32">
    <cfRule type="expression" dxfId="2245" priority="15">
      <formula>F29&gt;0</formula>
    </cfRule>
    <cfRule type="expression" dxfId="2244" priority="16">
      <formula>F29&lt;0</formula>
    </cfRule>
  </conditionalFormatting>
  <conditionalFormatting sqref="H29:H32">
    <cfRule type="expression" dxfId="2243" priority="13">
      <formula>H29&gt;0</formula>
    </cfRule>
    <cfRule type="expression" dxfId="2242" priority="14">
      <formula>H29&lt;0</formula>
    </cfRule>
  </conditionalFormatting>
  <conditionalFormatting sqref="F25:F28">
    <cfRule type="expression" dxfId="2241" priority="11">
      <formula>F25&gt;0</formula>
    </cfRule>
    <cfRule type="expression" dxfId="2240" priority="12">
      <formula>F25&lt;0</formula>
    </cfRule>
  </conditionalFormatting>
  <conditionalFormatting sqref="H25:H28">
    <cfRule type="expression" dxfId="2239" priority="9">
      <formula>H25&gt;0</formula>
    </cfRule>
    <cfRule type="expression" dxfId="2238" priority="10">
      <formula>H25&lt;0</formula>
    </cfRule>
  </conditionalFormatting>
  <conditionalFormatting sqref="F37">
    <cfRule type="expression" dxfId="2237" priority="7">
      <formula>F37&gt;0</formula>
    </cfRule>
    <cfRule type="expression" dxfId="2236" priority="8">
      <formula>F37&lt;0</formula>
    </cfRule>
  </conditionalFormatting>
  <conditionalFormatting sqref="H37">
    <cfRule type="expression" dxfId="2235" priority="5">
      <formula>H37&gt;0</formula>
    </cfRule>
    <cfRule type="expression" dxfId="2234" priority="6">
      <formula>H37&lt;0</formula>
    </cfRule>
  </conditionalFormatting>
  <conditionalFormatting sqref="J49">
    <cfRule type="expression" dxfId="2233" priority="3">
      <formula>J49&gt;0</formula>
    </cfRule>
    <cfRule type="expression" dxfId="2232" priority="4">
      <formula>J49&lt;0</formula>
    </cfRule>
  </conditionalFormatting>
  <conditionalFormatting sqref="J38:J48">
    <cfRule type="expression" dxfId="2231" priority="1">
      <formula>J38&gt;0</formula>
    </cfRule>
    <cfRule type="expression" dxfId="2230"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9" priority="35">
      <formula>F47&gt;0</formula>
    </cfRule>
    <cfRule type="expression" dxfId="2228" priority="36">
      <formula>F47&lt;0</formula>
    </cfRule>
  </conditionalFormatting>
  <conditionalFormatting sqref="Q7">
    <cfRule type="expression" dxfId="2227" priority="33">
      <formula>Q7&gt;0</formula>
    </cfRule>
    <cfRule type="expression" dxfId="2226" priority="34">
      <formula>Q7&lt;0</formula>
    </cfRule>
  </conditionalFormatting>
  <conditionalFormatting sqref="Q8">
    <cfRule type="expression" dxfId="2225" priority="31">
      <formula>Q8&gt;0</formula>
    </cfRule>
    <cfRule type="expression" dxfId="2224" priority="32">
      <formula>Q8&lt;0</formula>
    </cfRule>
  </conditionalFormatting>
  <conditionalFormatting sqref="F30:F46">
    <cfRule type="expression" dxfId="2223" priority="29">
      <formula>F30&gt;0</formula>
    </cfRule>
    <cfRule type="expression" dxfId="2222" priority="30">
      <formula>F30&lt;0</formula>
    </cfRule>
  </conditionalFormatting>
  <conditionalFormatting sqref="H30:H46">
    <cfRule type="expression" dxfId="2221" priority="27">
      <formula>H30&gt;0</formula>
    </cfRule>
    <cfRule type="expression" dxfId="2220" priority="28">
      <formula>H30&lt;0</formula>
    </cfRule>
  </conditionalFormatting>
  <conditionalFormatting sqref="Q10">
    <cfRule type="expression" dxfId="2219" priority="25">
      <formula>Q10&gt;0</formula>
    </cfRule>
    <cfRule type="expression" dxfId="2218" priority="26">
      <formula>Q10&lt;0</formula>
    </cfRule>
  </conditionalFormatting>
  <conditionalFormatting sqref="J25:J38">
    <cfRule type="expression" dxfId="2217" priority="23">
      <formula>J25&gt;0</formula>
    </cfRule>
    <cfRule type="expression" dxfId="2216" priority="24">
      <formula>J25&lt;0</formula>
    </cfRule>
  </conditionalFormatting>
  <conditionalFormatting sqref="K25:K38">
    <cfRule type="expression" dxfId="2215" priority="21">
      <formula>K25&gt;0</formula>
    </cfRule>
    <cfRule type="expression" dxfId="2214" priority="22">
      <formula>K25&lt;0</formula>
    </cfRule>
  </conditionalFormatting>
  <conditionalFormatting sqref="L25 L38">
    <cfRule type="expression" dxfId="2213" priority="19">
      <formula>L25&gt;0</formula>
    </cfRule>
    <cfRule type="expression" dxfId="2212" priority="20">
      <formula>L25&lt;0</formula>
    </cfRule>
  </conditionalFormatting>
  <conditionalFormatting sqref="F89:F110">
    <cfRule type="expression" dxfId="2211" priority="17">
      <formula>F89&gt;0</formula>
    </cfRule>
    <cfRule type="expression" dxfId="2210" priority="18">
      <formula>F89&lt;0</formula>
    </cfRule>
  </conditionalFormatting>
  <conditionalFormatting sqref="H89:H110">
    <cfRule type="expression" dxfId="2209" priority="15">
      <formula>H89&gt;0</formula>
    </cfRule>
    <cfRule type="expression" dxfId="2208" priority="16">
      <formula>H89&lt;0</formula>
    </cfRule>
  </conditionalFormatting>
  <conditionalFormatting sqref="J89:J102">
    <cfRule type="expression" dxfId="2207" priority="13">
      <formula>J89&gt;0</formula>
    </cfRule>
    <cfRule type="expression" dxfId="2206" priority="14">
      <formula>J89&lt;0</formula>
    </cfRule>
  </conditionalFormatting>
  <conditionalFormatting sqref="K89:K102">
    <cfRule type="expression" dxfId="2205" priority="11">
      <formula>K89&gt;0</formula>
    </cfRule>
    <cfRule type="expression" dxfId="2204" priority="12">
      <formula>K89&lt;0</formula>
    </cfRule>
  </conditionalFormatting>
  <conditionalFormatting sqref="L89:L102">
    <cfRule type="expression" dxfId="2203" priority="9">
      <formula>L89&gt;0</formula>
    </cfRule>
    <cfRule type="expression" dxfId="2202" priority="10">
      <formula>L89&lt;0</formula>
    </cfRule>
  </conditionalFormatting>
  <conditionalFormatting sqref="F25:F29">
    <cfRule type="expression" dxfId="2201" priority="7">
      <formula>F25&gt;0</formula>
    </cfRule>
    <cfRule type="expression" dxfId="2200" priority="8">
      <formula>F25&lt;0</formula>
    </cfRule>
  </conditionalFormatting>
  <conditionalFormatting sqref="H25:H29">
    <cfRule type="expression" dxfId="2199" priority="5">
      <formula>H25&gt;0</formula>
    </cfRule>
    <cfRule type="expression" dxfId="2198"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197" priority="47">
      <formula>F54&gt;0</formula>
    </cfRule>
    <cfRule type="expression" dxfId="2196" priority="48">
      <formula>F54&lt;0</formula>
    </cfRule>
  </conditionalFormatting>
  <conditionalFormatting sqref="Q7">
    <cfRule type="expression" dxfId="2195" priority="45">
      <formula>Q7&gt;0</formula>
    </cfRule>
    <cfRule type="expression" dxfId="2194" priority="46">
      <formula>Q7&lt;0</formula>
    </cfRule>
  </conditionalFormatting>
  <conditionalFormatting sqref="Q8">
    <cfRule type="expression" dxfId="2193" priority="43">
      <formula>Q8&gt;0</formula>
    </cfRule>
    <cfRule type="expression" dxfId="2192" priority="44">
      <formula>Q8&lt;0</formula>
    </cfRule>
  </conditionalFormatting>
  <conditionalFormatting sqref="F33:F36 F38:F53">
    <cfRule type="expression" dxfId="2191" priority="41">
      <formula>F33&gt;0</formula>
    </cfRule>
    <cfRule type="expression" dxfId="2190" priority="42">
      <formula>F33&lt;0</formula>
    </cfRule>
  </conditionalFormatting>
  <conditionalFormatting sqref="H33:H36 H38:H53">
    <cfRule type="expression" dxfId="2189" priority="39">
      <formula>H33&gt;0</formula>
    </cfRule>
    <cfRule type="expression" dxfId="2188" priority="40">
      <formula>H33&lt;0</formula>
    </cfRule>
  </conditionalFormatting>
  <conditionalFormatting sqref="Q10">
    <cfRule type="expression" dxfId="2187" priority="37">
      <formula>Q10&gt;0</formula>
    </cfRule>
    <cfRule type="expression" dxfId="2186" priority="38">
      <formula>Q10&lt;0</formula>
    </cfRule>
  </conditionalFormatting>
  <conditionalFormatting sqref="J25:J37">
    <cfRule type="expression" dxfId="2185" priority="35">
      <formula>J25&gt;0</formula>
    </cfRule>
    <cfRule type="expression" dxfId="2184" priority="36">
      <formula>J25&lt;0</formula>
    </cfRule>
  </conditionalFormatting>
  <conditionalFormatting sqref="K25:K38">
    <cfRule type="expression" dxfId="2183" priority="33">
      <formula>K25&gt;0</formula>
    </cfRule>
    <cfRule type="expression" dxfId="2182" priority="34">
      <formula>K25&lt;0</formula>
    </cfRule>
  </conditionalFormatting>
  <conditionalFormatting sqref="L25">
    <cfRule type="expression" dxfId="2181" priority="31">
      <formula>L25&gt;0</formula>
    </cfRule>
    <cfRule type="expression" dxfId="2180" priority="32">
      <formula>L25&lt;0</formula>
    </cfRule>
  </conditionalFormatting>
  <conditionalFormatting sqref="F89:F110">
    <cfRule type="expression" dxfId="2179" priority="29">
      <formula>F89&gt;0</formula>
    </cfRule>
    <cfRule type="expression" dxfId="2178" priority="30">
      <formula>F89&lt;0</formula>
    </cfRule>
  </conditionalFormatting>
  <conditionalFormatting sqref="H89:H110">
    <cfRule type="expression" dxfId="2177" priority="27">
      <formula>H89&gt;0</formula>
    </cfRule>
    <cfRule type="expression" dxfId="2176" priority="28">
      <formula>H89&lt;0</formula>
    </cfRule>
  </conditionalFormatting>
  <conditionalFormatting sqref="J89:J102">
    <cfRule type="expression" dxfId="2175" priority="25">
      <formula>J89&gt;0</formula>
    </cfRule>
    <cfRule type="expression" dxfId="2174" priority="26">
      <formula>J89&lt;0</formula>
    </cfRule>
  </conditionalFormatting>
  <conditionalFormatting sqref="K89:K102">
    <cfRule type="expression" dxfId="2173" priority="23">
      <formula>K89&gt;0</formula>
    </cfRule>
    <cfRule type="expression" dxfId="2172" priority="24">
      <formula>K89&lt;0</formula>
    </cfRule>
  </conditionalFormatting>
  <conditionalFormatting sqref="L89:L102">
    <cfRule type="expression" dxfId="2171" priority="21">
      <formula>L89&gt;0</formula>
    </cfRule>
    <cfRule type="expression" dxfId="2170" priority="22">
      <formula>L89&lt;0</formula>
    </cfRule>
  </conditionalFormatting>
  <conditionalFormatting sqref="F30:F32">
    <cfRule type="expression" dxfId="2169" priority="19">
      <formula>F30&gt;0</formula>
    </cfRule>
    <cfRule type="expression" dxfId="2168" priority="20">
      <formula>F30&lt;0</formula>
    </cfRule>
  </conditionalFormatting>
  <conditionalFormatting sqref="H30:H32">
    <cfRule type="expression" dxfId="2167" priority="17">
      <formula>H30&gt;0</formula>
    </cfRule>
    <cfRule type="expression" dxfId="2166" priority="18">
      <formula>H30&lt;0</formula>
    </cfRule>
  </conditionalFormatting>
  <conditionalFormatting sqref="F25:F27">
    <cfRule type="expression" dxfId="2165" priority="15">
      <formula>F25&gt;0</formula>
    </cfRule>
    <cfRule type="expression" dxfId="2164" priority="16">
      <formula>F25&lt;0</formula>
    </cfRule>
  </conditionalFormatting>
  <conditionalFormatting sqref="H25:H27">
    <cfRule type="expression" dxfId="2163" priority="13">
      <formula>H25&gt;0</formula>
    </cfRule>
    <cfRule type="expression" dxfId="2162" priority="14">
      <formula>H25&lt;0</formula>
    </cfRule>
  </conditionalFormatting>
  <conditionalFormatting sqref="F37">
    <cfRule type="expression" dxfId="2161" priority="11">
      <formula>F37&gt;0</formula>
    </cfRule>
    <cfRule type="expression" dxfId="2160" priority="12">
      <formula>F37&lt;0</formula>
    </cfRule>
  </conditionalFormatting>
  <conditionalFormatting sqref="H37">
    <cfRule type="expression" dxfId="2159" priority="9">
      <formula>H37&gt;0</formula>
    </cfRule>
    <cfRule type="expression" dxfId="2158" priority="10">
      <formula>H37&lt;0</formula>
    </cfRule>
  </conditionalFormatting>
  <conditionalFormatting sqref="J49">
    <cfRule type="expression" dxfId="2157" priority="7">
      <formula>J49&gt;0</formula>
    </cfRule>
    <cfRule type="expression" dxfId="2156" priority="8">
      <formula>J49&lt;0</formula>
    </cfRule>
  </conditionalFormatting>
  <conditionalFormatting sqref="J38:J48">
    <cfRule type="expression" dxfId="2155" priority="5">
      <formula>J38&gt;0</formula>
    </cfRule>
    <cfRule type="expression" dxfId="2154" priority="6">
      <formula>J38&lt;0</formula>
    </cfRule>
  </conditionalFormatting>
  <conditionalFormatting sqref="F28:F29">
    <cfRule type="expression" dxfId="2153" priority="3">
      <formula>F28&gt;0</formula>
    </cfRule>
    <cfRule type="expression" dxfId="2152" priority="4">
      <formula>F28&lt;0</formula>
    </cfRule>
  </conditionalFormatting>
  <conditionalFormatting sqref="H28:H29">
    <cfRule type="expression" dxfId="2151" priority="1">
      <formula>H28&gt;0</formula>
    </cfRule>
    <cfRule type="expression" dxfId="215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49" priority="35">
      <formula>F47&gt;0</formula>
    </cfRule>
    <cfRule type="expression" dxfId="2148" priority="36">
      <formula>F47&lt;0</formula>
    </cfRule>
  </conditionalFormatting>
  <conditionalFormatting sqref="Q7">
    <cfRule type="expression" dxfId="2147" priority="33">
      <formula>Q7&gt;0</formula>
    </cfRule>
    <cfRule type="expression" dxfId="2146" priority="34">
      <formula>Q7&lt;0</formula>
    </cfRule>
  </conditionalFormatting>
  <conditionalFormatting sqref="Q8">
    <cfRule type="expression" dxfId="2145" priority="31">
      <formula>Q8&gt;0</formula>
    </cfRule>
    <cfRule type="expression" dxfId="2144" priority="32">
      <formula>Q8&lt;0</formula>
    </cfRule>
  </conditionalFormatting>
  <conditionalFormatting sqref="F30:F46">
    <cfRule type="expression" dxfId="2143" priority="29">
      <formula>F30&gt;0</formula>
    </cfRule>
    <cfRule type="expression" dxfId="2142" priority="30">
      <formula>F30&lt;0</formula>
    </cfRule>
  </conditionalFormatting>
  <conditionalFormatting sqref="H30:H46">
    <cfRule type="expression" dxfId="2141" priority="27">
      <formula>H30&gt;0</formula>
    </cfRule>
    <cfRule type="expression" dxfId="2140" priority="28">
      <formula>H30&lt;0</formula>
    </cfRule>
  </conditionalFormatting>
  <conditionalFormatting sqref="Q10">
    <cfRule type="expression" dxfId="2139" priority="25">
      <formula>Q10&gt;0</formula>
    </cfRule>
    <cfRule type="expression" dxfId="2138" priority="26">
      <formula>Q10&lt;0</formula>
    </cfRule>
  </conditionalFormatting>
  <conditionalFormatting sqref="J25:J38">
    <cfRule type="expression" dxfId="2137" priority="23">
      <formula>J25&gt;0</formula>
    </cfRule>
    <cfRule type="expression" dxfId="2136" priority="24">
      <formula>J25&lt;0</formula>
    </cfRule>
  </conditionalFormatting>
  <conditionalFormatting sqref="K25:K38">
    <cfRule type="expression" dxfId="2135" priority="21">
      <formula>K25&gt;0</formula>
    </cfRule>
    <cfRule type="expression" dxfId="2134" priority="22">
      <formula>K25&lt;0</formula>
    </cfRule>
  </conditionalFormatting>
  <conditionalFormatting sqref="L25 L38">
    <cfRule type="expression" dxfId="2133" priority="19">
      <formula>L25&gt;0</formula>
    </cfRule>
    <cfRule type="expression" dxfId="2132" priority="20">
      <formula>L25&lt;0</formula>
    </cfRule>
  </conditionalFormatting>
  <conditionalFormatting sqref="F89:F110">
    <cfRule type="expression" dxfId="2131" priority="17">
      <formula>F89&gt;0</formula>
    </cfRule>
    <cfRule type="expression" dxfId="2130" priority="18">
      <formula>F89&lt;0</formula>
    </cfRule>
  </conditionalFormatting>
  <conditionalFormatting sqref="H89:H110">
    <cfRule type="expression" dxfId="2129" priority="15">
      <formula>H89&gt;0</formula>
    </cfRule>
    <cfRule type="expression" dxfId="2128" priority="16">
      <formula>H89&lt;0</formula>
    </cfRule>
  </conditionalFormatting>
  <conditionalFormatting sqref="J89:J102">
    <cfRule type="expression" dxfId="2127" priority="13">
      <formula>J89&gt;0</formula>
    </cfRule>
    <cfRule type="expression" dxfId="2126" priority="14">
      <formula>J89&lt;0</formula>
    </cfRule>
  </conditionalFormatting>
  <conditionalFormatting sqref="K89:K102">
    <cfRule type="expression" dxfId="2125" priority="11">
      <formula>K89&gt;0</formula>
    </cfRule>
    <cfRule type="expression" dxfId="2124" priority="12">
      <formula>K89&lt;0</formula>
    </cfRule>
  </conditionalFormatting>
  <conditionalFormatting sqref="L89:L102">
    <cfRule type="expression" dxfId="2123" priority="9">
      <formula>L89&gt;0</formula>
    </cfRule>
    <cfRule type="expression" dxfId="2122" priority="10">
      <formula>L89&lt;0</formula>
    </cfRule>
  </conditionalFormatting>
  <conditionalFormatting sqref="F25 F29">
    <cfRule type="expression" dxfId="2121" priority="7">
      <formula>F25&gt;0</formula>
    </cfRule>
    <cfRule type="expression" dxfId="2120" priority="8">
      <formula>F25&lt;0</formula>
    </cfRule>
  </conditionalFormatting>
  <conditionalFormatting sqref="H29 H25:H27">
    <cfRule type="expression" dxfId="2119" priority="5">
      <formula>H25&gt;0</formula>
    </cfRule>
    <cfRule type="expression" dxfId="2118" priority="6">
      <formula>H25&lt;0</formula>
    </cfRule>
  </conditionalFormatting>
  <conditionalFormatting sqref="F26:F28">
    <cfRule type="expression" dxfId="2117" priority="3">
      <formula>F26&gt;0</formula>
    </cfRule>
    <cfRule type="expression" dxfId="2116" priority="4">
      <formula>F26&lt;0</formula>
    </cfRule>
  </conditionalFormatting>
  <conditionalFormatting sqref="H28">
    <cfRule type="expression" dxfId="2115" priority="1">
      <formula>H28&gt;0</formula>
    </cfRule>
    <cfRule type="expression" dxfId="211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13" priority="127">
      <formula>F141&gt;0</formula>
    </cfRule>
    <cfRule type="expression" dxfId="2112" priority="128">
      <formula>F141&lt;0</formula>
    </cfRule>
  </conditionalFormatting>
  <conditionalFormatting sqref="F198:F211 F214:F258 F261:F262">
    <cfRule type="expression" dxfId="2111" priority="123">
      <formula>F198&gt;0</formula>
    </cfRule>
    <cfRule type="expression" dxfId="2110" priority="124">
      <formula>F198&lt;0</formula>
    </cfRule>
  </conditionalFormatting>
  <conditionalFormatting sqref="F198:F211 F214:F258 F261:F262">
    <cfRule type="expression" dxfId="2109" priority="125">
      <formula>F198&gt;0</formula>
    </cfRule>
    <cfRule type="expression" dxfId="2108" priority="126">
      <formula>F198&lt;0</formula>
    </cfRule>
  </conditionalFormatting>
  <conditionalFormatting sqref="H193:H211 H214:H258 H261:H262">
    <cfRule type="expression" dxfId="2107" priority="121">
      <formula>H193&gt;0</formula>
    </cfRule>
    <cfRule type="expression" dxfId="2106" priority="122">
      <formula>H193&lt;0</formula>
    </cfRule>
  </conditionalFormatting>
  <conditionalFormatting sqref="F189:F192">
    <cfRule type="expression" dxfId="2105" priority="115">
      <formula>F189&gt;0</formula>
    </cfRule>
    <cfRule type="expression" dxfId="2104" priority="116">
      <formula>F189&lt;0</formula>
    </cfRule>
  </conditionalFormatting>
  <conditionalFormatting sqref="H189:H192">
    <cfRule type="expression" dxfId="2103" priority="113">
      <formula>H189&gt;0</formula>
    </cfRule>
    <cfRule type="expression" dxfId="2102" priority="114">
      <formula>H189&lt;0</formula>
    </cfRule>
  </conditionalFormatting>
  <conditionalFormatting sqref="Q8">
    <cfRule type="expression" dxfId="2101" priority="109">
      <formula>Q8&gt;0</formula>
    </cfRule>
    <cfRule type="expression" dxfId="2100" priority="110">
      <formula>Q8&lt;0</formula>
    </cfRule>
  </conditionalFormatting>
  <conditionalFormatting sqref="Q7">
    <cfRule type="expression" dxfId="2099" priority="111">
      <formula>Q7&gt;0</formula>
    </cfRule>
    <cfRule type="expression" dxfId="2098" priority="112">
      <formula>Q7&lt;0</formula>
    </cfRule>
  </conditionalFormatting>
  <conditionalFormatting sqref="F212">
    <cfRule type="expression" dxfId="2097" priority="105">
      <formula>F212&gt;0</formula>
    </cfRule>
    <cfRule type="expression" dxfId="2096" priority="106">
      <formula>F212&lt;0</formula>
    </cfRule>
  </conditionalFormatting>
  <conditionalFormatting sqref="F212">
    <cfRule type="expression" dxfId="2095" priority="107">
      <formula>F212&gt;0</formula>
    </cfRule>
    <cfRule type="expression" dxfId="2094" priority="108">
      <formula>F212&lt;0</formula>
    </cfRule>
  </conditionalFormatting>
  <conditionalFormatting sqref="H212">
    <cfRule type="expression" dxfId="2093" priority="103">
      <formula>H212&gt;0</formula>
    </cfRule>
    <cfRule type="expression" dxfId="2092" priority="104">
      <formula>H212&lt;0</formula>
    </cfRule>
  </conditionalFormatting>
  <conditionalFormatting sqref="F213">
    <cfRule type="expression" dxfId="2091" priority="99">
      <formula>F213&gt;0</formula>
    </cfRule>
    <cfRule type="expression" dxfId="2090" priority="100">
      <formula>F213&lt;0</formula>
    </cfRule>
  </conditionalFormatting>
  <conditionalFormatting sqref="F213">
    <cfRule type="expression" dxfId="2089" priority="101">
      <formula>F213&gt;0</formula>
    </cfRule>
    <cfRule type="expression" dxfId="2088" priority="102">
      <formula>F213&lt;0</formula>
    </cfRule>
  </conditionalFormatting>
  <conditionalFormatting sqref="H213">
    <cfRule type="expression" dxfId="2087" priority="97">
      <formula>H213&gt;0</formula>
    </cfRule>
    <cfRule type="expression" dxfId="2086" priority="98">
      <formula>H213&lt;0</formula>
    </cfRule>
  </conditionalFormatting>
  <conditionalFormatting sqref="F259:F260">
    <cfRule type="expression" dxfId="2085" priority="93">
      <formula>F259&gt;0</formula>
    </cfRule>
    <cfRule type="expression" dxfId="2084" priority="94">
      <formula>F259&lt;0</formula>
    </cfRule>
  </conditionalFormatting>
  <conditionalFormatting sqref="F259:F260">
    <cfRule type="expression" dxfId="2083" priority="95">
      <formula>F259&gt;0</formula>
    </cfRule>
    <cfRule type="expression" dxfId="2082" priority="96">
      <formula>F259&lt;0</formula>
    </cfRule>
  </conditionalFormatting>
  <conditionalFormatting sqref="H259:H260">
    <cfRule type="expression" dxfId="2081" priority="91">
      <formula>H259&gt;0</formula>
    </cfRule>
    <cfRule type="expression" dxfId="2080" priority="92">
      <formula>H259&lt;0</formula>
    </cfRule>
  </conditionalFormatting>
  <conditionalFormatting sqref="F66:F81">
    <cfRule type="expression" dxfId="2079" priority="89">
      <formula>F66&gt;0</formula>
    </cfRule>
    <cfRule type="expression" dxfId="2078" priority="90">
      <formula>F66&lt;0</formula>
    </cfRule>
  </conditionalFormatting>
  <conditionalFormatting sqref="H66:H81">
    <cfRule type="expression" dxfId="2077" priority="87">
      <formula>H66&gt;0</formula>
    </cfRule>
    <cfRule type="expression" dxfId="2076" priority="88">
      <formula>H66&lt;0</formula>
    </cfRule>
  </conditionalFormatting>
  <conditionalFormatting sqref="Q10">
    <cfRule type="expression" dxfId="2075" priority="85">
      <formula>Q10&gt;0</formula>
    </cfRule>
    <cfRule type="expression" dxfId="2074" priority="86">
      <formula>Q10&lt;0</formula>
    </cfRule>
  </conditionalFormatting>
  <conditionalFormatting sqref="J76">
    <cfRule type="expression" dxfId="2073" priority="83">
      <formula>J76&gt;0</formula>
    </cfRule>
    <cfRule type="expression" dxfId="2072" priority="84">
      <formula>J76&lt;0</formula>
    </cfRule>
  </conditionalFormatting>
  <conditionalFormatting sqref="F83:F91">
    <cfRule type="expression" dxfId="2071" priority="77">
      <formula>F83&gt;0</formula>
    </cfRule>
    <cfRule type="expression" dxfId="2070" priority="78">
      <formula>F83&lt;0</formula>
    </cfRule>
  </conditionalFormatting>
  <conditionalFormatting sqref="H83:H91">
    <cfRule type="expression" dxfId="2069" priority="75">
      <formula>H83&gt;0</formula>
    </cfRule>
    <cfRule type="expression" dxfId="2068" priority="76">
      <formula>H83&lt;0</formula>
    </cfRule>
  </conditionalFormatting>
  <conditionalFormatting sqref="R4">
    <cfRule type="expression" dxfId="2067" priority="73">
      <formula>R4&gt;0</formula>
    </cfRule>
    <cfRule type="expression" dxfId="2066" priority="74">
      <formula>R4&lt;0</formula>
    </cfRule>
  </conditionalFormatting>
  <conditionalFormatting sqref="Q9">
    <cfRule type="expression" dxfId="2065" priority="71">
      <formula>Q9&gt;0</formula>
    </cfRule>
    <cfRule type="expression" dxfId="2064" priority="72">
      <formula>Q9&lt;0</formula>
    </cfRule>
  </conditionalFormatting>
  <conditionalFormatting sqref="F92:F115">
    <cfRule type="expression" dxfId="2063" priority="67">
      <formula>F92&gt;0</formula>
    </cfRule>
    <cfRule type="expression" dxfId="2062" priority="68">
      <formula>F92&lt;0</formula>
    </cfRule>
  </conditionalFormatting>
  <conditionalFormatting sqref="H92:H115">
    <cfRule type="expression" dxfId="2061" priority="65">
      <formula>H92&gt;0</formula>
    </cfRule>
    <cfRule type="expression" dxfId="206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59" priority="61">
      <formula>F116&gt;0</formula>
    </cfRule>
    <cfRule type="expression" dxfId="2058" priority="62">
      <formula>F116&lt;0</formula>
    </cfRule>
  </conditionalFormatting>
  <conditionalFormatting sqref="H116:H140">
    <cfRule type="expression" dxfId="2057" priority="59">
      <formula>H116&gt;0</formula>
    </cfRule>
    <cfRule type="expression" dxfId="2056" priority="60">
      <formula>H116&lt;0</formula>
    </cfRule>
  </conditionalFormatting>
  <conditionalFormatting sqref="H150:H151 F150:F151">
    <cfRule type="expression" dxfId="2055" priority="41">
      <formula>F150&gt;0</formula>
    </cfRule>
    <cfRule type="expression" dxfId="2054" priority="42">
      <formula>F150&lt;0</formula>
    </cfRule>
  </conditionalFormatting>
  <conditionalFormatting sqref="H145:H149 F145:F149">
    <cfRule type="expression" dxfId="2053" priority="39">
      <formula>F145&gt;0</formula>
    </cfRule>
    <cfRule type="expression" dxfId="2052" priority="40">
      <formula>F145&lt;0</formula>
    </cfRule>
  </conditionalFormatting>
  <conditionalFormatting sqref="F82">
    <cfRule type="expression" dxfId="2051" priority="37">
      <formula>F82&gt;0</formula>
    </cfRule>
    <cfRule type="expression" dxfId="2050" priority="38">
      <formula>F82&lt;0</formula>
    </cfRule>
  </conditionalFormatting>
  <conditionalFormatting sqref="H82">
    <cfRule type="expression" dxfId="2049" priority="35">
      <formula>H82&gt;0</formula>
    </cfRule>
    <cfRule type="expression" dxfId="2048" priority="36">
      <formula>H82&lt;0</formula>
    </cfRule>
  </conditionalFormatting>
  <conditionalFormatting sqref="F173:F175 H173:H175">
    <cfRule type="expression" dxfId="2047" priority="33">
      <formula>F173&gt;0</formula>
    </cfRule>
    <cfRule type="expression" dxfId="2046" priority="34">
      <formula>F173&lt;0</formula>
    </cfRule>
  </conditionalFormatting>
  <conditionalFormatting sqref="F162:F166 H162:H166">
    <cfRule type="expression" dxfId="2045" priority="29">
      <formula>F162&gt;0</formula>
    </cfRule>
    <cfRule type="expression" dxfId="2044" priority="30">
      <formula>F162&lt;0</formula>
    </cfRule>
  </conditionalFormatting>
  <conditionalFormatting sqref="F159:F161 H159:H161">
    <cfRule type="expression" dxfId="2043" priority="25">
      <formula>F159&gt;0</formula>
    </cfRule>
    <cfRule type="expression" dxfId="2042" priority="26">
      <formula>F159&lt;0</formula>
    </cfRule>
  </conditionalFormatting>
  <conditionalFormatting sqref="F156:F158 H156:H158">
    <cfRule type="expression" dxfId="2041" priority="23">
      <formula>F156&gt;0</formula>
    </cfRule>
    <cfRule type="expression" dxfId="2040" priority="24">
      <formula>F156&lt;0</formula>
    </cfRule>
  </conditionalFormatting>
  <conditionalFormatting sqref="F155 H155">
    <cfRule type="expression" dxfId="2039" priority="21">
      <formula>F155&gt;0</formula>
    </cfRule>
    <cfRule type="expression" dxfId="2038" priority="22">
      <formula>F155&lt;0</formula>
    </cfRule>
  </conditionalFormatting>
  <conditionalFormatting sqref="F168:F170 H168:H170 K66:K170">
    <cfRule type="expression" dxfId="2037" priority="19">
      <formula>F66&gt;0</formula>
    </cfRule>
    <cfRule type="expression" dxfId="2036" priority="20">
      <formula>F66&lt;0</formula>
    </cfRule>
  </conditionalFormatting>
  <conditionalFormatting sqref="F167 H167">
    <cfRule type="expression" dxfId="2035" priority="17">
      <formula>F167&gt;0</formula>
    </cfRule>
    <cfRule type="expression" dxfId="2034" priority="18">
      <formula>F167&lt;0</formula>
    </cfRule>
  </conditionalFormatting>
  <conditionalFormatting sqref="F171:F172 H171:H172 K171:K172">
    <cfRule type="expression" dxfId="2033" priority="15">
      <formula>F171&gt;0</formula>
    </cfRule>
    <cfRule type="expression" dxfId="2032" priority="16">
      <formula>F171&lt;0</formula>
    </cfRule>
  </conditionalFormatting>
  <conditionalFormatting sqref="F178:F180 H178:H180 K178:K180">
    <cfRule type="expression" dxfId="2031" priority="11">
      <formula>F178&gt;0</formula>
    </cfRule>
    <cfRule type="expression" dxfId="2030" priority="12">
      <formula>F178&lt;0</formula>
    </cfRule>
  </conditionalFormatting>
  <conditionalFormatting sqref="F176:F177 H176:H177 K176:K177">
    <cfRule type="expression" dxfId="2029" priority="9">
      <formula>F176&gt;0</formula>
    </cfRule>
    <cfRule type="expression" dxfId="2028" priority="10">
      <formula>F176&lt;0</formula>
    </cfRule>
  </conditionalFormatting>
  <conditionalFormatting sqref="F184:F185 H184:H185 K184:K185">
    <cfRule type="expression" dxfId="2027" priority="5">
      <formula>F184&gt;0</formula>
    </cfRule>
    <cfRule type="expression" dxfId="2026" priority="6">
      <formula>F184&lt;0</formula>
    </cfRule>
  </conditionalFormatting>
  <conditionalFormatting sqref="F182:F183 H182:H183 K182:K183">
    <cfRule type="expression" dxfId="2025" priority="3">
      <formula>F182&gt;0</formula>
    </cfRule>
    <cfRule type="expression" dxfId="2024" priority="4">
      <formula>F182&lt;0</formula>
    </cfRule>
  </conditionalFormatting>
  <conditionalFormatting sqref="F181 H181 K181">
    <cfRule type="expression" dxfId="2023" priority="1">
      <formula>F181&gt;0</formula>
    </cfRule>
    <cfRule type="expression" dxfId="202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21" priority="31">
      <formula>Q7&gt;0</formula>
    </cfRule>
    <cfRule type="expression" dxfId="2020" priority="32">
      <formula>Q7&lt;0</formula>
    </cfRule>
  </conditionalFormatting>
  <conditionalFormatting sqref="Q8">
    <cfRule type="expression" dxfId="2019" priority="29">
      <formula>Q8&gt;0</formula>
    </cfRule>
    <cfRule type="expression" dxfId="2018" priority="30">
      <formula>Q8&lt;0</formula>
    </cfRule>
  </conditionalFormatting>
  <conditionalFormatting sqref="F62:F65">
    <cfRule type="expression" dxfId="2017" priority="21">
      <formula>F62&gt;0</formula>
    </cfRule>
    <cfRule type="expression" dxfId="2016" priority="22">
      <formula>F62&lt;0</formula>
    </cfRule>
  </conditionalFormatting>
  <conditionalFormatting sqref="F66:F74 F78:F98 F102:F106">
    <cfRule type="expression" dxfId="2015" priority="17">
      <formula>F66&gt;0</formula>
    </cfRule>
    <cfRule type="expression" dxfId="2014" priority="18">
      <formula>F66&lt;0</formula>
    </cfRule>
  </conditionalFormatting>
  <conditionalFormatting sqref="F66:F74 F78:F98 F102:F106">
    <cfRule type="expression" dxfId="2013" priority="19">
      <formula>F66&gt;0</formula>
    </cfRule>
    <cfRule type="expression" dxfId="2012" priority="20">
      <formula>F66&lt;0</formula>
    </cfRule>
  </conditionalFormatting>
  <conditionalFormatting sqref="H62:H74 H78:H98 H102:H106">
    <cfRule type="expression" dxfId="2011" priority="15">
      <formula>H62&gt;0</formula>
    </cfRule>
    <cfRule type="expression" dxfId="2010" priority="16">
      <formula>H62&lt;0</formula>
    </cfRule>
  </conditionalFormatting>
  <conditionalFormatting sqref="F57:F61">
    <cfRule type="expression" dxfId="2009" priority="13">
      <formula>F57&gt;0</formula>
    </cfRule>
    <cfRule type="expression" dxfId="2008" priority="14">
      <formula>F57&lt;0</formula>
    </cfRule>
  </conditionalFormatting>
  <conditionalFormatting sqref="H57:H61">
    <cfRule type="expression" dxfId="2007" priority="11">
      <formula>H57&gt;0</formula>
    </cfRule>
    <cfRule type="expression" dxfId="2006" priority="12">
      <formula>H57&lt;0</formula>
    </cfRule>
  </conditionalFormatting>
  <conditionalFormatting sqref="F75:F77">
    <cfRule type="expression" dxfId="2005" priority="7">
      <formula>F75&gt;0</formula>
    </cfRule>
    <cfRule type="expression" dxfId="2004" priority="8">
      <formula>F75&lt;0</formula>
    </cfRule>
  </conditionalFormatting>
  <conditionalFormatting sqref="F75:F77">
    <cfRule type="expression" dxfId="2003" priority="9">
      <formula>F75&gt;0</formula>
    </cfRule>
    <cfRule type="expression" dxfId="2002" priority="10">
      <formula>F75&lt;0</formula>
    </cfRule>
  </conditionalFormatting>
  <conditionalFormatting sqref="H75:H77">
    <cfRule type="expression" dxfId="2001" priority="5">
      <formula>H75&gt;0</formula>
    </cfRule>
    <cfRule type="expression" dxfId="2000" priority="6">
      <formula>H75&lt;0</formula>
    </cfRule>
  </conditionalFormatting>
  <conditionalFormatting sqref="F22:F30">
    <cfRule type="expression" dxfId="1999" priority="3">
      <formula>F22&gt;0</formula>
    </cfRule>
    <cfRule type="expression" dxfId="1998" priority="4">
      <formula>F22&lt;0</formula>
    </cfRule>
  </conditionalFormatting>
  <conditionalFormatting sqref="F99:F101">
    <cfRule type="expression" dxfId="1997" priority="1">
      <formula>F99&gt;0</formula>
    </cfRule>
    <cfRule type="expression" dxfId="199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1995" priority="25">
      <formula>F30&gt;0</formula>
    </cfRule>
    <cfRule type="expression" dxfId="1994" priority="26">
      <formula>F30&lt;0</formula>
    </cfRule>
  </conditionalFormatting>
  <conditionalFormatting sqref="Q7">
    <cfRule type="expression" dxfId="1993" priority="23">
      <formula>Q7&gt;0</formula>
    </cfRule>
    <cfRule type="expression" dxfId="1992" priority="24">
      <formula>Q7&lt;0</formula>
    </cfRule>
  </conditionalFormatting>
  <conditionalFormatting sqref="Q8">
    <cfRule type="expression" dxfId="1991" priority="21">
      <formula>Q8&gt;0</formula>
    </cfRule>
    <cfRule type="expression" dxfId="1990" priority="22">
      <formula>Q8&lt;0</formula>
    </cfRule>
  </conditionalFormatting>
  <conditionalFormatting sqref="M74">
    <cfRule type="expression" dxfId="1989" priority="15">
      <formula>M74&gt;0</formula>
    </cfRule>
    <cfRule type="expression" dxfId="1988" priority="16">
      <formula>M74&lt;0</formula>
    </cfRule>
  </conditionalFormatting>
  <conditionalFormatting sqref="F113:F149 H113:H149">
    <cfRule type="expression" dxfId="1987" priority="13">
      <formula>F113&gt;0</formula>
    </cfRule>
    <cfRule type="expression" dxfId="1986" priority="14">
      <formula>F113&lt;0</formula>
    </cfRule>
  </conditionalFormatting>
  <conditionalFormatting sqref="F105:F112">
    <cfRule type="expression" dxfId="1985" priority="11">
      <formula>F105&gt;0</formula>
    </cfRule>
    <cfRule type="expression" dxfId="1984" priority="12">
      <formula>F105&lt;0</formula>
    </cfRule>
  </conditionalFormatting>
  <conditionalFormatting sqref="H105:H112">
    <cfRule type="expression" dxfId="1983" priority="9">
      <formula>H105&gt;0</formula>
    </cfRule>
    <cfRule type="expression" dxfId="1982" priority="10">
      <formula>H105&lt;0</formula>
    </cfRule>
  </conditionalFormatting>
  <conditionalFormatting sqref="Q10">
    <cfRule type="expression" dxfId="1981" priority="7">
      <formula>Q10&gt;0</formula>
    </cfRule>
    <cfRule type="expression" dxfId="1980" priority="8">
      <formula>Q10&lt;0</formula>
    </cfRule>
  </conditionalFormatting>
  <conditionalFormatting sqref="F25:F29">
    <cfRule type="expression" dxfId="1979" priority="5">
      <formula>F25&gt;0</formula>
    </cfRule>
    <cfRule type="expression" dxfId="1978" priority="6">
      <formula>F25&lt;0</formula>
    </cfRule>
  </conditionalFormatting>
  <conditionalFormatting sqref="H25:H29">
    <cfRule type="expression" dxfId="1977" priority="3">
      <formula>H25&gt;0</formula>
    </cfRule>
    <cfRule type="expression" dxfId="1976" priority="4">
      <formula>H25&lt;0</formula>
    </cfRule>
  </conditionalFormatting>
  <conditionalFormatting sqref="J26:J35">
    <cfRule type="expression" dxfId="1975" priority="1">
      <formula>J26&gt;0</formula>
    </cfRule>
    <cfRule type="expression" dxfId="197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73" priority="47">
      <formula>F7&gt;0</formula>
    </cfRule>
    <cfRule type="expression" dxfId="1972" priority="48">
      <formula>F7&lt;0</formula>
    </cfRule>
  </conditionalFormatting>
  <conditionalFormatting sqref="Q8">
    <cfRule type="expression" dxfId="1971" priority="45">
      <formula>Q8&gt;0</formula>
    </cfRule>
    <cfRule type="expression" dxfId="1970" priority="46">
      <formula>Q8&lt;0</formula>
    </cfRule>
  </conditionalFormatting>
  <conditionalFormatting sqref="F41:F60">
    <cfRule type="expression" dxfId="1969" priority="43">
      <formula>F41&gt;0</formula>
    </cfRule>
    <cfRule type="expression" dxfId="1968" priority="44">
      <formula>F41&lt;0</formula>
    </cfRule>
  </conditionalFormatting>
  <conditionalFormatting sqref="H41:H60">
    <cfRule type="expression" dxfId="1967" priority="41">
      <formula>H41&gt;0</formula>
    </cfRule>
    <cfRule type="expression" dxfId="1966" priority="42">
      <formula>H41&lt;0</formula>
    </cfRule>
  </conditionalFormatting>
  <conditionalFormatting sqref="Q10">
    <cfRule type="expression" dxfId="1965" priority="35">
      <formula>Q10&gt;0</formula>
    </cfRule>
    <cfRule type="expression" dxfId="1964" priority="36">
      <formula>Q10&lt;0</formula>
    </cfRule>
  </conditionalFormatting>
  <conditionalFormatting sqref="J36:J60">
    <cfRule type="expression" dxfId="1963" priority="33">
      <formula>J36&gt;0</formula>
    </cfRule>
    <cfRule type="expression" dxfId="1962" priority="34">
      <formula>J36&lt;0</formula>
    </cfRule>
  </conditionalFormatting>
  <conditionalFormatting sqref="K36:K49">
    <cfRule type="expression" dxfId="1961" priority="31">
      <formula>K36&gt;0</formula>
    </cfRule>
    <cfRule type="expression" dxfId="1960" priority="32">
      <formula>K36&lt;0</formula>
    </cfRule>
  </conditionalFormatting>
  <conditionalFormatting sqref="L36:L49">
    <cfRule type="expression" dxfId="1959" priority="29">
      <formula>L36&gt;0</formula>
    </cfRule>
    <cfRule type="expression" dxfId="1958" priority="30">
      <formula>L36&lt;0</formula>
    </cfRule>
  </conditionalFormatting>
  <conditionalFormatting sqref="F114:F135">
    <cfRule type="expression" dxfId="1957" priority="27">
      <formula>F114&gt;0</formula>
    </cfRule>
    <cfRule type="expression" dxfId="1956" priority="28">
      <formula>F114&lt;0</formula>
    </cfRule>
  </conditionalFormatting>
  <conditionalFormatting sqref="H114:H135">
    <cfRule type="expression" dxfId="1955" priority="25">
      <formula>H114&gt;0</formula>
    </cfRule>
    <cfRule type="expression" dxfId="1954" priority="26">
      <formula>H114&lt;0</formula>
    </cfRule>
  </conditionalFormatting>
  <conditionalFormatting sqref="J114:J127">
    <cfRule type="expression" dxfId="1953" priority="23">
      <formula>J114&gt;0</formula>
    </cfRule>
    <cfRule type="expression" dxfId="1952" priority="24">
      <formula>J114&lt;0</formula>
    </cfRule>
  </conditionalFormatting>
  <conditionalFormatting sqref="K114:K127">
    <cfRule type="expression" dxfId="1951" priority="21">
      <formula>K114&gt;0</formula>
    </cfRule>
    <cfRule type="expression" dxfId="1950" priority="22">
      <formula>K114&lt;0</formula>
    </cfRule>
  </conditionalFormatting>
  <conditionalFormatting sqref="L114:L127">
    <cfRule type="expression" dxfId="1949" priority="19">
      <formula>L114&gt;0</formula>
    </cfRule>
    <cfRule type="expression" dxfId="1948" priority="20">
      <formula>L114&lt;0</formula>
    </cfRule>
  </conditionalFormatting>
  <conditionalFormatting sqref="F36:F40">
    <cfRule type="expression" dxfId="1947" priority="17">
      <formula>F36&gt;0</formula>
    </cfRule>
    <cfRule type="expression" dxfId="1946" priority="18">
      <formula>F36&lt;0</formula>
    </cfRule>
  </conditionalFormatting>
  <conditionalFormatting sqref="H36:H40">
    <cfRule type="expression" dxfId="1945" priority="15">
      <formula>H36&gt;0</formula>
    </cfRule>
    <cfRule type="expression" dxfId="1944" priority="16">
      <formula>H36&lt;0</formula>
    </cfRule>
  </conditionalFormatting>
  <conditionalFormatting sqref="F61:F62">
    <cfRule type="expression" dxfId="1943" priority="13">
      <formula>F61&gt;0</formula>
    </cfRule>
    <cfRule type="expression" dxfId="1942" priority="14">
      <formula>F61&lt;0</formula>
    </cfRule>
  </conditionalFormatting>
  <conditionalFormatting sqref="H61:H62">
    <cfRule type="expression" dxfId="1941" priority="11">
      <formula>H61&gt;0</formula>
    </cfRule>
    <cfRule type="expression" dxfId="1940" priority="12">
      <formula>H61&lt;0</formula>
    </cfRule>
  </conditionalFormatting>
  <conditionalFormatting sqref="J61:J62">
    <cfRule type="expression" dxfId="1939" priority="9">
      <formula>J61&gt;0</formula>
    </cfRule>
    <cfRule type="expression" dxfId="1938" priority="10">
      <formula>J61&lt;0</formula>
    </cfRule>
  </conditionalFormatting>
  <conditionalFormatting sqref="J74:J75 H74:H75 F74:F75">
    <cfRule type="expression" dxfId="1937" priority="7">
      <formula>F74&gt;0</formula>
    </cfRule>
    <cfRule type="expression" dxfId="1936" priority="8">
      <formula>F74&lt;0</formula>
    </cfRule>
  </conditionalFormatting>
  <conditionalFormatting sqref="J79:J82 F79:F83 H79:H83">
    <cfRule type="expression" dxfId="1935" priority="3">
      <formula>F79&gt;0</formula>
    </cfRule>
    <cfRule type="expression" dxfId="1934" priority="4">
      <formula>F79&lt;0</formula>
    </cfRule>
  </conditionalFormatting>
  <conditionalFormatting sqref="J84:J86 F84:F86 H84:H86">
    <cfRule type="expression" dxfId="1933" priority="1">
      <formula>F84&gt;0</formula>
    </cfRule>
    <cfRule type="expression" dxfId="193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31" priority="25">
      <formula>F52&gt;0</formula>
    </cfRule>
    <cfRule type="expression" dxfId="1930" priority="26">
      <formula>F52&lt;0</formula>
    </cfRule>
  </conditionalFormatting>
  <conditionalFormatting sqref="Q7">
    <cfRule type="expression" dxfId="1929" priority="23">
      <formula>Q7&gt;0</formula>
    </cfRule>
    <cfRule type="expression" dxfId="1928" priority="24">
      <formula>Q7&lt;0</formula>
    </cfRule>
  </conditionalFormatting>
  <conditionalFormatting sqref="Q8">
    <cfRule type="expression" dxfId="1927" priority="21">
      <formula>Q8&gt;0</formula>
    </cfRule>
    <cfRule type="expression" dxfId="1926" priority="22">
      <formula>Q8&lt;0</formula>
    </cfRule>
  </conditionalFormatting>
  <conditionalFormatting sqref="F25:F37 F43:F51">
    <cfRule type="expression" dxfId="1925" priority="19">
      <formula>F25&gt;0</formula>
    </cfRule>
    <cfRule type="expression" dxfId="1924" priority="20">
      <formula>F25&lt;0</formula>
    </cfRule>
  </conditionalFormatting>
  <conditionalFormatting sqref="H25:H37 H41:H51">
    <cfRule type="expression" dxfId="1923" priority="17">
      <formula>H25&gt;0</formula>
    </cfRule>
    <cfRule type="expression" dxfId="1922" priority="18">
      <formula>H25&lt;0</formula>
    </cfRule>
  </conditionalFormatting>
  <conditionalFormatting sqref="F89:F110">
    <cfRule type="expression" dxfId="1921" priority="15">
      <formula>F89&gt;0</formula>
    </cfRule>
    <cfRule type="expression" dxfId="1920" priority="16">
      <formula>F89&lt;0</formula>
    </cfRule>
  </conditionalFormatting>
  <conditionalFormatting sqref="H89:H110">
    <cfRule type="expression" dxfId="1919" priority="13">
      <formula>H89&gt;0</formula>
    </cfRule>
    <cfRule type="expression" dxfId="1918" priority="14">
      <formula>H89&lt;0</formula>
    </cfRule>
  </conditionalFormatting>
  <conditionalFormatting sqref="Q10">
    <cfRule type="expression" dxfId="1917" priority="11">
      <formula>Q10&gt;0</formula>
    </cfRule>
    <cfRule type="expression" dxfId="1916" priority="12">
      <formula>Q10&lt;0</formula>
    </cfRule>
  </conditionalFormatting>
  <conditionalFormatting sqref="J25:J38">
    <cfRule type="expression" dxfId="1915" priority="9">
      <formula>J25&gt;0</formula>
    </cfRule>
    <cfRule type="expression" dxfId="1914" priority="10">
      <formula>J25&lt;0</formula>
    </cfRule>
  </conditionalFormatting>
  <conditionalFormatting sqref="K25:K38">
    <cfRule type="expression" dxfId="1913" priority="7">
      <formula>K25&gt;0</formula>
    </cfRule>
    <cfRule type="expression" dxfId="1912" priority="8">
      <formula>K25&lt;0</formula>
    </cfRule>
  </conditionalFormatting>
  <conditionalFormatting sqref="F38:F42">
    <cfRule type="expression" dxfId="1911" priority="3">
      <formula>F38&gt;0</formula>
    </cfRule>
    <cfRule type="expression" dxfId="1910" priority="4">
      <formula>F38&lt;0</formula>
    </cfRule>
  </conditionalFormatting>
  <conditionalFormatting sqref="H38:H40">
    <cfRule type="expression" dxfId="1909" priority="1">
      <formula>H38&gt;0</formula>
    </cfRule>
    <cfRule type="expression" dxfId="190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07" priority="25">
      <formula>F7&gt;0</formula>
    </cfRule>
    <cfRule type="expression" dxfId="1906" priority="26">
      <formula>F7&lt;0</formula>
    </cfRule>
  </conditionalFormatting>
  <conditionalFormatting sqref="Q8">
    <cfRule type="expression" dxfId="1905" priority="23">
      <formula>Q8&gt;0</formula>
    </cfRule>
    <cfRule type="expression" dxfId="1904" priority="24">
      <formula>Q8&lt;0</formula>
    </cfRule>
  </conditionalFormatting>
  <conditionalFormatting sqref="F93:F114">
    <cfRule type="expression" dxfId="1903" priority="17">
      <formula>F93&gt;0</formula>
    </cfRule>
    <cfRule type="expression" dxfId="1902" priority="18">
      <formula>F93&lt;0</formula>
    </cfRule>
  </conditionalFormatting>
  <conditionalFormatting sqref="H93:H114">
    <cfRule type="expression" dxfId="1901" priority="15">
      <formula>H93&gt;0</formula>
    </cfRule>
    <cfRule type="expression" dxfId="1900" priority="16">
      <formula>H93&lt;0</formula>
    </cfRule>
  </conditionalFormatting>
  <conditionalFormatting sqref="Q10">
    <cfRule type="expression" dxfId="1899" priority="13">
      <formula>Q10&gt;0</formula>
    </cfRule>
    <cfRule type="expression" dxfId="1898" priority="14">
      <formula>Q10&lt;0</formula>
    </cfRule>
  </conditionalFormatting>
  <conditionalFormatting sqref="J25:J38">
    <cfRule type="expression" dxfId="1897" priority="11">
      <formula>J25&gt;0</formula>
    </cfRule>
    <cfRule type="expression" dxfId="1896" priority="12">
      <formula>J25&lt;0</formula>
    </cfRule>
  </conditionalFormatting>
  <conditionalFormatting sqref="K25:K38">
    <cfRule type="expression" dxfId="1895" priority="9">
      <formula>K25&gt;0</formula>
    </cfRule>
    <cfRule type="expression" dxfId="1894" priority="10">
      <formula>K25&lt;0</formula>
    </cfRule>
  </conditionalFormatting>
  <conditionalFormatting sqref="L25:L34">
    <cfRule type="expression" dxfId="1893" priority="7">
      <formula>L25&gt;0</formula>
    </cfRule>
    <cfRule type="expression" dxfId="1892" priority="8">
      <formula>L25&lt;0</formula>
    </cfRule>
  </conditionalFormatting>
  <conditionalFormatting sqref="J43">
    <cfRule type="expression" dxfId="1891" priority="5">
      <formula>J43&gt;0</formula>
    </cfRule>
    <cfRule type="expression" dxfId="1890" priority="6">
      <formula>J43&lt;0</formula>
    </cfRule>
  </conditionalFormatting>
  <conditionalFormatting sqref="M25:M34">
    <cfRule type="expression" dxfId="1889" priority="3">
      <formula>M25&gt;0</formula>
    </cfRule>
    <cfRule type="expression" dxfId="1888" priority="4">
      <formula>M25&lt;0</formula>
    </cfRule>
  </conditionalFormatting>
  <conditionalFormatting sqref="H61:H64 F61:F64">
    <cfRule type="expression" dxfId="1887" priority="1">
      <formula>F61&gt;0</formula>
    </cfRule>
    <cfRule type="expression" dxfId="1886"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topLeftCell="H1" workbookViewId="0">
      <pane ySplit="1" topLeftCell="A8"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0" si="1">H2*I2-J2</f>
        <v>3179.96</v>
      </c>
      <c r="L2" s="72">
        <v>43216</v>
      </c>
      <c r="M2" s="43">
        <v>28.5</v>
      </c>
      <c r="O2" s="11" t="s">
        <v>57</v>
      </c>
      <c r="Q2">
        <f>C18-H18</f>
        <v>100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19.713899999999995</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38.799900000000001</v>
      </c>
      <c r="R4" s="425">
        <v>6.0000000000000001E-3</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3879.9900000000002</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1971.3899999999994</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1908.6000000000008</v>
      </c>
      <c r="R7">
        <v>100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1908.6000000000008</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0.9681493768356344</v>
      </c>
    </row>
    <row r="10" spans="1:21" x14ac:dyDescent="0.25">
      <c r="B10" s="72">
        <v>43493</v>
      </c>
      <c r="C10" s="4">
        <v>100</v>
      </c>
      <c r="D10" s="3">
        <v>34.68</v>
      </c>
      <c r="E10" s="3">
        <v>0</v>
      </c>
      <c r="F10" s="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72"/>
      <c r="H11" s="161"/>
      <c r="I11" s="3"/>
      <c r="J11" s="3"/>
      <c r="K11" s="3"/>
      <c r="L11" s="4"/>
      <c r="M11" s="4"/>
      <c r="O11" s="11" t="s">
        <v>175</v>
      </c>
      <c r="P11" s="33"/>
      <c r="Q11" s="134">
        <f>R11*4/Q4</f>
        <v>1.9587679349689045E-2</v>
      </c>
      <c r="R11">
        <v>0.19</v>
      </c>
    </row>
    <row r="12" spans="1:21" x14ac:dyDescent="0.25">
      <c r="H12" s="70"/>
      <c r="O12" s="11" t="s">
        <v>969</v>
      </c>
      <c r="Q12" s="1" t="s">
        <v>1367</v>
      </c>
    </row>
    <row r="13" spans="1:21" x14ac:dyDescent="0.25">
      <c r="H13" s="70"/>
      <c r="O13" s="11" t="s">
        <v>947</v>
      </c>
      <c r="Q13" s="2">
        <f>Q4/2.5</f>
        <v>15.519960000000001</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SUM(H2:H10)</f>
        <v>850</v>
      </c>
      <c r="I18" s="18"/>
      <c r="J18" s="18"/>
      <c r="K18" s="18">
        <f>SUM(K2:K10)</f>
        <v>29638.11</v>
      </c>
      <c r="L18" s="14"/>
      <c r="M18" s="18">
        <f>SUM(M2:M17)</f>
        <v>114</v>
      </c>
      <c r="T18" s="1">
        <v>43228</v>
      </c>
      <c r="U18" t="s">
        <v>1043</v>
      </c>
    </row>
    <row r="19" spans="1:21" ht="15.75" thickBot="1" x14ac:dyDescent="0.3">
      <c r="A19" s="277" t="s">
        <v>191</v>
      </c>
      <c r="B19" s="278"/>
      <c r="C19" s="279">
        <f>SumByColor($A$19,C2:C17)</f>
        <v>850</v>
      </c>
      <c r="D19" s="279"/>
      <c r="E19" s="279"/>
      <c r="F19" s="280">
        <f>SumByColor($A$19,F2:F17)</f>
        <v>28256</v>
      </c>
      <c r="G19" s="279"/>
      <c r="H19" s="279">
        <f>SumByColor($A$19,H2:H17)</f>
        <v>850</v>
      </c>
      <c r="I19" s="279"/>
      <c r="J19" s="279"/>
      <c r="K19" s="280">
        <f>SumByColor($A$19,K2:K17)</f>
        <v>29638</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42.679890000000007</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42.291891000000007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c r="K25" s="39"/>
      <c r="L25" s="39"/>
      <c r="O25" s="81">
        <v>1.08</v>
      </c>
      <c r="P25" s="81">
        <f t="shared" si="2"/>
        <v>41.903892000000006</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c r="K26" s="39"/>
      <c r="L26" s="39"/>
      <c r="O26" s="81">
        <v>1.07</v>
      </c>
      <c r="P26" s="81">
        <f t="shared" si="2"/>
        <v>41.515893000000005</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c r="K27" s="39"/>
      <c r="L27" s="155"/>
      <c r="O27" s="81">
        <v>1.06</v>
      </c>
      <c r="P27" s="81">
        <f t="shared" si="2"/>
        <v>41.127894000000005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c r="K28" s="39"/>
      <c r="L28" s="155"/>
      <c r="O28" s="81">
        <v>1.05</v>
      </c>
      <c r="P28" s="81">
        <f t="shared" si="2"/>
        <v>40.739895000000004</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c r="K29" s="39"/>
      <c r="L29" s="155"/>
      <c r="O29" s="81">
        <v>1.04</v>
      </c>
      <c r="P29" s="81">
        <f t="shared" si="2"/>
        <v>40.351896000000004</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c r="K30" s="39"/>
      <c r="L30" s="155"/>
      <c r="O30" s="81">
        <v>1.03</v>
      </c>
      <c r="P30" s="81">
        <f t="shared" si="2"/>
        <v>39.963897000000003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c r="K31" s="39"/>
      <c r="L31" s="155"/>
      <c r="O31" s="81">
        <v>1.02</v>
      </c>
      <c r="P31" s="81">
        <f t="shared" si="2"/>
        <v>39.575898000000002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c r="K32" s="39"/>
      <c r="L32" s="155"/>
      <c r="O32" s="81">
        <v>1.01</v>
      </c>
      <c r="P32" s="81">
        <f t="shared" si="2"/>
        <v>39.187899000000002</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c r="K33" s="39"/>
      <c r="L33" s="155"/>
      <c r="O33" s="81">
        <v>1</v>
      </c>
      <c r="P33" s="81">
        <f t="shared" si="2"/>
        <v>38.799900000000001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c r="K34" s="39">
        <v>12.83</v>
      </c>
      <c r="L34" s="155"/>
      <c r="O34" s="81">
        <v>0.99</v>
      </c>
      <c r="P34" s="81">
        <f t="shared" si="2"/>
        <v>38.411901</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c r="K35" s="39">
        <v>13.53</v>
      </c>
      <c r="L35" s="155"/>
      <c r="O35" s="81">
        <v>0.98</v>
      </c>
      <c r="P35" s="81">
        <f t="shared" si="2"/>
        <v>38.023902</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c r="K36" s="39">
        <v>13.03</v>
      </c>
      <c r="L36" s="39"/>
      <c r="O36" s="81">
        <v>0.97</v>
      </c>
      <c r="P36" s="81">
        <f t="shared" si="2"/>
        <v>37.635902999999999</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c r="K37" s="39">
        <v>13.36</v>
      </c>
      <c r="L37" s="39"/>
      <c r="O37" s="81">
        <v>0.96</v>
      </c>
      <c r="P37" s="81">
        <f t="shared" si="2"/>
        <v>37.247903999999998</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c r="K38" s="39">
        <v>12.92</v>
      </c>
      <c r="L38" s="39"/>
      <c r="O38" s="81">
        <v>0.95</v>
      </c>
      <c r="P38" s="81">
        <f t="shared" si="2"/>
        <v>36.859904999999998</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c r="K39" s="39">
        <v>13.432</v>
      </c>
      <c r="L39" s="39"/>
      <c r="O39" s="81">
        <v>0.94</v>
      </c>
      <c r="P39" s="81">
        <f t="shared" si="2"/>
        <v>36.471905999999997</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c r="K40" s="39">
        <v>13.6</v>
      </c>
      <c r="L40" s="39"/>
      <c r="O40" s="81">
        <v>0.93</v>
      </c>
      <c r="P40" s="81">
        <f t="shared" si="2"/>
        <v>36.083907000000004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c r="K41" s="39">
        <v>13.356</v>
      </c>
      <c r="L41" s="39" t="s">
        <v>184</v>
      </c>
      <c r="O41" s="81">
        <v>0.92</v>
      </c>
      <c r="P41" s="81">
        <f t="shared" si="2"/>
        <v>35.695908000000003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c r="K42" s="39">
        <v>13.19</v>
      </c>
      <c r="L42" s="39"/>
      <c r="O42" s="81">
        <v>0.91</v>
      </c>
      <c r="P42" s="81">
        <f t="shared" si="2"/>
        <v>35.307909000000002</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c r="K43" s="39"/>
      <c r="L43" s="39"/>
      <c r="O43" s="81">
        <v>0.9</v>
      </c>
      <c r="P43" s="81">
        <f t="shared" si="2"/>
        <v>34.919910000000002</v>
      </c>
    </row>
    <row r="44" spans="1:17" x14ac:dyDescent="0.25">
      <c r="A44">
        <v>50</v>
      </c>
      <c r="B44" s="164">
        <v>43316</v>
      </c>
      <c r="C44" s="10">
        <v>150</v>
      </c>
      <c r="D44" s="39">
        <v>29.954799999999999</v>
      </c>
      <c r="E44" s="39">
        <v>35.409999999999997</v>
      </c>
      <c r="F44" s="39">
        <f t="shared" ref="F44:F56" si="9">C44*(E44-D44)</f>
        <v>818.27999999999963</v>
      </c>
      <c r="G44" s="39">
        <f t="shared" ref="G44:G56" si="10">D44*C44</f>
        <v>4493.22</v>
      </c>
      <c r="H44" s="179">
        <f t="shared" ref="H44:H56" si="11">(E44-D44)/D44</f>
        <v>0.18211438567441607</v>
      </c>
      <c r="I44" s="39"/>
      <c r="J44" s="39"/>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c r="K56" s="39">
        <v>14.43</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62:F63 H62:H63">
    <cfRule type="expression" dxfId="1885" priority="33">
      <formula>F62&gt;0</formula>
    </cfRule>
    <cfRule type="expression" dxfId="1884" priority="34">
      <formula>F62&lt;0</formula>
    </cfRule>
  </conditionalFormatting>
  <conditionalFormatting sqref="Q7">
    <cfRule type="expression" dxfId="1883" priority="31">
      <formula>Q7&gt;0</formula>
    </cfRule>
    <cfRule type="expression" dxfId="1882" priority="32">
      <formula>Q7&lt;0</formula>
    </cfRule>
  </conditionalFormatting>
  <conditionalFormatting sqref="Q8">
    <cfRule type="expression" dxfId="1881" priority="29">
      <formula>Q8&gt;0</formula>
    </cfRule>
    <cfRule type="expression" dxfId="1880" priority="30">
      <formula>Q8&lt;0</formula>
    </cfRule>
  </conditionalFormatting>
  <conditionalFormatting sqref="F30:F61">
    <cfRule type="expression" dxfId="1879" priority="27">
      <formula>F30&gt;0</formula>
    </cfRule>
    <cfRule type="expression" dxfId="1878" priority="28">
      <formula>F30&lt;0</formula>
    </cfRule>
  </conditionalFormatting>
  <conditionalFormatting sqref="H30:H61">
    <cfRule type="expression" dxfId="1877" priority="25">
      <formula>H30&gt;0</formula>
    </cfRule>
    <cfRule type="expression" dxfId="1876" priority="26">
      <formula>H30&lt;0</formula>
    </cfRule>
  </conditionalFormatting>
  <conditionalFormatting sqref="Q10">
    <cfRule type="expression" dxfId="1875" priority="23">
      <formula>Q10&gt;0</formula>
    </cfRule>
    <cfRule type="expression" dxfId="1874" priority="24">
      <formula>Q10&lt;0</formula>
    </cfRule>
  </conditionalFormatting>
  <conditionalFormatting sqref="J25:J38">
    <cfRule type="expression" dxfId="1873" priority="21">
      <formula>J25&gt;0</formula>
    </cfRule>
    <cfRule type="expression" dxfId="1872" priority="22">
      <formula>J25&lt;0</formula>
    </cfRule>
  </conditionalFormatting>
  <conditionalFormatting sqref="K25:K33">
    <cfRule type="expression" dxfId="1871" priority="19">
      <formula>K25&gt;0</formula>
    </cfRule>
    <cfRule type="expression" dxfId="1870" priority="20">
      <formula>K25&lt;0</formula>
    </cfRule>
  </conditionalFormatting>
  <conditionalFormatting sqref="L25:L38">
    <cfRule type="expression" dxfId="1869" priority="17">
      <formula>L25&gt;0</formula>
    </cfRule>
    <cfRule type="expression" dxfId="1868" priority="18">
      <formula>L25&lt;0</formula>
    </cfRule>
  </conditionalFormatting>
  <conditionalFormatting sqref="F89:F110">
    <cfRule type="expression" dxfId="1867" priority="15">
      <formula>F89&gt;0</formula>
    </cfRule>
    <cfRule type="expression" dxfId="1866" priority="16">
      <formula>F89&lt;0</formula>
    </cfRule>
  </conditionalFormatting>
  <conditionalFormatting sqref="H89:H110">
    <cfRule type="expression" dxfId="1865" priority="13">
      <formula>H89&gt;0</formula>
    </cfRule>
    <cfRule type="expression" dxfId="1864" priority="14">
      <formula>H89&lt;0</formula>
    </cfRule>
  </conditionalFormatting>
  <conditionalFormatting sqref="J89:J102">
    <cfRule type="expression" dxfId="1863" priority="11">
      <formula>J89&gt;0</formula>
    </cfRule>
    <cfRule type="expression" dxfId="1862" priority="12">
      <formula>J89&lt;0</formula>
    </cfRule>
  </conditionalFormatting>
  <conditionalFormatting sqref="K89:K102">
    <cfRule type="expression" dxfId="1861" priority="9">
      <formula>K89&gt;0</formula>
    </cfRule>
    <cfRule type="expression" dxfId="1860" priority="10">
      <formula>K89&lt;0</formula>
    </cfRule>
  </conditionalFormatting>
  <conditionalFormatting sqref="L89:L102">
    <cfRule type="expression" dxfId="1859" priority="7">
      <formula>L89&gt;0</formula>
    </cfRule>
    <cfRule type="expression" dxfId="1858" priority="8">
      <formula>L89&lt;0</formula>
    </cfRule>
  </conditionalFormatting>
  <conditionalFormatting sqref="F25:F29">
    <cfRule type="expression" dxfId="1857" priority="5">
      <formula>F25&gt;0</formula>
    </cfRule>
    <cfRule type="expression" dxfId="1856" priority="6">
      <formula>F25&lt;0</formula>
    </cfRule>
  </conditionalFormatting>
  <conditionalFormatting sqref="H25:H29">
    <cfRule type="expression" dxfId="1855" priority="3">
      <formula>H25&gt;0</formula>
    </cfRule>
    <cfRule type="expression" dxfId="1854" priority="4">
      <formula>H25&lt;0</formula>
    </cfRule>
  </conditionalFormatting>
  <conditionalFormatting sqref="F29">
    <cfRule type="expression" dxfId="1853" priority="1">
      <formula>F29&gt;0</formula>
    </cfRule>
    <cfRule type="expression" dxfId="1852" priority="2">
      <formula>F29&lt;0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51" priority="31">
      <formula>F47&gt;0</formula>
    </cfRule>
    <cfRule type="expression" dxfId="1850" priority="32">
      <formula>F47&lt;0</formula>
    </cfRule>
  </conditionalFormatting>
  <conditionalFormatting sqref="Q7">
    <cfRule type="expression" dxfId="1849" priority="29">
      <formula>Q7&gt;0</formula>
    </cfRule>
    <cfRule type="expression" dxfId="1848" priority="30">
      <formula>Q7&lt;0</formula>
    </cfRule>
  </conditionalFormatting>
  <conditionalFormatting sqref="Q8">
    <cfRule type="expression" dxfId="1847" priority="27">
      <formula>Q8&gt;0</formula>
    </cfRule>
    <cfRule type="expression" dxfId="1846" priority="28">
      <formula>Q8&lt;0</formula>
    </cfRule>
  </conditionalFormatting>
  <conditionalFormatting sqref="F30:F46">
    <cfRule type="expression" dxfId="1845" priority="25">
      <formula>F30&gt;0</formula>
    </cfRule>
    <cfRule type="expression" dxfId="1844" priority="26">
      <formula>F30&lt;0</formula>
    </cfRule>
  </conditionalFormatting>
  <conditionalFormatting sqref="H30:H46">
    <cfRule type="expression" dxfId="1843" priority="23">
      <formula>H30&gt;0</formula>
    </cfRule>
    <cfRule type="expression" dxfId="1842" priority="24">
      <formula>H30&lt;0</formula>
    </cfRule>
  </conditionalFormatting>
  <conditionalFormatting sqref="Q10">
    <cfRule type="expression" dxfId="1841" priority="21">
      <formula>Q10&gt;0</formula>
    </cfRule>
    <cfRule type="expression" dxfId="1840" priority="22">
      <formula>Q10&lt;0</formula>
    </cfRule>
  </conditionalFormatting>
  <conditionalFormatting sqref="J25:J38">
    <cfRule type="expression" dxfId="1839" priority="19">
      <formula>J25&gt;0</formula>
    </cfRule>
    <cfRule type="expression" dxfId="1838" priority="20">
      <formula>J25&lt;0</formula>
    </cfRule>
  </conditionalFormatting>
  <conditionalFormatting sqref="K25:K38">
    <cfRule type="expression" dxfId="1837" priority="17">
      <formula>K25&gt;0</formula>
    </cfRule>
    <cfRule type="expression" dxfId="1836" priority="18">
      <formula>K25&lt;0</formula>
    </cfRule>
  </conditionalFormatting>
  <conditionalFormatting sqref="L25:L38">
    <cfRule type="expression" dxfId="1835" priority="15">
      <formula>L25&gt;0</formula>
    </cfRule>
    <cfRule type="expression" dxfId="1834" priority="16">
      <formula>L25&lt;0</formula>
    </cfRule>
  </conditionalFormatting>
  <conditionalFormatting sqref="F89:F110">
    <cfRule type="expression" dxfId="1833" priority="13">
      <formula>F89&gt;0</formula>
    </cfRule>
    <cfRule type="expression" dxfId="1832" priority="14">
      <formula>F89&lt;0</formula>
    </cfRule>
  </conditionalFormatting>
  <conditionalFormatting sqref="H89:H110">
    <cfRule type="expression" dxfId="1831" priority="11">
      <formula>H89&gt;0</formula>
    </cfRule>
    <cfRule type="expression" dxfId="1830" priority="12">
      <formula>H89&lt;0</formula>
    </cfRule>
  </conditionalFormatting>
  <conditionalFormatting sqref="J89:J102">
    <cfRule type="expression" dxfId="1829" priority="9">
      <formula>J89&gt;0</formula>
    </cfRule>
    <cfRule type="expression" dxfId="1828" priority="10">
      <formula>J89&lt;0</formula>
    </cfRule>
  </conditionalFormatting>
  <conditionalFormatting sqref="K89:K102">
    <cfRule type="expression" dxfId="1827" priority="7">
      <formula>K89&gt;0</formula>
    </cfRule>
    <cfRule type="expression" dxfId="1826" priority="8">
      <formula>K89&lt;0</formula>
    </cfRule>
  </conditionalFormatting>
  <conditionalFormatting sqref="L89:L102">
    <cfRule type="expression" dxfId="1825" priority="5">
      <formula>L89&gt;0</formula>
    </cfRule>
    <cfRule type="expression" dxfId="1824" priority="6">
      <formula>L89&lt;0</formula>
    </cfRule>
  </conditionalFormatting>
  <conditionalFormatting sqref="F25:F29">
    <cfRule type="expression" dxfId="1823" priority="3">
      <formula>F25&gt;0</formula>
    </cfRule>
    <cfRule type="expression" dxfId="1822" priority="4">
      <formula>F25&lt;0</formula>
    </cfRule>
  </conditionalFormatting>
  <conditionalFormatting sqref="H25:H29">
    <cfRule type="expression" dxfId="1821" priority="1">
      <formula>H25&gt;0</formula>
    </cfRule>
    <cfRule type="expression" dxfId="1820"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0" si="0">C2*D2+E2</f>
        <v>5448</v>
      </c>
      <c r="G2" s="368">
        <v>43427</v>
      </c>
      <c r="H2" s="80">
        <v>100</v>
      </c>
      <c r="I2" s="43">
        <v>45.45</v>
      </c>
      <c r="J2" s="43">
        <v>0.06</v>
      </c>
      <c r="K2" s="43">
        <f>H2*I2-J2</f>
        <v>4544.9399999999996</v>
      </c>
      <c r="L2" s="72">
        <v>43423</v>
      </c>
      <c r="M2" s="43">
        <v>182</v>
      </c>
      <c r="O2" s="11" t="s">
        <v>57</v>
      </c>
      <c r="Q2">
        <f>C18-H18</f>
        <v>400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47.246775000000007</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39.229999999999997</v>
      </c>
      <c r="R4" s="425">
        <v>-1.11E-2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15691.999999999998</v>
      </c>
      <c r="T5" s="1"/>
    </row>
    <row r="6" spans="1:21" x14ac:dyDescent="0.25">
      <c r="B6" s="368">
        <v>43383</v>
      </c>
      <c r="C6" s="7">
        <v>100</v>
      </c>
      <c r="D6" s="43">
        <v>44.2</v>
      </c>
      <c r="E6" s="43">
        <v>0</v>
      </c>
      <c r="F6" s="43">
        <f t="shared" si="0"/>
        <v>4420</v>
      </c>
      <c r="G6" s="4"/>
      <c r="H6" s="161"/>
      <c r="I6" s="3"/>
      <c r="J6" s="3"/>
      <c r="K6" s="3"/>
      <c r="L6" s="4"/>
      <c r="M6" s="4"/>
      <c r="O6" s="11" t="s">
        <v>64</v>
      </c>
      <c r="Q6" s="2">
        <f>Q3*Q2</f>
        <v>18898.710000000003</v>
      </c>
      <c r="T6" s="1">
        <v>43354</v>
      </c>
      <c r="U6" s="755" t="s">
        <v>1245</v>
      </c>
    </row>
    <row r="7" spans="1:21" x14ac:dyDescent="0.25">
      <c r="B7" s="404">
        <v>43497</v>
      </c>
      <c r="C7" s="7">
        <v>100</v>
      </c>
      <c r="D7" s="43">
        <v>39.68</v>
      </c>
      <c r="E7" s="43">
        <v>0</v>
      </c>
      <c r="F7" s="43">
        <f t="shared" si="0"/>
        <v>3968</v>
      </c>
      <c r="G7" s="4"/>
      <c r="H7" s="161"/>
      <c r="I7" s="3"/>
      <c r="J7" s="3"/>
      <c r="K7" s="3"/>
      <c r="L7" s="4"/>
      <c r="M7" s="4"/>
      <c r="O7" s="11" t="s">
        <v>177</v>
      </c>
      <c r="Q7" s="2">
        <f>Q10+Q8</f>
        <v>-3206.7100000000046</v>
      </c>
      <c r="R7" s="29">
        <v>43528</v>
      </c>
    </row>
    <row r="8" spans="1:21" x14ac:dyDescent="0.25">
      <c r="B8" s="404">
        <v>43497</v>
      </c>
      <c r="C8" s="7">
        <v>100</v>
      </c>
      <c r="D8" s="43">
        <v>38.770000000000003</v>
      </c>
      <c r="E8" s="43">
        <v>0</v>
      </c>
      <c r="F8" s="43">
        <f t="shared" si="0"/>
        <v>3877.0000000000005</v>
      </c>
      <c r="G8" s="4"/>
      <c r="H8" s="161"/>
      <c r="I8" s="3"/>
      <c r="J8" s="3"/>
      <c r="K8" s="3"/>
      <c r="L8" s="4"/>
      <c r="M8" s="4"/>
      <c r="O8" s="11" t="s">
        <v>179</v>
      </c>
      <c r="P8" s="33"/>
      <c r="Q8" s="2">
        <f>K18+M18-F18+Q2*Q4</f>
        <v>-3206.7100000000046</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-0.16967877701705589</v>
      </c>
      <c r="T9" s="156"/>
    </row>
    <row r="10" spans="1:21" x14ac:dyDescent="0.25">
      <c r="B10" s="404">
        <v>43517</v>
      </c>
      <c r="C10" s="4">
        <v>100</v>
      </c>
      <c r="D10" s="3">
        <v>39.08</v>
      </c>
      <c r="E10" s="3">
        <v>0</v>
      </c>
      <c r="F10" s="3">
        <f t="shared" si="0"/>
        <v>3908</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4.6393066530716294E-2</v>
      </c>
      <c r="R11">
        <f>1.82/4</f>
        <v>0.45500000000000002</v>
      </c>
      <c r="T11" s="1">
        <v>43391</v>
      </c>
      <c r="U11" s="755" t="s">
        <v>1288</v>
      </c>
    </row>
    <row r="12" spans="1:21" x14ac:dyDescent="0.25">
      <c r="H12" s="70"/>
      <c r="O12" s="11" t="s">
        <v>921</v>
      </c>
      <c r="Q12" s="1" t="s">
        <v>1380</v>
      </c>
    </row>
    <row r="13" spans="1:21" x14ac:dyDescent="0.25">
      <c r="H13" s="70"/>
      <c r="O13" s="11" t="s">
        <v>947</v>
      </c>
      <c r="Q13" s="2">
        <f>Q4/4.6</f>
        <v>8.5282608695652176</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43.152999999999999</v>
      </c>
    </row>
    <row r="18" spans="1:20" x14ac:dyDescent="0.25">
      <c r="A18" s="31" t="s">
        <v>81</v>
      </c>
      <c r="B18" s="14"/>
      <c r="C18" s="14">
        <f>SUM(C2:C10)</f>
        <v>800</v>
      </c>
      <c r="D18" s="18"/>
      <c r="E18" s="18"/>
      <c r="F18" s="18">
        <f>SUM(F2:F10)</f>
        <v>35717</v>
      </c>
      <c r="G18" s="14"/>
      <c r="H18" s="71">
        <f>SUM(H2:H5)</f>
        <v>400</v>
      </c>
      <c r="I18" s="18"/>
      <c r="J18" s="18"/>
      <c r="K18" s="18">
        <f>SUM(K2:K5)</f>
        <v>16408.789999999997</v>
      </c>
      <c r="L18" s="14"/>
      <c r="M18" s="18">
        <f>SUM(M2:M10)</f>
        <v>409.5</v>
      </c>
      <c r="O18" s="81">
        <v>1.0900000000000001</v>
      </c>
      <c r="P18" s="81">
        <f t="shared" ref="P18:P37" si="1">O18*$Q$4</f>
        <v>42.7607</v>
      </c>
      <c r="T18" s="1"/>
    </row>
    <row r="19" spans="1:20" ht="15.75" thickBot="1" x14ac:dyDescent="0.3">
      <c r="A19" s="277" t="s">
        <v>191</v>
      </c>
      <c r="B19" s="278"/>
      <c r="C19" s="279">
        <f>SumByColor($A$19,C2:C17)</f>
        <v>400</v>
      </c>
      <c r="D19" s="279"/>
      <c r="E19" s="279"/>
      <c r="F19" s="280">
        <f>SumByColor($A$19,F2:F17)</f>
        <v>16015</v>
      </c>
      <c r="G19" s="279"/>
      <c r="H19" s="279">
        <f>SumByColor($A$19,H2:H17)</f>
        <v>400</v>
      </c>
      <c r="I19" s="279"/>
      <c r="J19" s="279"/>
      <c r="K19" s="280">
        <f>SumByColor($A$19,K2:K17)</f>
        <v>16409</v>
      </c>
      <c r="L19" s="279"/>
      <c r="M19" s="280">
        <f>SumByColor($A$19,M2:M17)</f>
        <v>410</v>
      </c>
      <c r="O19" s="81">
        <v>1.08</v>
      </c>
      <c r="P19" s="81">
        <f t="shared" si="1"/>
        <v>42.368400000000001</v>
      </c>
    </row>
    <row r="20" spans="1:20" x14ac:dyDescent="0.25">
      <c r="O20" s="81">
        <v>1.07</v>
      </c>
      <c r="P20" s="81">
        <f t="shared" si="1"/>
        <v>41.976100000000002</v>
      </c>
    </row>
    <row r="21" spans="1:20" x14ac:dyDescent="0.25">
      <c r="O21" s="81">
        <v>1.06</v>
      </c>
      <c r="P21" s="81">
        <f t="shared" si="1"/>
        <v>41.583799999999997</v>
      </c>
    </row>
    <row r="22" spans="1:20" x14ac:dyDescent="0.25">
      <c r="O22" s="81">
        <v>1.05</v>
      </c>
      <c r="P22" s="81">
        <f t="shared" si="1"/>
        <v>41.191499999999998</v>
      </c>
    </row>
    <row r="23" spans="1:20" x14ac:dyDescent="0.25">
      <c r="O23" s="81">
        <v>1.04</v>
      </c>
      <c r="P23" s="81">
        <f t="shared" si="1"/>
        <v>40.799199999999999</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40.4069</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40.014599999999994</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39.622299999999996</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39.229999999999997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38.837699999999998</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38.445399999999999</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38.053099999999993</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37.660799999999995</v>
      </c>
    </row>
    <row r="32" spans="1:20" x14ac:dyDescent="0.25">
      <c r="A32">
        <v>100</v>
      </c>
      <c r="B32" s="164">
        <v>43385</v>
      </c>
      <c r="C32" s="10">
        <v>400</v>
      </c>
      <c r="D32" s="39">
        <v>50.534999999999997</v>
      </c>
      <c r="E32" s="39">
        <v>42.61</v>
      </c>
      <c r="F32" s="39">
        <f t="shared" ref="F32:F51" si="5">C32*(E32-D32)</f>
        <v>-3169.9999999999991</v>
      </c>
      <c r="G32" s="39">
        <f t="shared" ref="G32:G51" si="6">D32*C32</f>
        <v>20214</v>
      </c>
      <c r="H32" s="179">
        <f t="shared" ref="H32:H51" si="7">(E32-D32)/D32</f>
        <v>-0.15682200455130102</v>
      </c>
      <c r="I32" s="39"/>
      <c r="J32" s="39"/>
      <c r="K32" s="39"/>
      <c r="L32" s="39"/>
      <c r="O32" s="81">
        <v>0.95</v>
      </c>
      <c r="P32" s="81">
        <f t="shared" si="1"/>
        <v>37.268499999999996</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36.876199999999997</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36.483899999999998</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36.0916</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35.699300000000001</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35.306999999999995</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72"/>
      <c r="C57" s="4"/>
      <c r="D57" s="3"/>
      <c r="E57" s="3"/>
      <c r="F57" s="3"/>
      <c r="G57" s="3"/>
      <c r="H57" s="216"/>
      <c r="I57" s="3"/>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57:F63 H57:H63">
    <cfRule type="expression" dxfId="1819" priority="35">
      <formula>F57&gt;0</formula>
    </cfRule>
    <cfRule type="expression" dxfId="1818" priority="36">
      <formula>F57&lt;0</formula>
    </cfRule>
  </conditionalFormatting>
  <conditionalFormatting sqref="Q7">
    <cfRule type="expression" dxfId="1817" priority="33">
      <formula>Q7&gt;0</formula>
    </cfRule>
    <cfRule type="expression" dxfId="1816" priority="34">
      <formula>Q7&lt;0</formula>
    </cfRule>
  </conditionalFormatting>
  <conditionalFormatting sqref="Q8">
    <cfRule type="expression" dxfId="1815" priority="31">
      <formula>Q8&gt;0</formula>
    </cfRule>
    <cfRule type="expression" dxfId="1814" priority="32">
      <formula>Q8&lt;0</formula>
    </cfRule>
  </conditionalFormatting>
  <conditionalFormatting sqref="F30:F56">
    <cfRule type="expression" dxfId="1813" priority="29">
      <formula>F30&gt;0</formula>
    </cfRule>
    <cfRule type="expression" dxfId="1812" priority="30">
      <formula>F30&lt;0</formula>
    </cfRule>
  </conditionalFormatting>
  <conditionalFormatting sqref="H30:H56">
    <cfRule type="expression" dxfId="1811" priority="27">
      <formula>H30&gt;0</formula>
    </cfRule>
    <cfRule type="expression" dxfId="1810" priority="28">
      <formula>H30&lt;0</formula>
    </cfRule>
  </conditionalFormatting>
  <conditionalFormatting sqref="Q10">
    <cfRule type="expression" dxfId="1809" priority="25">
      <formula>Q10&gt;0</formula>
    </cfRule>
    <cfRule type="expression" dxfId="1808" priority="26">
      <formula>Q10&lt;0</formula>
    </cfRule>
  </conditionalFormatting>
  <conditionalFormatting sqref="J25:J39">
    <cfRule type="expression" dxfId="1807" priority="23">
      <formula>J25&gt;0</formula>
    </cfRule>
    <cfRule type="expression" dxfId="1806" priority="24">
      <formula>J25&lt;0</formula>
    </cfRule>
  </conditionalFormatting>
  <conditionalFormatting sqref="K25:K36">
    <cfRule type="expression" dxfId="1805" priority="21">
      <formula>K25&gt;0</formula>
    </cfRule>
    <cfRule type="expression" dxfId="1804" priority="22">
      <formula>K25&lt;0</formula>
    </cfRule>
  </conditionalFormatting>
  <conditionalFormatting sqref="L25">
    <cfRule type="expression" dxfId="1803" priority="19">
      <formula>L25&gt;0</formula>
    </cfRule>
    <cfRule type="expression" dxfId="1802" priority="20">
      <formula>L25&lt;0</formula>
    </cfRule>
  </conditionalFormatting>
  <conditionalFormatting sqref="F89:F110">
    <cfRule type="expression" dxfId="1801" priority="17">
      <formula>F89&gt;0</formula>
    </cfRule>
    <cfRule type="expression" dxfId="1800" priority="18">
      <formula>F89&lt;0</formula>
    </cfRule>
  </conditionalFormatting>
  <conditionalFormatting sqref="H89:H110">
    <cfRule type="expression" dxfId="1799" priority="15">
      <formula>H89&gt;0</formula>
    </cfRule>
    <cfRule type="expression" dxfId="1798" priority="16">
      <formula>H89&lt;0</formula>
    </cfRule>
  </conditionalFormatting>
  <conditionalFormatting sqref="J89:J102">
    <cfRule type="expression" dxfId="1797" priority="13">
      <formula>J89&gt;0</formula>
    </cfRule>
    <cfRule type="expression" dxfId="1796" priority="14">
      <formula>J89&lt;0</formula>
    </cfRule>
  </conditionalFormatting>
  <conditionalFormatting sqref="K89:K102">
    <cfRule type="expression" dxfId="1795" priority="11">
      <formula>K89&gt;0</formula>
    </cfRule>
    <cfRule type="expression" dxfId="1794" priority="12">
      <formula>K89&lt;0</formula>
    </cfRule>
  </conditionalFormatting>
  <conditionalFormatting sqref="L89:L102">
    <cfRule type="expression" dxfId="1793" priority="9">
      <formula>L89&gt;0</formula>
    </cfRule>
    <cfRule type="expression" dxfId="1792" priority="10">
      <formula>L89&lt;0</formula>
    </cfRule>
  </conditionalFormatting>
  <conditionalFormatting sqref="F25:F29">
    <cfRule type="expression" dxfId="1791" priority="7">
      <formula>F25&gt;0</formula>
    </cfRule>
    <cfRule type="expression" dxfId="1790" priority="8">
      <formula>F25&lt;0</formula>
    </cfRule>
  </conditionalFormatting>
  <conditionalFormatting sqref="H25:H29">
    <cfRule type="expression" dxfId="1789" priority="5">
      <formula>H25&gt;0</formula>
    </cfRule>
    <cfRule type="expression" dxfId="1788"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52.1</v>
      </c>
      <c r="R4" s="425">
        <v>5.0000000000000001E-3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10420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832.94000000000233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832.94000000000233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8.6881692614837344E-2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5.3742802303262949E-2</v>
      </c>
      <c r="R11">
        <v>0.7</v>
      </c>
      <c r="T11" s="1">
        <v>43285</v>
      </c>
      <c r="U11" t="s">
        <v>1130</v>
      </c>
    </row>
    <row r="12" spans="1:21" x14ac:dyDescent="0.25">
      <c r="H12" s="70"/>
      <c r="O12" s="11" t="s">
        <v>921</v>
      </c>
      <c r="Q12" s="1" t="s">
        <v>1370</v>
      </c>
    </row>
    <row r="13" spans="1:21" x14ac:dyDescent="0.25">
      <c r="H13" s="70"/>
      <c r="O13" s="11" t="s">
        <v>947</v>
      </c>
      <c r="Q13" s="2">
        <f>Q4/(3.94+4.03)*2</f>
        <v>13.074027603513173</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57.310000000000009</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56.789000000000009</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56.268000000000008</v>
      </c>
    </row>
    <row r="20" spans="1:21" x14ac:dyDescent="0.25">
      <c r="O20" s="81">
        <v>1.07</v>
      </c>
      <c r="P20" s="81">
        <f t="shared" si="2"/>
        <v>55.747000000000007</v>
      </c>
      <c r="T20" s="1">
        <v>43416</v>
      </c>
      <c r="U20" t="s">
        <v>1298</v>
      </c>
    </row>
    <row r="21" spans="1:21" x14ac:dyDescent="0.25">
      <c r="O21" s="81">
        <v>1.06</v>
      </c>
      <c r="P21" s="81">
        <f t="shared" si="2"/>
        <v>55.226000000000006</v>
      </c>
    </row>
    <row r="22" spans="1:21" x14ac:dyDescent="0.25">
      <c r="O22" s="81">
        <v>1.05</v>
      </c>
      <c r="P22" s="81">
        <f t="shared" si="2"/>
        <v>54.705000000000005</v>
      </c>
    </row>
    <row r="23" spans="1:21" x14ac:dyDescent="0.25">
      <c r="O23" s="81">
        <v>1.04</v>
      </c>
      <c r="P23" s="81">
        <f t="shared" si="2"/>
        <v>54.184000000000005</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53.663000000000004</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53.142000000000003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52.621000000000002</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51.579000000000001</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51.058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50.536999999999999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50.015999999999998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49.494999999999997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48.973999999999997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48.453000000000003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47.932000000000002</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47.411000000000001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46.89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87" priority="47">
      <formula>F7&gt;0</formula>
    </cfRule>
    <cfRule type="expression" dxfId="1786" priority="48">
      <formula>F7&lt;0</formula>
    </cfRule>
  </conditionalFormatting>
  <conditionalFormatting sqref="Q8">
    <cfRule type="expression" dxfId="1785" priority="45">
      <formula>Q8&gt;0</formula>
    </cfRule>
    <cfRule type="expression" dxfId="1784" priority="46">
      <formula>Q8&lt;0</formula>
    </cfRule>
  </conditionalFormatting>
  <conditionalFormatting sqref="Q10">
    <cfRule type="expression" dxfId="1783" priority="39">
      <formula>Q10&gt;0</formula>
    </cfRule>
    <cfRule type="expression" dxfId="1782" priority="40">
      <formula>Q10&lt;0</formula>
    </cfRule>
  </conditionalFormatting>
  <conditionalFormatting sqref="K25:K39">
    <cfRule type="expression" dxfId="1781" priority="35">
      <formula>K25&gt;0</formula>
    </cfRule>
    <cfRule type="expression" dxfId="1780" priority="36">
      <formula>K25&lt;0</formula>
    </cfRule>
  </conditionalFormatting>
  <conditionalFormatting sqref="L25">
    <cfRule type="expression" dxfId="1779" priority="33">
      <formula>L25&gt;0</formula>
    </cfRule>
    <cfRule type="expression" dxfId="1778" priority="34">
      <formula>L25&lt;0</formula>
    </cfRule>
  </conditionalFormatting>
  <conditionalFormatting sqref="F91:F112">
    <cfRule type="expression" dxfId="1777" priority="31">
      <formula>F91&gt;0</formula>
    </cfRule>
    <cfRule type="expression" dxfId="1776" priority="32">
      <formula>F91&lt;0</formula>
    </cfRule>
  </conditionalFormatting>
  <conditionalFormatting sqref="H91:H112">
    <cfRule type="expression" dxfId="1775" priority="29">
      <formula>H91&gt;0</formula>
    </cfRule>
    <cfRule type="expression" dxfId="1774" priority="30">
      <formula>H91&lt;0</formula>
    </cfRule>
  </conditionalFormatting>
  <conditionalFormatting sqref="J91:J104">
    <cfRule type="expression" dxfId="1773" priority="27">
      <formula>J91&gt;0</formula>
    </cfRule>
    <cfRule type="expression" dxfId="1772" priority="28">
      <formula>J91&lt;0</formula>
    </cfRule>
  </conditionalFormatting>
  <conditionalFormatting sqref="K91:K104">
    <cfRule type="expression" dxfId="1771" priority="25">
      <formula>K91&gt;0</formula>
    </cfRule>
    <cfRule type="expression" dxfId="1770" priority="26">
      <formula>K91&lt;0</formula>
    </cfRule>
  </conditionalFormatting>
  <conditionalFormatting sqref="L91:L104">
    <cfRule type="expression" dxfId="1769" priority="23">
      <formula>L91&gt;0</formula>
    </cfRule>
    <cfRule type="expression" dxfId="1768" priority="24">
      <formula>L91&lt;0</formula>
    </cfRule>
  </conditionalFormatting>
  <conditionalFormatting sqref="F25 F29">
    <cfRule type="expression" dxfId="1767" priority="21">
      <formula>F25&gt;0</formula>
    </cfRule>
    <cfRule type="expression" dxfId="1766" priority="22">
      <formula>F25&lt;0</formula>
    </cfRule>
  </conditionalFormatting>
  <conditionalFormatting sqref="H25 H29">
    <cfRule type="expression" dxfId="1765" priority="19">
      <formula>H25&gt;0</formula>
    </cfRule>
    <cfRule type="expression" dxfId="1764" priority="20">
      <formula>H25&lt;0</formula>
    </cfRule>
  </conditionalFormatting>
  <conditionalFormatting sqref="F26:F28">
    <cfRule type="expression" dxfId="1763" priority="17">
      <formula>F26&gt;0</formula>
    </cfRule>
    <cfRule type="expression" dxfId="1762" priority="18">
      <formula>F26&lt;0</formula>
    </cfRule>
  </conditionalFormatting>
  <conditionalFormatting sqref="H26:H28">
    <cfRule type="expression" dxfId="1761" priority="15">
      <formula>H26&gt;0</formula>
    </cfRule>
    <cfRule type="expression" dxfId="1760" priority="16">
      <formula>H26&lt;0</formula>
    </cfRule>
  </conditionalFormatting>
  <conditionalFormatting sqref="J25:J49">
    <cfRule type="expression" dxfId="1759" priority="11">
      <formula>J25&gt;0</formula>
    </cfRule>
    <cfRule type="expression" dxfId="1758" priority="12">
      <formula>J25&lt;0</formula>
    </cfRule>
  </conditionalFormatting>
  <conditionalFormatting sqref="J50:J61">
    <cfRule type="expression" dxfId="1757" priority="9">
      <formula>J50&gt;0</formula>
    </cfRule>
    <cfRule type="expression" dxfId="1756" priority="10">
      <formula>J50&lt;0</formula>
    </cfRule>
  </conditionalFormatting>
  <conditionalFormatting sqref="H62:H63 F62:F63">
    <cfRule type="expression" dxfId="1755" priority="1">
      <formula>F62&gt;0</formula>
    </cfRule>
    <cfRule type="expression" dxfId="1754"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31.22</v>
      </c>
      <c r="R4" s="425">
        <v>2.8999999999999998E-3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9366</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3250.8399999999965</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3250.8399999999965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0.5316034249308268</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6.4061499039077513E-2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8.92</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34.341999999999999</v>
      </c>
      <c r="T18" s="1">
        <v>43308</v>
      </c>
      <c r="U18" t="s">
        <v>1193</v>
      </c>
    </row>
    <row r="19" spans="1:21" x14ac:dyDescent="0.25">
      <c r="O19" s="81">
        <v>1.0900000000000001</v>
      </c>
      <c r="P19" s="81">
        <f t="shared" ref="P19:P38" si="2">O19*$Q$4</f>
        <v>34.029800000000002</v>
      </c>
    </row>
    <row r="20" spans="1:21" x14ac:dyDescent="0.25">
      <c r="O20" s="81">
        <v>1.08</v>
      </c>
      <c r="P20" s="81">
        <f t="shared" si="2"/>
        <v>33.717600000000004</v>
      </c>
      <c r="T20" s="1">
        <v>43320</v>
      </c>
      <c r="U20" t="s">
        <v>1225</v>
      </c>
    </row>
    <row r="21" spans="1:21" x14ac:dyDescent="0.25">
      <c r="O21" s="81">
        <v>1.07</v>
      </c>
      <c r="P21" s="81">
        <f t="shared" si="2"/>
        <v>33.4054</v>
      </c>
    </row>
    <row r="22" spans="1:21" x14ac:dyDescent="0.25">
      <c r="O22" s="81">
        <v>1.06</v>
      </c>
      <c r="P22" s="81">
        <f t="shared" si="2"/>
        <v>33.093200000000003</v>
      </c>
      <c r="T22" s="1">
        <v>43353</v>
      </c>
      <c r="U22" t="s">
        <v>1261</v>
      </c>
    </row>
    <row r="23" spans="1:21" x14ac:dyDescent="0.25">
      <c r="O23" s="81">
        <v>1.05</v>
      </c>
      <c r="P23" s="81">
        <f t="shared" si="2"/>
        <v>32.780999999999999</v>
      </c>
    </row>
    <row r="24" spans="1:21" x14ac:dyDescent="0.25">
      <c r="O24" s="81">
        <v>1.04</v>
      </c>
      <c r="P24" s="81">
        <f t="shared" si="2"/>
        <v>32.468800000000002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32.156599999999997</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31.8444</v>
      </c>
    </row>
    <row r="27" spans="1:21" x14ac:dyDescent="0.25">
      <c r="O27" s="81">
        <v>1.01</v>
      </c>
      <c r="P27" s="81">
        <f t="shared" si="2"/>
        <v>31.5322</v>
      </c>
      <c r="T27" s="1">
        <v>43397</v>
      </c>
      <c r="U27" t="s">
        <v>1292</v>
      </c>
    </row>
    <row r="28" spans="1:21" x14ac:dyDescent="0.25">
      <c r="O28" s="81">
        <v>1</v>
      </c>
      <c r="P28" s="81">
        <f t="shared" si="2"/>
        <v>31.22</v>
      </c>
      <c r="T28" s="1">
        <v>43399</v>
      </c>
      <c r="U28" t="s">
        <v>1291</v>
      </c>
    </row>
    <row r="29" spans="1:21" x14ac:dyDescent="0.25">
      <c r="O29" s="81">
        <v>0.99</v>
      </c>
      <c r="P29" s="81">
        <f t="shared" si="2"/>
        <v>30.907799999999998</v>
      </c>
    </row>
    <row r="30" spans="1:21" x14ac:dyDescent="0.25">
      <c r="O30" s="81">
        <v>0.98</v>
      </c>
      <c r="P30" s="81">
        <f t="shared" si="2"/>
        <v>30.595599999999997</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30.283399999999997</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29.971199999999996</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29.658999999999999</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29.346799999999998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29.034600000000001</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28.7224</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28.4102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28.097999999999999</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79" si="9">C76*(E76-D76)</f>
        <v>1088.3000000000002</v>
      </c>
      <c r="G76" s="39">
        <f t="shared" ref="G76:G79" si="10">D76*C76</f>
        <v>28451.699999999997</v>
      </c>
      <c r="H76" s="179">
        <f t="shared" ref="H76:H79"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ref="F80" si="12">C80*(E80-D80)</f>
        <v>2408.0000000000014</v>
      </c>
      <c r="G80" s="39">
        <f t="shared" ref="G80" si="13">D80*C80</f>
        <v>22120</v>
      </c>
      <c r="H80" s="179">
        <f t="shared" ref="H80" si="14">(E80-D80)/D80</f>
        <v>0.10886075949367095</v>
      </c>
      <c r="I80" s="39"/>
      <c r="J80" s="39"/>
      <c r="K80" s="39"/>
      <c r="L80" s="39"/>
    </row>
    <row r="81" spans="1:13" x14ac:dyDescent="0.25">
      <c r="A81" s="4">
        <v>600</v>
      </c>
      <c r="B81" s="164">
        <v>43498</v>
      </c>
      <c r="C81" s="10">
        <v>800</v>
      </c>
      <c r="D81" s="39">
        <v>27.1449</v>
      </c>
      <c r="E81" s="39">
        <v>30</v>
      </c>
      <c r="F81" s="39">
        <f t="shared" ref="F81:F84" si="15">C81*(E81-D81)</f>
        <v>2284.08</v>
      </c>
      <c r="G81" s="39">
        <f t="shared" ref="G81:G84" si="16">D81*C81</f>
        <v>21715.919999999998</v>
      </c>
      <c r="H81" s="179">
        <f t="shared" ref="H81:H84" si="17">(E81-D81)/D81</f>
        <v>0.10517997855950842</v>
      </c>
      <c r="I81" s="39"/>
      <c r="J81" s="39"/>
      <c r="K81" s="39"/>
      <c r="L81" s="39">
        <v>8.57</v>
      </c>
    </row>
    <row r="82" spans="1:13" x14ac:dyDescent="0.25">
      <c r="A82" s="4">
        <v>600</v>
      </c>
      <c r="B82" s="164">
        <v>43503</v>
      </c>
      <c r="C82" s="10">
        <v>1000</v>
      </c>
      <c r="D82" s="39">
        <v>27.515899999999998</v>
      </c>
      <c r="E82" s="39">
        <v>29.45</v>
      </c>
      <c r="F82" s="39">
        <f t="shared" si="15"/>
        <v>1934.1000000000008</v>
      </c>
      <c r="G82" s="39">
        <f t="shared" si="16"/>
        <v>27515.899999999998</v>
      </c>
      <c r="H82" s="179">
        <f t="shared" si="17"/>
        <v>7.0290268535646697E-2</v>
      </c>
      <c r="I82" s="39"/>
      <c r="J82" s="39"/>
      <c r="K82" s="39"/>
      <c r="L82" s="39">
        <v>8.41</v>
      </c>
    </row>
    <row r="83" spans="1:13" x14ac:dyDescent="0.25">
      <c r="A83" s="4">
        <v>400</v>
      </c>
      <c r="B83" s="164">
        <v>43511</v>
      </c>
      <c r="C83" s="7">
        <v>600</v>
      </c>
      <c r="D83" s="43">
        <v>25.6267</v>
      </c>
      <c r="E83" s="39">
        <v>30.47</v>
      </c>
      <c r="F83" s="39">
        <f t="shared" si="15"/>
        <v>2905.9799999999996</v>
      </c>
      <c r="G83" s="39">
        <f t="shared" si="16"/>
        <v>15376.02</v>
      </c>
      <c r="H83" s="179">
        <f t="shared" si="17"/>
        <v>0.18899429111044339</v>
      </c>
      <c r="I83" s="39"/>
      <c r="J83" s="39"/>
      <c r="K83" s="39"/>
      <c r="L83" s="39">
        <v>8.7100000000000009</v>
      </c>
    </row>
    <row r="84" spans="1:13" x14ac:dyDescent="0.25">
      <c r="A84" s="4">
        <v>100</v>
      </c>
      <c r="B84" s="164">
        <v>43516</v>
      </c>
      <c r="C84" s="185">
        <v>300</v>
      </c>
      <c r="D84" s="186">
        <v>20.383900000000001</v>
      </c>
      <c r="E84" s="39">
        <v>30.87</v>
      </c>
      <c r="F84" s="39">
        <f t="shared" si="15"/>
        <v>3145.83</v>
      </c>
      <c r="G84" s="39">
        <f t="shared" si="16"/>
        <v>6115.17</v>
      </c>
      <c r="H84" s="179">
        <f t="shared" si="17"/>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53" priority="47">
      <formula>F37&gt;0</formula>
    </cfRule>
    <cfRule type="expression" dxfId="1752" priority="48">
      <formula>F37&lt;0</formula>
    </cfRule>
  </conditionalFormatting>
  <conditionalFormatting sqref="Q7">
    <cfRule type="expression" dxfId="1751" priority="45">
      <formula>Q7&gt;0</formula>
    </cfRule>
    <cfRule type="expression" dxfId="1750" priority="46">
      <formula>Q7&lt;0</formula>
    </cfRule>
  </conditionalFormatting>
  <conditionalFormatting sqref="Q8">
    <cfRule type="expression" dxfId="1749" priority="43">
      <formula>Q8&gt;0</formula>
    </cfRule>
    <cfRule type="expression" dxfId="1748" priority="44">
      <formula>Q8&lt;0</formula>
    </cfRule>
  </conditionalFormatting>
  <conditionalFormatting sqref="Q10">
    <cfRule type="expression" dxfId="1747" priority="37">
      <formula>Q10&gt;0</formula>
    </cfRule>
    <cfRule type="expression" dxfId="1746" priority="38">
      <formula>Q10&lt;0</formula>
    </cfRule>
  </conditionalFormatting>
  <conditionalFormatting sqref="J32:J45">
    <cfRule type="expression" dxfId="1745" priority="35">
      <formula>J32&gt;0</formula>
    </cfRule>
    <cfRule type="expression" dxfId="1744" priority="36">
      <formula>J32&lt;0</formula>
    </cfRule>
  </conditionalFormatting>
  <conditionalFormatting sqref="K32:K45">
    <cfRule type="expression" dxfId="1743" priority="33">
      <formula>K32&gt;0</formula>
    </cfRule>
    <cfRule type="expression" dxfId="1742" priority="34">
      <formula>K32&lt;0</formula>
    </cfRule>
  </conditionalFormatting>
  <conditionalFormatting sqref="L32:L40">
    <cfRule type="expression" dxfId="1741" priority="31">
      <formula>L32&gt;0</formula>
    </cfRule>
    <cfRule type="expression" dxfId="1740" priority="32">
      <formula>L32&lt;0</formula>
    </cfRule>
  </conditionalFormatting>
  <conditionalFormatting sqref="F114:F135">
    <cfRule type="expression" dxfId="1739" priority="29">
      <formula>F114&gt;0</formula>
    </cfRule>
    <cfRule type="expression" dxfId="1738" priority="30">
      <formula>F114&lt;0</formula>
    </cfRule>
  </conditionalFormatting>
  <conditionalFormatting sqref="H114:H135">
    <cfRule type="expression" dxfId="1737" priority="27">
      <formula>H114&gt;0</formula>
    </cfRule>
    <cfRule type="expression" dxfId="1736" priority="28">
      <formula>H114&lt;0</formula>
    </cfRule>
  </conditionalFormatting>
  <conditionalFormatting sqref="J114:J127">
    <cfRule type="expression" dxfId="1735" priority="25">
      <formula>J114&gt;0</formula>
    </cfRule>
    <cfRule type="expression" dxfId="1734" priority="26">
      <formula>J114&lt;0</formula>
    </cfRule>
  </conditionalFormatting>
  <conditionalFormatting sqref="K114:K127">
    <cfRule type="expression" dxfId="1733" priority="23">
      <formula>K114&gt;0</formula>
    </cfRule>
    <cfRule type="expression" dxfId="1732" priority="24">
      <formula>K114&lt;0</formula>
    </cfRule>
  </conditionalFormatting>
  <conditionalFormatting sqref="L114:L127">
    <cfRule type="expression" dxfId="1731" priority="21">
      <formula>L114&gt;0</formula>
    </cfRule>
    <cfRule type="expression" dxfId="1730" priority="22">
      <formula>L114&lt;0</formula>
    </cfRule>
  </conditionalFormatting>
  <conditionalFormatting sqref="F32:F36">
    <cfRule type="expression" dxfId="1729" priority="19">
      <formula>F32&gt;0</formula>
    </cfRule>
    <cfRule type="expression" dxfId="1728" priority="20">
      <formula>F32&lt;0</formula>
    </cfRule>
  </conditionalFormatting>
  <conditionalFormatting sqref="H32:H36">
    <cfRule type="expression" dxfId="1727" priority="17">
      <formula>H32&gt;0</formula>
    </cfRule>
    <cfRule type="expression" dxfId="1726" priority="18">
      <formula>H32&lt;0</formula>
    </cfRule>
  </conditionalFormatting>
  <conditionalFormatting sqref="Q9">
    <cfRule type="expression" dxfId="1725" priority="15">
      <formula>Q9&gt;0</formula>
    </cfRule>
    <cfRule type="expression" dxfId="1724" priority="16">
      <formula>Q9&lt;0</formula>
    </cfRule>
  </conditionalFormatting>
  <conditionalFormatting sqref="H67:H69 F67:F69">
    <cfRule type="expression" dxfId="1723" priority="13">
      <formula>F67&gt;0</formula>
    </cfRule>
    <cfRule type="expression" dxfId="1722" priority="14">
      <formula>F67&lt;0</formula>
    </cfRule>
  </conditionalFormatting>
  <conditionalFormatting sqref="H70:H72 F70:F72">
    <cfRule type="expression" dxfId="1721" priority="11">
      <formula>F70&gt;0</formula>
    </cfRule>
    <cfRule type="expression" dxfId="1720" priority="12">
      <formula>F70&lt;0</formula>
    </cfRule>
  </conditionalFormatting>
  <conditionalFormatting sqref="F77 H77">
    <cfRule type="expression" dxfId="1719" priority="7">
      <formula>F77&gt;0</formula>
    </cfRule>
    <cfRule type="expression" dxfId="1718" priority="8">
      <formula>F77&lt;0</formula>
    </cfRule>
  </conditionalFormatting>
  <conditionalFormatting sqref="F74:F76 H74:H76">
    <cfRule type="expression" dxfId="1717" priority="5">
      <formula>F74&gt;0</formula>
    </cfRule>
    <cfRule type="expression" dxfId="1716" priority="6">
      <formula>F74&lt;0</formula>
    </cfRule>
  </conditionalFormatting>
  <conditionalFormatting sqref="H79:H81 F79:F81">
    <cfRule type="expression" dxfId="1715" priority="3">
      <formula>F79&gt;0</formula>
    </cfRule>
    <cfRule type="expression" dxfId="1714" priority="4">
      <formula>F79&lt;0</formula>
    </cfRule>
  </conditionalFormatting>
  <conditionalFormatting sqref="H82:H84 F82:F84">
    <cfRule type="expression" dxfId="1713" priority="1">
      <formula>F82&gt;0</formula>
    </cfRule>
    <cfRule type="expression" dxfId="1712"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 t="shared" ref="F45:F46" si="4">C45*(E45-D45)</f>
        <v>1352.9399999999998</v>
      </c>
      <c r="G45" s="39">
        <f t="shared" ref="G45:G47" si="5">D45*C45</f>
        <v>2788.26</v>
      </c>
      <c r="H45" s="179">
        <f t="shared" ref="H45:H47" si="6">(E45-D45)/D45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 t="shared" si="4"/>
        <v>1483.6000000000001</v>
      </c>
      <c r="G46" s="39">
        <f t="shared" si="5"/>
        <v>2788.2</v>
      </c>
      <c r="H46" s="179">
        <f t="shared" si="6"/>
        <v>0.53209956244171874</v>
      </c>
      <c r="I46" s="39"/>
      <c r="J46" s="778">
        <v>1626.57</v>
      </c>
      <c r="K46" s="39"/>
      <c r="L46" s="39"/>
    </row>
    <row r="47" spans="1:23" x14ac:dyDescent="0.25">
      <c r="B47" s="164">
        <v>43511</v>
      </c>
      <c r="C47" s="10">
        <v>0</v>
      </c>
      <c r="D47" s="39">
        <v>139.41</v>
      </c>
      <c r="E47" s="39">
        <v>216.47</v>
      </c>
      <c r="F47" s="39">
        <v>1538.68</v>
      </c>
      <c r="G47" s="39">
        <f t="shared" si="5"/>
        <v>0</v>
      </c>
      <c r="H47" s="179">
        <f t="shared" si="6"/>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11" priority="32">
      <formula>F51&gt;0</formula>
    </cfRule>
    <cfRule type="expression" dxfId="1710" priority="33">
      <formula>F51&lt;0</formula>
    </cfRule>
  </conditionalFormatting>
  <conditionalFormatting sqref="Q7">
    <cfRule type="expression" dxfId="1709" priority="30">
      <formula>Q7&gt;0</formula>
    </cfRule>
    <cfRule type="expression" dxfId="1708" priority="31">
      <formula>Q7&lt;0</formula>
    </cfRule>
  </conditionalFormatting>
  <conditionalFormatting sqref="Q8">
    <cfRule type="expression" dxfId="1707" priority="28">
      <formula>Q8&gt;0</formula>
    </cfRule>
    <cfRule type="expression" dxfId="1706" priority="29">
      <formula>Q8&lt;0</formula>
    </cfRule>
  </conditionalFormatting>
  <conditionalFormatting sqref="F25:F44 F46:F50">
    <cfRule type="expression" dxfId="1705" priority="26">
      <formula>F25&gt;0</formula>
    </cfRule>
    <cfRule type="expression" dxfId="1704" priority="27">
      <formula>F25&lt;0</formula>
    </cfRule>
  </conditionalFormatting>
  <conditionalFormatting sqref="H25:H44 H46:H50">
    <cfRule type="expression" dxfId="1703" priority="24">
      <formula>H25&gt;0</formula>
    </cfRule>
    <cfRule type="expression" dxfId="1702" priority="25">
      <formula>H25&lt;0</formula>
    </cfRule>
  </conditionalFormatting>
  <conditionalFormatting sqref="F89:F110">
    <cfRule type="expression" dxfId="1701" priority="22">
      <formula>F89&gt;0</formula>
    </cfRule>
    <cfRule type="expression" dxfId="1700" priority="23">
      <formula>F89&lt;0</formula>
    </cfRule>
  </conditionalFormatting>
  <conditionalFormatting sqref="H89:H110">
    <cfRule type="expression" dxfId="1699" priority="20">
      <formula>H89&gt;0</formula>
    </cfRule>
    <cfRule type="expression" dxfId="1698" priority="21">
      <formula>H89&lt;0</formula>
    </cfRule>
  </conditionalFormatting>
  <conditionalFormatting sqref="Q10">
    <cfRule type="expression" dxfId="1697" priority="18">
      <formula>Q10&gt;0</formula>
    </cfRule>
    <cfRule type="expression" dxfId="1696" priority="19">
      <formula>Q10&lt;0</formula>
    </cfRule>
  </conditionalFormatting>
  <conditionalFormatting sqref="J25:J39">
    <cfRule type="expression" dxfId="1695" priority="16">
      <formula>J25&gt;0</formula>
    </cfRule>
    <cfRule type="expression" dxfId="1694" priority="17">
      <formula>J25&lt;0</formula>
    </cfRule>
  </conditionalFormatting>
  <conditionalFormatting sqref="K25:K38">
    <cfRule type="expression" dxfId="1693" priority="14">
      <formula>K25&gt;0</formula>
    </cfRule>
    <cfRule type="expression" dxfId="1692" priority="15">
      <formula>K25&lt;0</formula>
    </cfRule>
  </conditionalFormatting>
  <conditionalFormatting sqref="L25:L38">
    <cfRule type="expression" dxfId="1691" priority="12">
      <formula>L25&gt;0</formula>
    </cfRule>
    <cfRule type="expression" dxfId="169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689" priority="9">
      <formula>J40&gt;0</formula>
    </cfRule>
    <cfRule type="expression" dxfId="168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87" priority="7">
      <formula>F45&gt;0</formula>
    </cfRule>
    <cfRule type="expression" dxfId="1686" priority="8">
      <formula>F45&lt;0</formula>
    </cfRule>
  </conditionalFormatting>
  <conditionalFormatting sqref="H45">
    <cfRule type="expression" dxfId="1685" priority="5">
      <formula>H45&gt;0</formula>
    </cfRule>
    <cfRule type="expression" dxfId="1684" priority="6">
      <formula>H45&lt;0</formula>
    </cfRule>
  </conditionalFormatting>
  <conditionalFormatting sqref="J45">
    <cfRule type="expression" dxfId="1683" priority="3">
      <formula>J45&gt;0</formula>
    </cfRule>
    <cfRule type="expression" dxfId="1682" priority="4">
      <formula>J45&lt;0</formula>
    </cfRule>
  </conditionalFormatting>
  <conditionalFormatting sqref="J46">
    <cfRule type="expression" dxfId="1681" priority="1">
      <formula>J46&gt;0</formula>
    </cfRule>
    <cfRule type="expression" dxfId="168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79" priority="74">
      <formula>F12&gt;0</formula>
    </cfRule>
    <cfRule type="expression" dxfId="167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77" priority="67">
      <formula>F124&gt;0</formula>
    </cfRule>
    <cfRule type="expression" dxfId="1676" priority="68">
      <formula>F124&lt;0</formula>
    </cfRule>
  </conditionalFormatting>
  <conditionalFormatting sqref="H124:H130">
    <cfRule type="expression" dxfId="1675" priority="55">
      <formula>H124&gt;0</formula>
    </cfRule>
    <cfRule type="expression" dxfId="1674" priority="56">
      <formula>H124&lt;0</formula>
    </cfRule>
  </conditionalFormatting>
  <conditionalFormatting sqref="H131">
    <cfRule type="expression" dxfId="1673" priority="53">
      <formula>H131&gt;0</formula>
    </cfRule>
    <cfRule type="expression" dxfId="1672" priority="54">
      <formula>H131&lt;0</formula>
    </cfRule>
  </conditionalFormatting>
  <conditionalFormatting sqref="H132">
    <cfRule type="expression" dxfId="1671" priority="51">
      <formula>H132&gt;0</formula>
    </cfRule>
    <cfRule type="expression" dxfId="1670" priority="52">
      <formula>H132&lt;0</formula>
    </cfRule>
  </conditionalFormatting>
  <conditionalFormatting sqref="H133:H135">
    <cfRule type="expression" dxfId="1669" priority="49">
      <formula>H133&gt;0</formula>
    </cfRule>
    <cfRule type="expression" dxfId="1668" priority="50">
      <formula>H133&lt;0</formula>
    </cfRule>
  </conditionalFormatting>
  <conditionalFormatting sqref="H136">
    <cfRule type="expression" dxfId="1667" priority="45">
      <formula>H136&gt;0</formula>
    </cfRule>
    <cfRule type="expression" dxfId="1666" priority="46">
      <formula>H136&lt;0</formula>
    </cfRule>
  </conditionalFormatting>
  <conditionalFormatting sqref="Q7">
    <cfRule type="expression" dxfId="1665" priority="39">
      <formula>Q7&gt;0</formula>
    </cfRule>
    <cfRule type="expression" dxfId="1664" priority="40">
      <formula>Q7&lt;0</formula>
    </cfRule>
  </conditionalFormatting>
  <conditionalFormatting sqref="Q8">
    <cfRule type="expression" dxfId="1663" priority="37">
      <formula>Q8&gt;0</formula>
    </cfRule>
    <cfRule type="expression" dxfId="1662" priority="38">
      <formula>Q8&lt;0</formula>
    </cfRule>
  </conditionalFormatting>
  <conditionalFormatting sqref="F167:F178 H167:H178">
    <cfRule type="expression" dxfId="1661" priority="35">
      <formula>F167&gt;0</formula>
    </cfRule>
    <cfRule type="expression" dxfId="1660" priority="36">
      <formula>F167&lt;0</formula>
    </cfRule>
  </conditionalFormatting>
  <conditionalFormatting sqref="F183:F197 H183:H197">
    <cfRule type="expression" dxfId="1659" priority="33">
      <formula>F183&gt;0</formula>
    </cfRule>
    <cfRule type="expression" dxfId="1658" priority="34">
      <formula>F183&lt;0</formula>
    </cfRule>
  </conditionalFormatting>
  <conditionalFormatting sqref="F198:F206 H198:H206">
    <cfRule type="expression" dxfId="1657" priority="31">
      <formula>F198&gt;0</formula>
    </cfRule>
    <cfRule type="expression" dxfId="1656" priority="32">
      <formula>F198&lt;0</formula>
    </cfRule>
  </conditionalFormatting>
  <conditionalFormatting sqref="F141:F147 H141:H147">
    <cfRule type="expression" dxfId="1655" priority="29">
      <formula>F141&gt;0</formula>
    </cfRule>
    <cfRule type="expression" dxfId="1654" priority="30">
      <formula>F141&lt;0</formula>
    </cfRule>
  </conditionalFormatting>
  <conditionalFormatting sqref="H149:H152 F149:F152">
    <cfRule type="expression" dxfId="1653" priority="27">
      <formula>F149&gt;0</formula>
    </cfRule>
    <cfRule type="expression" dxfId="1652" priority="28">
      <formula>F149&lt;0</formula>
    </cfRule>
  </conditionalFormatting>
  <conditionalFormatting sqref="F226 H215:H218 H257:H260 F257:F260 H226 H231:H233 F231:F233 F235:F244 H235:H244">
    <cfRule type="expression" dxfId="1651" priority="25">
      <formula>F215&gt;0</formula>
    </cfRule>
    <cfRule type="expression" dxfId="1650" priority="26">
      <formula>F215&lt;0</formula>
    </cfRule>
  </conditionalFormatting>
  <conditionalFormatting sqref="F207:F218">
    <cfRule type="expression" dxfId="1649" priority="23">
      <formula>F207&gt;0</formula>
    </cfRule>
    <cfRule type="expression" dxfId="1648" priority="24">
      <formula>F207&lt;0</formula>
    </cfRule>
  </conditionalFormatting>
  <conditionalFormatting sqref="H207:H208">
    <cfRule type="expression" dxfId="1647" priority="21">
      <formula>H207&gt;0</formula>
    </cfRule>
    <cfRule type="expression" dxfId="1646" priority="22">
      <formula>H207&lt;0</formula>
    </cfRule>
  </conditionalFormatting>
  <conditionalFormatting sqref="H209">
    <cfRule type="expression" dxfId="1645" priority="19">
      <formula>H209&gt;0</formula>
    </cfRule>
    <cfRule type="expression" dxfId="1644" priority="20">
      <formula>H209&lt;0</formula>
    </cfRule>
  </conditionalFormatting>
  <conditionalFormatting sqref="H210">
    <cfRule type="expression" dxfId="1643" priority="17">
      <formula>H210&gt;0</formula>
    </cfRule>
    <cfRule type="expression" dxfId="1642" priority="18">
      <formula>H210&lt;0</formula>
    </cfRule>
  </conditionalFormatting>
  <conditionalFormatting sqref="H211:H213">
    <cfRule type="expression" dxfId="1641" priority="15">
      <formula>H211&gt;0</formula>
    </cfRule>
    <cfRule type="expression" dxfId="1640" priority="16">
      <formula>H211&lt;0</formula>
    </cfRule>
  </conditionalFormatting>
  <conditionalFormatting sqref="H214">
    <cfRule type="expression" dxfId="1639" priority="13">
      <formula>H214&gt;0</formula>
    </cfRule>
    <cfRule type="expression" dxfId="1638" priority="14">
      <formula>H214&lt;0</formula>
    </cfRule>
  </conditionalFormatting>
  <conditionalFormatting sqref="F245:F256 H245:H256">
    <cfRule type="expression" dxfId="1637" priority="11">
      <formula>F245&gt;0</formula>
    </cfRule>
    <cfRule type="expression" dxfId="1636" priority="12">
      <formula>F245&lt;0</formula>
    </cfRule>
  </conditionalFormatting>
  <conditionalFormatting sqref="F261:F275 H261:H275">
    <cfRule type="expression" dxfId="1635" priority="9">
      <formula>F261&gt;0</formula>
    </cfRule>
    <cfRule type="expression" dxfId="1634" priority="10">
      <formula>F261&lt;0</formula>
    </cfRule>
  </conditionalFormatting>
  <conditionalFormatting sqref="F276:F283 H276:H283">
    <cfRule type="expression" dxfId="1633" priority="7">
      <formula>F276&gt;0</formula>
    </cfRule>
    <cfRule type="expression" dxfId="1632" priority="8">
      <formula>F276&lt;0</formula>
    </cfRule>
  </conditionalFormatting>
  <conditionalFormatting sqref="F219:F225 H219:H225">
    <cfRule type="expression" dxfId="1631" priority="5">
      <formula>F219&gt;0</formula>
    </cfRule>
    <cfRule type="expression" dxfId="1630" priority="6">
      <formula>F219&lt;0</formula>
    </cfRule>
  </conditionalFormatting>
  <conditionalFormatting sqref="H227:H230 F227:F230">
    <cfRule type="expression" dxfId="1629" priority="3">
      <formula>F227&gt;0</formula>
    </cfRule>
    <cfRule type="expression" dxfId="1628" priority="4">
      <formula>F227&lt;0</formula>
    </cfRule>
  </conditionalFormatting>
  <conditionalFormatting sqref="H234 F234">
    <cfRule type="expression" dxfId="1627" priority="1">
      <formula>F234&gt;0</formula>
    </cfRule>
    <cfRule type="expression" dxfId="162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25" priority="43">
      <formula>F33&gt;0</formula>
    </cfRule>
    <cfRule type="expression" dxfId="1624" priority="44">
      <formula>F33&lt;0</formula>
    </cfRule>
  </conditionalFormatting>
  <conditionalFormatting sqref="Q7">
    <cfRule type="expression" dxfId="1623" priority="41">
      <formula>Q7&gt;0</formula>
    </cfRule>
    <cfRule type="expression" dxfId="1622" priority="42">
      <formula>Q7&lt;0</formula>
    </cfRule>
  </conditionalFormatting>
  <conditionalFormatting sqref="Q8">
    <cfRule type="expression" dxfId="1621" priority="39">
      <formula>Q8&gt;0</formula>
    </cfRule>
    <cfRule type="expression" dxfId="1620" priority="40">
      <formula>Q8&lt;0</formula>
    </cfRule>
  </conditionalFormatting>
  <conditionalFormatting sqref="F29 F32">
    <cfRule type="expression" dxfId="1619" priority="37">
      <formula>F29&gt;0</formula>
    </cfRule>
    <cfRule type="expression" dxfId="1618" priority="38">
      <formula>F29&lt;0</formula>
    </cfRule>
  </conditionalFormatting>
  <conditionalFormatting sqref="H29 H32">
    <cfRule type="expression" dxfId="1617" priority="35">
      <formula>H29&gt;0</formula>
    </cfRule>
    <cfRule type="expression" dxfId="1616" priority="36">
      <formula>H29&lt;0</formula>
    </cfRule>
  </conditionalFormatting>
  <conditionalFormatting sqref="F30:F31">
    <cfRule type="expression" dxfId="1615" priority="33">
      <formula>F30&gt;0</formula>
    </cfRule>
    <cfRule type="expression" dxfId="1614" priority="34">
      <formula>F30&lt;0</formula>
    </cfRule>
  </conditionalFormatting>
  <conditionalFormatting sqref="H30:H31">
    <cfRule type="expression" dxfId="1613" priority="31">
      <formula>H30&gt;0</formula>
    </cfRule>
    <cfRule type="expression" dxfId="1612" priority="32">
      <formula>H30&lt;0</formula>
    </cfRule>
  </conditionalFormatting>
  <conditionalFormatting sqref="F105:F140 H105:H140">
    <cfRule type="expression" dxfId="1611" priority="29">
      <formula>F105&gt;0</formula>
    </cfRule>
    <cfRule type="expression" dxfId="1610" priority="30">
      <formula>F105&lt;0</formula>
    </cfRule>
  </conditionalFormatting>
  <conditionalFormatting sqref="F96:F99">
    <cfRule type="expression" dxfId="1609" priority="27">
      <formula>F96&gt;0</formula>
    </cfRule>
    <cfRule type="expression" dxfId="1608" priority="28">
      <formula>F96&lt;0</formula>
    </cfRule>
  </conditionalFormatting>
  <conditionalFormatting sqref="H96:H99">
    <cfRule type="expression" dxfId="1607" priority="25">
      <formula>H96&gt;0</formula>
    </cfRule>
    <cfRule type="expression" dxfId="1606" priority="26">
      <formula>H96&lt;0</formula>
    </cfRule>
  </conditionalFormatting>
  <conditionalFormatting sqref="F25:F28">
    <cfRule type="expression" dxfId="1605" priority="19">
      <formula>F25&gt;0</formula>
    </cfRule>
    <cfRule type="expression" dxfId="1604" priority="20">
      <formula>F25&lt;0</formula>
    </cfRule>
  </conditionalFormatting>
  <conditionalFormatting sqref="H25:H28">
    <cfRule type="expression" dxfId="1603" priority="17">
      <formula>H25&gt;0</formula>
    </cfRule>
    <cfRule type="expression" dxfId="1602" priority="18">
      <formula>H25&lt;0</formula>
    </cfRule>
  </conditionalFormatting>
  <conditionalFormatting sqref="J27">
    <cfRule type="expression" dxfId="1601" priority="15">
      <formula>J27&gt;0</formula>
    </cfRule>
    <cfRule type="expression" dxfId="1600" priority="16">
      <formula>J27&lt;0</formula>
    </cfRule>
  </conditionalFormatting>
  <conditionalFormatting sqref="F104">
    <cfRule type="expression" dxfId="1599" priority="13">
      <formula>F104&gt;0</formula>
    </cfRule>
    <cfRule type="expression" dxfId="1598" priority="14">
      <formula>F104&lt;0</formula>
    </cfRule>
  </conditionalFormatting>
  <conditionalFormatting sqref="H104">
    <cfRule type="expression" dxfId="1597" priority="11">
      <formula>H104&gt;0</formula>
    </cfRule>
    <cfRule type="expression" dxfId="1596" priority="12">
      <formula>H104&lt;0</formula>
    </cfRule>
  </conditionalFormatting>
  <conditionalFormatting sqref="F100:F103">
    <cfRule type="expression" dxfId="1595" priority="9">
      <formula>F100&gt;0</formula>
    </cfRule>
    <cfRule type="expression" dxfId="1594" priority="10">
      <formula>F100&lt;0</formula>
    </cfRule>
  </conditionalFormatting>
  <conditionalFormatting sqref="H100:H103">
    <cfRule type="expression" dxfId="1593" priority="7">
      <formula>H100&gt;0</formula>
    </cfRule>
    <cfRule type="expression" dxfId="1592" priority="8">
      <formula>H100&lt;0</formula>
    </cfRule>
  </conditionalFormatting>
  <conditionalFormatting sqref="J102">
    <cfRule type="expression" dxfId="1591" priority="5">
      <formula>J102&gt;0</formula>
    </cfRule>
    <cfRule type="expression" dxfId="1590" priority="6">
      <formula>J102&lt;0</formula>
    </cfRule>
  </conditionalFormatting>
  <conditionalFormatting sqref="Q10">
    <cfRule type="expression" dxfId="1589" priority="3">
      <formula>Q10&gt;0</formula>
    </cfRule>
    <cfRule type="expression" dxfId="1588" priority="4">
      <formula>Q10&lt;0</formula>
    </cfRule>
  </conditionalFormatting>
  <conditionalFormatting sqref="M71">
    <cfRule type="expression" dxfId="1587" priority="1">
      <formula>M71&gt;0</formula>
    </cfRule>
    <cfRule type="expression" dxfId="158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85" priority="33">
      <formula>F34&gt;0</formula>
    </cfRule>
    <cfRule type="expression" dxfId="1584" priority="34">
      <formula>F34&lt;0</formula>
    </cfRule>
  </conditionalFormatting>
  <conditionalFormatting sqref="Q7">
    <cfRule type="expression" dxfId="1583" priority="31">
      <formula>Q7&gt;0</formula>
    </cfRule>
    <cfRule type="expression" dxfId="1582" priority="32">
      <formula>Q7&lt;0</formula>
    </cfRule>
  </conditionalFormatting>
  <conditionalFormatting sqref="Q8">
    <cfRule type="expression" dxfId="1581" priority="29">
      <formula>Q8&gt;0</formula>
    </cfRule>
    <cfRule type="expression" dxfId="1580" priority="30">
      <formula>Q8&lt;0</formula>
    </cfRule>
  </conditionalFormatting>
  <conditionalFormatting sqref="F27:F33">
    <cfRule type="expression" dxfId="1579" priority="27">
      <formula>F27&gt;0</formula>
    </cfRule>
    <cfRule type="expression" dxfId="1578" priority="28">
      <formula>F27&lt;0</formula>
    </cfRule>
  </conditionalFormatting>
  <conditionalFormatting sqref="H27:H33">
    <cfRule type="expression" dxfId="1577" priority="25">
      <formula>H27&gt;0</formula>
    </cfRule>
    <cfRule type="expression" dxfId="1576" priority="26">
      <formula>H27&lt;0</formula>
    </cfRule>
  </conditionalFormatting>
  <conditionalFormatting sqref="M46">
    <cfRule type="expression" dxfId="1575" priority="23">
      <formula>M46&gt;0</formula>
    </cfRule>
    <cfRule type="expression" dxfId="1574" priority="24">
      <formula>M46&lt;0</formula>
    </cfRule>
  </conditionalFormatting>
  <conditionalFormatting sqref="F79:F87 H79:H87">
    <cfRule type="expression" dxfId="1573" priority="21">
      <formula>F79&gt;0</formula>
    </cfRule>
    <cfRule type="expression" dxfId="1572" priority="22">
      <formula>F79&lt;0</formula>
    </cfRule>
  </conditionalFormatting>
  <conditionalFormatting sqref="F73 F77:F78">
    <cfRule type="expression" dxfId="1571" priority="19">
      <formula>F73&gt;0</formula>
    </cfRule>
    <cfRule type="expression" dxfId="1570" priority="20">
      <formula>F73&lt;0</formula>
    </cfRule>
  </conditionalFormatting>
  <conditionalFormatting sqref="H73 H77:H78">
    <cfRule type="expression" dxfId="1569" priority="17">
      <formula>H73&gt;0</formula>
    </cfRule>
    <cfRule type="expression" dxfId="1568" priority="18">
      <formula>H73&lt;0</formula>
    </cfRule>
  </conditionalFormatting>
  <conditionalFormatting sqref="F70:F72">
    <cfRule type="expression" dxfId="1567" priority="15">
      <formula>F70&gt;0</formula>
    </cfRule>
    <cfRule type="expression" dxfId="1566" priority="16">
      <formula>F70&lt;0</formula>
    </cfRule>
  </conditionalFormatting>
  <conditionalFormatting sqref="H70:H72">
    <cfRule type="expression" dxfId="1565" priority="13">
      <formula>H70&gt;0</formula>
    </cfRule>
    <cfRule type="expression" dxfId="1564" priority="14">
      <formula>H70&lt;0</formula>
    </cfRule>
  </conditionalFormatting>
  <conditionalFormatting sqref="F25:F26">
    <cfRule type="expression" dxfId="1563" priority="11">
      <formula>F25&gt;0</formula>
    </cfRule>
    <cfRule type="expression" dxfId="1562" priority="12">
      <formula>F25&lt;0</formula>
    </cfRule>
  </conditionalFormatting>
  <conditionalFormatting sqref="H25:H26">
    <cfRule type="expression" dxfId="1561" priority="9">
      <formula>H25&gt;0</formula>
    </cfRule>
    <cfRule type="expression" dxfId="1560" priority="10">
      <formula>H25&lt;0</formula>
    </cfRule>
  </conditionalFormatting>
  <conditionalFormatting sqref="F76">
    <cfRule type="expression" dxfId="1559" priority="7">
      <formula>F76&gt;0</formula>
    </cfRule>
    <cfRule type="expression" dxfId="1558" priority="8">
      <formula>F76&lt;0</formula>
    </cfRule>
  </conditionalFormatting>
  <conditionalFormatting sqref="H76">
    <cfRule type="expression" dxfId="1557" priority="5">
      <formula>H76&gt;0</formula>
    </cfRule>
    <cfRule type="expression" dxfId="1556" priority="6">
      <formula>H76&lt;0</formula>
    </cfRule>
  </conditionalFormatting>
  <conditionalFormatting sqref="F74:F75">
    <cfRule type="expression" dxfId="1555" priority="3">
      <formula>F74&gt;0</formula>
    </cfRule>
    <cfRule type="expression" dxfId="1554" priority="4">
      <formula>F74&lt;0</formula>
    </cfRule>
  </conditionalFormatting>
  <conditionalFormatting sqref="H74:H75">
    <cfRule type="expression" dxfId="1553" priority="1">
      <formula>H74&gt;0</formula>
    </cfRule>
    <cfRule type="expression" dxfId="155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51" priority="59">
      <formula>F49&gt;0</formula>
    </cfRule>
    <cfRule type="expression" dxfId="1550" priority="60">
      <formula>F49&lt;0</formula>
    </cfRule>
  </conditionalFormatting>
  <conditionalFormatting sqref="Q7">
    <cfRule type="expression" dxfId="1549" priority="57">
      <formula>Q7&gt;0</formula>
    </cfRule>
    <cfRule type="expression" dxfId="1548" priority="58">
      <formula>Q7&lt;0</formula>
    </cfRule>
  </conditionalFormatting>
  <conditionalFormatting sqref="Q8">
    <cfRule type="expression" dxfId="1547" priority="55">
      <formula>Q8&gt;0</formula>
    </cfRule>
    <cfRule type="expression" dxfId="1546" priority="56">
      <formula>Q8&lt;0</formula>
    </cfRule>
  </conditionalFormatting>
  <conditionalFormatting sqref="F34:F46">
    <cfRule type="expression" dxfId="1545" priority="53">
      <formula>F34&gt;0</formula>
    </cfRule>
    <cfRule type="expression" dxfId="1544" priority="54">
      <formula>F34&lt;0</formula>
    </cfRule>
  </conditionalFormatting>
  <conditionalFormatting sqref="H34:H46">
    <cfRule type="expression" dxfId="1543" priority="51">
      <formula>H34&gt;0</formula>
    </cfRule>
    <cfRule type="expression" dxfId="1542" priority="52">
      <formula>H34&lt;0</formula>
    </cfRule>
  </conditionalFormatting>
  <conditionalFormatting sqref="Q10">
    <cfRule type="expression" dxfId="1541" priority="49">
      <formula>Q10&gt;0</formula>
    </cfRule>
    <cfRule type="expression" dxfId="1540" priority="50">
      <formula>Q10&lt;0</formula>
    </cfRule>
  </conditionalFormatting>
  <conditionalFormatting sqref="J28:J41">
    <cfRule type="expression" dxfId="1539" priority="47">
      <formula>J28&gt;0</formula>
    </cfRule>
    <cfRule type="expression" dxfId="1538" priority="48">
      <formula>J28&lt;0</formula>
    </cfRule>
  </conditionalFormatting>
  <conditionalFormatting sqref="K28:K41">
    <cfRule type="expression" dxfId="1537" priority="45">
      <formula>K28&gt;0</formula>
    </cfRule>
    <cfRule type="expression" dxfId="1536" priority="46">
      <formula>K28&lt;0</formula>
    </cfRule>
  </conditionalFormatting>
  <conditionalFormatting sqref="L28:L41">
    <cfRule type="expression" dxfId="1535" priority="43">
      <formula>L28&gt;0</formula>
    </cfRule>
    <cfRule type="expression" dxfId="1534" priority="44">
      <formula>L28&lt;0</formula>
    </cfRule>
  </conditionalFormatting>
  <conditionalFormatting sqref="F94:F115">
    <cfRule type="expression" dxfId="1533" priority="41">
      <formula>F94&gt;0</formula>
    </cfRule>
    <cfRule type="expression" dxfId="1532" priority="42">
      <formula>F94&lt;0</formula>
    </cfRule>
  </conditionalFormatting>
  <conditionalFormatting sqref="H94:H115">
    <cfRule type="expression" dxfId="1531" priority="39">
      <formula>H94&gt;0</formula>
    </cfRule>
    <cfRule type="expression" dxfId="1530" priority="40">
      <formula>H94&lt;0</formula>
    </cfRule>
  </conditionalFormatting>
  <conditionalFormatting sqref="J94:J107">
    <cfRule type="expression" dxfId="1529" priority="37">
      <formula>J94&gt;0</formula>
    </cfRule>
    <cfRule type="expression" dxfId="1528" priority="38">
      <formula>J94&lt;0</formula>
    </cfRule>
  </conditionalFormatting>
  <conditionalFormatting sqref="K94:K107">
    <cfRule type="expression" dxfId="1527" priority="35">
      <formula>K94&gt;0</formula>
    </cfRule>
    <cfRule type="expression" dxfId="1526" priority="36">
      <formula>K94&lt;0</formula>
    </cfRule>
  </conditionalFormatting>
  <conditionalFormatting sqref="L94:L107">
    <cfRule type="expression" dxfId="1525" priority="33">
      <formula>L94&gt;0</formula>
    </cfRule>
    <cfRule type="expression" dxfId="1524" priority="34">
      <formula>L94&lt;0</formula>
    </cfRule>
  </conditionalFormatting>
  <conditionalFormatting sqref="F28:F31">
    <cfRule type="expression" dxfId="1523" priority="31">
      <formula>F28&gt;0</formula>
    </cfRule>
    <cfRule type="expression" dxfId="1522" priority="32">
      <formula>F28&lt;0</formula>
    </cfRule>
  </conditionalFormatting>
  <conditionalFormatting sqref="H28:H31">
    <cfRule type="expression" dxfId="1521" priority="29">
      <formula>H28&gt;0</formula>
    </cfRule>
    <cfRule type="expression" dxfId="1520" priority="30">
      <formula>H28&lt;0</formula>
    </cfRule>
  </conditionalFormatting>
  <conditionalFormatting sqref="F32:F33">
    <cfRule type="expression" dxfId="1519" priority="25">
      <formula>F32&gt;0</formula>
    </cfRule>
    <cfRule type="expression" dxfId="1518" priority="26">
      <formula>F32&lt;0</formula>
    </cfRule>
  </conditionalFormatting>
  <conditionalFormatting sqref="H32:H33">
    <cfRule type="expression" dxfId="1517" priority="23">
      <formula>H32&gt;0</formula>
    </cfRule>
    <cfRule type="expression" dxfId="1516" priority="24">
      <formula>H32&lt;0</formula>
    </cfRule>
  </conditionalFormatting>
  <conditionalFormatting sqref="J48">
    <cfRule type="expression" dxfId="1515" priority="21">
      <formula>J48&gt;0</formula>
    </cfRule>
    <cfRule type="expression" dxfId="1514" priority="22">
      <formula>J48&lt;0</formula>
    </cfRule>
  </conditionalFormatting>
  <conditionalFormatting sqref="F47:F48">
    <cfRule type="expression" dxfId="1513" priority="19">
      <formula>F47&gt;0</formula>
    </cfRule>
    <cfRule type="expression" dxfId="1512" priority="20">
      <formula>F47&lt;0</formula>
    </cfRule>
  </conditionalFormatting>
  <conditionalFormatting sqref="H47:H48">
    <cfRule type="expression" dxfId="1511" priority="17">
      <formula>H47&gt;0</formula>
    </cfRule>
    <cfRule type="expression" dxfId="1510" priority="18">
      <formula>H47&lt;0</formula>
    </cfRule>
  </conditionalFormatting>
  <conditionalFormatting sqref="J49:J53">
    <cfRule type="expression" dxfId="1509" priority="15">
      <formula>J49&gt;0</formula>
    </cfRule>
    <cfRule type="expression" dxfId="1508" priority="16">
      <formula>J49&lt;0</formula>
    </cfRule>
  </conditionalFormatting>
  <conditionalFormatting sqref="J54:J62">
    <cfRule type="expression" dxfId="1507" priority="13">
      <formula>J54&gt;0</formula>
    </cfRule>
    <cfRule type="expression" dxfId="1506" priority="14">
      <formula>J54&lt;0</formula>
    </cfRule>
  </conditionalFormatting>
  <conditionalFormatting sqref="J63">
    <cfRule type="expression" dxfId="1505" priority="5">
      <formula>J63&gt;0</formula>
    </cfRule>
    <cfRule type="expression" dxfId="1504" priority="6">
      <formula>J63&lt;0</formula>
    </cfRule>
  </conditionalFormatting>
  <conditionalFormatting sqref="H64:H65 F64:F65">
    <cfRule type="expression" dxfId="1503" priority="3">
      <formula>F64&gt;0</formula>
    </cfRule>
    <cfRule type="expression" dxfId="1502" priority="4">
      <formula>F64&lt;0</formula>
    </cfRule>
  </conditionalFormatting>
  <conditionalFormatting sqref="J64">
    <cfRule type="expression" dxfId="1501" priority="1">
      <formula>J64&gt;0</formula>
    </cfRule>
    <cfRule type="expression" dxfId="150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499" priority="33">
      <formula>F7&gt;0</formula>
    </cfRule>
    <cfRule type="expression" dxfId="1498" priority="34">
      <formula>F7&lt;0</formula>
    </cfRule>
  </conditionalFormatting>
  <conditionalFormatting sqref="Q8">
    <cfRule type="expression" dxfId="1497" priority="31">
      <formula>Q8&gt;0</formula>
    </cfRule>
    <cfRule type="expression" dxfId="1496" priority="32">
      <formula>Q8&lt;0</formula>
    </cfRule>
  </conditionalFormatting>
  <conditionalFormatting sqref="F114:F135">
    <cfRule type="expression" dxfId="1495" priority="25">
      <formula>F114&gt;0</formula>
    </cfRule>
    <cfRule type="expression" dxfId="1494" priority="26">
      <formula>F114&lt;0</formula>
    </cfRule>
  </conditionalFormatting>
  <conditionalFormatting sqref="H114:H135">
    <cfRule type="expression" dxfId="1493" priority="23">
      <formula>H114&gt;0</formula>
    </cfRule>
    <cfRule type="expression" dxfId="1492" priority="24">
      <formula>H114&lt;0</formula>
    </cfRule>
  </conditionalFormatting>
  <conditionalFormatting sqref="Q10">
    <cfRule type="expression" dxfId="1491" priority="21">
      <formula>Q10&gt;0</formula>
    </cfRule>
    <cfRule type="expression" dxfId="1490" priority="22">
      <formula>Q10&lt;0</formula>
    </cfRule>
  </conditionalFormatting>
  <conditionalFormatting sqref="J31:J44">
    <cfRule type="expression" dxfId="1489" priority="19">
      <formula>J31&gt;0</formula>
    </cfRule>
    <cfRule type="expression" dxfId="1488" priority="20">
      <formula>J31&lt;0</formula>
    </cfRule>
  </conditionalFormatting>
  <conditionalFormatting sqref="K31:K44">
    <cfRule type="expression" dxfId="1487" priority="17">
      <formula>K31&gt;0</formula>
    </cfRule>
    <cfRule type="expression" dxfId="1486" priority="18">
      <formula>K31&lt;0</formula>
    </cfRule>
  </conditionalFormatting>
  <conditionalFormatting sqref="L31:L35 L37:L44">
    <cfRule type="expression" dxfId="1485" priority="15">
      <formula>L31&gt;0</formula>
    </cfRule>
    <cfRule type="expression" dxfId="1484" priority="16">
      <formula>L31&lt;0</formula>
    </cfRule>
  </conditionalFormatting>
  <conditionalFormatting sqref="M31:M44">
    <cfRule type="expression" dxfId="1483" priority="13">
      <formula>M31&gt;0</formula>
    </cfRule>
    <cfRule type="expression" dxfId="1482" priority="14">
      <formula>M31&lt;0</formula>
    </cfRule>
  </conditionalFormatting>
  <conditionalFormatting sqref="F82 H82">
    <cfRule type="expression" dxfId="1481" priority="9">
      <formula>F82&gt;0</formula>
    </cfRule>
    <cfRule type="expression" dxfId="1480" priority="10">
      <formula>F82&lt;0</formula>
    </cfRule>
  </conditionalFormatting>
  <conditionalFormatting sqref="F75:F81 H75:H81">
    <cfRule type="expression" dxfId="1479" priority="7">
      <formula>F75&gt;0</formula>
    </cfRule>
    <cfRule type="expression" dxfId="1478" priority="8">
      <formula>F75&lt;0</formula>
    </cfRule>
  </conditionalFormatting>
  <conditionalFormatting sqref="F71:F74 H71:H74">
    <cfRule type="expression" dxfId="1477" priority="5">
      <formula>F71&gt;0</formula>
    </cfRule>
    <cfRule type="expression" dxfId="1476" priority="6">
      <formula>F71&lt;0</formula>
    </cfRule>
  </conditionalFormatting>
  <conditionalFormatting sqref="F86 H84:H86">
    <cfRule type="expression" dxfId="1475" priority="3">
      <formula>F84&gt;0</formula>
    </cfRule>
    <cfRule type="expression" dxfId="1474" priority="4">
      <formula>F84&lt;0</formula>
    </cfRule>
  </conditionalFormatting>
  <conditionalFormatting sqref="J86">
    <cfRule type="expression" dxfId="1473" priority="1">
      <formula>J86&gt;0</formula>
    </cfRule>
    <cfRule type="expression" dxfId="147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71" priority="21">
      <formula>F47&gt;0</formula>
    </cfRule>
    <cfRule type="expression" dxfId="1470" priority="22">
      <formula>F47&lt;0</formula>
    </cfRule>
  </conditionalFormatting>
  <conditionalFormatting sqref="Q7">
    <cfRule type="expression" dxfId="1469" priority="19">
      <formula>Q7&gt;0</formula>
    </cfRule>
    <cfRule type="expression" dxfId="1468" priority="20">
      <formula>Q7&lt;0</formula>
    </cfRule>
  </conditionalFormatting>
  <conditionalFormatting sqref="Q8">
    <cfRule type="expression" dxfId="1467" priority="17">
      <formula>Q8&gt;0</formula>
    </cfRule>
    <cfRule type="expression" dxfId="1466" priority="18">
      <formula>Q8&lt;0</formula>
    </cfRule>
  </conditionalFormatting>
  <conditionalFormatting sqref="F25:F46">
    <cfRule type="expression" dxfId="1465" priority="15">
      <formula>F25&gt;0</formula>
    </cfRule>
    <cfRule type="expression" dxfId="1464" priority="16">
      <formula>F25&lt;0</formula>
    </cfRule>
  </conditionalFormatting>
  <conditionalFormatting sqref="H25:H46">
    <cfRule type="expression" dxfId="1463" priority="13">
      <formula>H25&gt;0</formula>
    </cfRule>
    <cfRule type="expression" dxfId="1462" priority="14">
      <formula>H25&lt;0</formula>
    </cfRule>
  </conditionalFormatting>
  <conditionalFormatting sqref="F89:F110">
    <cfRule type="expression" dxfId="1461" priority="11">
      <formula>F89&gt;0</formula>
    </cfRule>
    <cfRule type="expression" dxfId="1460" priority="12">
      <formula>F89&lt;0</formula>
    </cfRule>
  </conditionalFormatting>
  <conditionalFormatting sqref="H89:H110">
    <cfRule type="expression" dxfId="1459" priority="9">
      <formula>H89&gt;0</formula>
    </cfRule>
    <cfRule type="expression" dxfId="1458" priority="10">
      <formula>H89&lt;0</formula>
    </cfRule>
  </conditionalFormatting>
  <conditionalFormatting sqref="Q10">
    <cfRule type="expression" dxfId="1457" priority="7">
      <formula>Q10&gt;0</formula>
    </cfRule>
    <cfRule type="expression" dxfId="1456" priority="8">
      <formula>Q10&lt;0</formula>
    </cfRule>
  </conditionalFormatting>
  <conditionalFormatting sqref="J25:J38">
    <cfRule type="expression" dxfId="1455" priority="5">
      <formula>J25&gt;0</formula>
    </cfRule>
    <cfRule type="expression" dxfId="1454" priority="6">
      <formula>J25&lt;0</formula>
    </cfRule>
  </conditionalFormatting>
  <conditionalFormatting sqref="K25:K38">
    <cfRule type="expression" dxfId="1453" priority="3">
      <formula>K25&gt;0</formula>
    </cfRule>
    <cfRule type="expression" dxfId="1452" priority="4">
      <formula>K25&lt;0</formula>
    </cfRule>
  </conditionalFormatting>
  <conditionalFormatting sqref="L25:L38">
    <cfRule type="expression" dxfId="1451" priority="1">
      <formula>L25&gt;0</formula>
    </cfRule>
    <cfRule type="expression" dxfId="145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49" priority="43">
      <formula>F54&gt;0</formula>
    </cfRule>
    <cfRule type="expression" dxfId="1448" priority="44">
      <formula>F54&lt;0</formula>
    </cfRule>
  </conditionalFormatting>
  <conditionalFormatting sqref="Q7">
    <cfRule type="expression" dxfId="1447" priority="41">
      <formula>Q7&gt;0</formula>
    </cfRule>
    <cfRule type="expression" dxfId="1446" priority="42">
      <formula>Q7&lt;0</formula>
    </cfRule>
  </conditionalFormatting>
  <conditionalFormatting sqref="Q8">
    <cfRule type="expression" dxfId="1445" priority="39">
      <formula>Q8&gt;0</formula>
    </cfRule>
    <cfRule type="expression" dxfId="1444" priority="40">
      <formula>Q8&lt;0</formula>
    </cfRule>
  </conditionalFormatting>
  <conditionalFormatting sqref="F33:F36 F38:F53">
    <cfRule type="expression" dxfId="1443" priority="37">
      <formula>F33&gt;0</formula>
    </cfRule>
    <cfRule type="expression" dxfId="1442" priority="38">
      <formula>F33&lt;0</formula>
    </cfRule>
  </conditionalFormatting>
  <conditionalFormatting sqref="H33:H36 H38:H53">
    <cfRule type="expression" dxfId="1441" priority="35">
      <formula>H33&gt;0</formula>
    </cfRule>
    <cfRule type="expression" dxfId="1440" priority="36">
      <formula>H33&lt;0</formula>
    </cfRule>
  </conditionalFormatting>
  <conditionalFormatting sqref="Q10">
    <cfRule type="expression" dxfId="1439" priority="33">
      <formula>Q10&gt;0</formula>
    </cfRule>
    <cfRule type="expression" dxfId="1438" priority="34">
      <formula>Q10&lt;0</formula>
    </cfRule>
  </conditionalFormatting>
  <conditionalFormatting sqref="J25:J37">
    <cfRule type="expression" dxfId="1437" priority="31">
      <formula>J25&gt;0</formula>
    </cfRule>
    <cfRule type="expression" dxfId="1436" priority="32">
      <formula>J25&lt;0</formula>
    </cfRule>
  </conditionalFormatting>
  <conditionalFormatting sqref="K25:K38">
    <cfRule type="expression" dxfId="1435" priority="29">
      <formula>K25&gt;0</formula>
    </cfRule>
    <cfRule type="expression" dxfId="1434" priority="30">
      <formula>K25&lt;0</formula>
    </cfRule>
  </conditionalFormatting>
  <conditionalFormatting sqref="L25">
    <cfRule type="expression" dxfId="1433" priority="27">
      <formula>L25&gt;0</formula>
    </cfRule>
    <cfRule type="expression" dxfId="1432" priority="28">
      <formula>L25&lt;0</formula>
    </cfRule>
  </conditionalFormatting>
  <conditionalFormatting sqref="F89:F110">
    <cfRule type="expression" dxfId="1431" priority="25">
      <formula>F89&gt;0</formula>
    </cfRule>
    <cfRule type="expression" dxfId="1430" priority="26">
      <formula>F89&lt;0</formula>
    </cfRule>
  </conditionalFormatting>
  <conditionalFormatting sqref="H89:H110">
    <cfRule type="expression" dxfId="1429" priority="23">
      <formula>H89&gt;0</formula>
    </cfRule>
    <cfRule type="expression" dxfId="1428" priority="24">
      <formula>H89&lt;0</formula>
    </cfRule>
  </conditionalFormatting>
  <conditionalFormatting sqref="J89:J102">
    <cfRule type="expression" dxfId="1427" priority="21">
      <formula>J89&gt;0</formula>
    </cfRule>
    <cfRule type="expression" dxfId="1426" priority="22">
      <formula>J89&lt;0</formula>
    </cfRule>
  </conditionalFormatting>
  <conditionalFormatting sqref="K89:K102">
    <cfRule type="expression" dxfId="1425" priority="19">
      <formula>K89&gt;0</formula>
    </cfRule>
    <cfRule type="expression" dxfId="1424" priority="20">
      <formula>K89&lt;0</formula>
    </cfRule>
  </conditionalFormatting>
  <conditionalFormatting sqref="L89:L102">
    <cfRule type="expression" dxfId="1423" priority="17">
      <formula>L89&gt;0</formula>
    </cfRule>
    <cfRule type="expression" dxfId="1422" priority="18">
      <formula>L89&lt;0</formula>
    </cfRule>
  </conditionalFormatting>
  <conditionalFormatting sqref="F29:F32">
    <cfRule type="expression" dxfId="1421" priority="15">
      <formula>F29&gt;0</formula>
    </cfRule>
    <cfRule type="expression" dxfId="1420" priority="16">
      <formula>F29&lt;0</formula>
    </cfRule>
  </conditionalFormatting>
  <conditionalFormatting sqref="H29:H32">
    <cfRule type="expression" dxfId="1419" priority="13">
      <formula>H29&gt;0</formula>
    </cfRule>
    <cfRule type="expression" dxfId="1418" priority="14">
      <formula>H29&lt;0</formula>
    </cfRule>
  </conditionalFormatting>
  <conditionalFormatting sqref="F25:F28">
    <cfRule type="expression" dxfId="1417" priority="11">
      <formula>F25&gt;0</formula>
    </cfRule>
    <cfRule type="expression" dxfId="1416" priority="12">
      <formula>F25&lt;0</formula>
    </cfRule>
  </conditionalFormatting>
  <conditionalFormatting sqref="H25:H28">
    <cfRule type="expression" dxfId="1415" priority="9">
      <formula>H25&gt;0</formula>
    </cfRule>
    <cfRule type="expression" dxfId="1414" priority="10">
      <formula>H25&lt;0</formula>
    </cfRule>
  </conditionalFormatting>
  <conditionalFormatting sqref="F37">
    <cfRule type="expression" dxfId="1413" priority="7">
      <formula>F37&gt;0</formula>
    </cfRule>
    <cfRule type="expression" dxfId="1412" priority="8">
      <formula>F37&lt;0</formula>
    </cfRule>
  </conditionalFormatting>
  <conditionalFormatting sqref="H37">
    <cfRule type="expression" dxfId="1411" priority="5">
      <formula>H37&gt;0</formula>
    </cfRule>
    <cfRule type="expression" dxfId="1410" priority="6">
      <formula>H37&lt;0</formula>
    </cfRule>
  </conditionalFormatting>
  <conditionalFormatting sqref="J49">
    <cfRule type="expression" dxfId="1409" priority="3">
      <formula>J49&gt;0</formula>
    </cfRule>
    <cfRule type="expression" dxfId="1408" priority="4">
      <formula>J49&lt;0</formula>
    </cfRule>
  </conditionalFormatting>
  <conditionalFormatting sqref="J38:J48">
    <cfRule type="expression" dxfId="1407" priority="1">
      <formula>J38&gt;0</formula>
    </cfRule>
    <cfRule type="expression" dxfId="1406"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0"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191.09989999999999</v>
      </c>
      <c r="R4" s="425">
        <v>1.32E-2</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5732.9969999999994</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474.09699999999793</v>
      </c>
      <c r="R7">
        <v>30</v>
      </c>
    </row>
    <row r="8" spans="1:21" x14ac:dyDescent="0.25">
      <c r="B8" s="407"/>
      <c r="C8" s="4"/>
      <c r="D8" s="3"/>
      <c r="E8" s="3"/>
      <c r="F8" s="3"/>
      <c r="G8" s="407"/>
      <c r="H8" s="161"/>
      <c r="I8" s="3"/>
      <c r="J8" s="3"/>
      <c r="K8" s="3"/>
      <c r="L8" s="4"/>
      <c r="M8" s="4"/>
      <c r="O8" s="11" t="s">
        <v>179</v>
      </c>
      <c r="P8" s="33"/>
      <c r="Q8" s="2">
        <f>K18+M18-F18+Q2*Q4</f>
        <v>474.09699999999793</v>
      </c>
    </row>
    <row r="9" spans="1:21" x14ac:dyDescent="0.25">
      <c r="B9" s="407"/>
      <c r="C9" s="4"/>
      <c r="D9" s="3"/>
      <c r="E9" s="3"/>
      <c r="F9" s="3"/>
      <c r="G9" s="407"/>
      <c r="H9" s="161"/>
      <c r="I9" s="3"/>
      <c r="J9" s="3"/>
      <c r="K9" s="3"/>
      <c r="L9" s="4"/>
      <c r="M9" s="4"/>
      <c r="O9" s="11" t="s">
        <v>204</v>
      </c>
      <c r="Q9" s="134">
        <f>IF(Q2=0, 0, Q8/Q6)</f>
        <v>9.0151362452223396E-2</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1.0047101018891166E-2</v>
      </c>
      <c r="R11">
        <v>0.48</v>
      </c>
    </row>
    <row r="12" spans="1:21" x14ac:dyDescent="0.25">
      <c r="B12" s="29"/>
      <c r="G12" s="29"/>
      <c r="H12" s="70"/>
      <c r="O12" s="11" t="s">
        <v>969</v>
      </c>
      <c r="Q12" s="29" t="s">
        <v>1378</v>
      </c>
    </row>
    <row r="13" spans="1:21" x14ac:dyDescent="0.25">
      <c r="B13" s="29"/>
      <c r="G13" s="29"/>
      <c r="H13" s="70"/>
      <c r="O13" s="11" t="s">
        <v>947</v>
      </c>
      <c r="Q13" s="2">
        <f>Q4/8.62</f>
        <v>22.169361948955917</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140</v>
      </c>
      <c r="D19" s="279"/>
      <c r="E19" s="279"/>
      <c r="F19" s="280">
        <f>SumByColor($A$19,F2:F17)</f>
        <v>25880</v>
      </c>
      <c r="G19" s="279"/>
      <c r="H19" s="279">
        <f>SumByColor($A$19,H2:H17)</f>
        <v>140</v>
      </c>
      <c r="I19" s="279"/>
      <c r="J19" s="279"/>
      <c r="K19" s="280">
        <f>SumByColor($A$19,K2:K17)</f>
        <v>26566</v>
      </c>
      <c r="L19" s="279"/>
      <c r="M19" s="280">
        <f>SumByColor($A$19,M2:M17)</f>
        <v>14</v>
      </c>
    </row>
    <row r="21" spans="1:16" ht="20.25" thickBot="1" x14ac:dyDescent="0.35">
      <c r="O21" s="786" t="s">
        <v>78</v>
      </c>
      <c r="P21" s="786"/>
    </row>
    <row r="22" spans="1:16" ht="15.75" thickTop="1" x14ac:dyDescent="0.25">
      <c r="O22" s="81">
        <v>1.1000000000000001</v>
      </c>
      <c r="P22" s="81">
        <f>O22*$Q$4</f>
        <v>210.20989</v>
      </c>
    </row>
    <row r="23" spans="1:16" x14ac:dyDescent="0.25">
      <c r="O23" s="81">
        <v>1.0900000000000001</v>
      </c>
      <c r="P23" s="81">
        <f t="shared" ref="P23:P42" si="1">O23*$Q$4</f>
        <v>208.298891</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206.38789199999999</v>
      </c>
    </row>
    <row r="25" spans="1:16" x14ac:dyDescent="0.25">
      <c r="B25" s="164">
        <v>43161</v>
      </c>
      <c r="C25" s="10">
        <v>20</v>
      </c>
      <c r="D25" s="39">
        <v>198</v>
      </c>
      <c r="E25" s="39"/>
      <c r="F25" s="39"/>
      <c r="G25" s="39"/>
      <c r="H25" s="179"/>
      <c r="I25" s="39"/>
      <c r="J25" s="39"/>
      <c r="K25" s="39"/>
      <c r="L25" s="39"/>
      <c r="O25" s="81">
        <v>1.07</v>
      </c>
      <c r="P25" s="81">
        <f t="shared" si="1"/>
        <v>204.47689299999999</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202.56589400000001</v>
      </c>
    </row>
    <row r="27" spans="1:16" x14ac:dyDescent="0.25">
      <c r="B27" s="164">
        <v>43227</v>
      </c>
      <c r="C27" s="10">
        <v>0</v>
      </c>
      <c r="D27" s="39"/>
      <c r="E27" s="39"/>
      <c r="F27" s="39">
        <v>137.51</v>
      </c>
      <c r="G27" s="39"/>
      <c r="H27" s="179"/>
      <c r="I27" s="39"/>
      <c r="J27" s="39"/>
      <c r="K27" s="39"/>
      <c r="L27" s="155"/>
      <c r="O27" s="81">
        <v>1.05</v>
      </c>
      <c r="P27" s="81">
        <f t="shared" si="1"/>
        <v>200.65489500000001</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198.74389600000001</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196.832897</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194.921898</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193.01089899999999</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191.09989999999999</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189.18890099999999</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187.27790199999998</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185.36690299999998</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183.45590399999998</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181.54490499999997</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179.63390599999997</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177.72290699999999</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175.81190799999999</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173.90090899999998</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171.98991000000001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405" priority="37">
      <formula>F52&gt;0</formula>
    </cfRule>
    <cfRule type="expression" dxfId="1404" priority="38">
      <formula>F52&lt;0</formula>
    </cfRule>
  </conditionalFormatting>
  <conditionalFormatting sqref="Q7">
    <cfRule type="expression" dxfId="1403" priority="35">
      <formula>Q7&gt;0</formula>
    </cfRule>
    <cfRule type="expression" dxfId="1402" priority="36">
      <formula>Q7&lt;0</formula>
    </cfRule>
  </conditionalFormatting>
  <conditionalFormatting sqref="Q8">
    <cfRule type="expression" dxfId="1401" priority="33">
      <formula>Q8&gt;0</formula>
    </cfRule>
    <cfRule type="expression" dxfId="1400" priority="34">
      <formula>Q8&lt;0</formula>
    </cfRule>
  </conditionalFormatting>
  <conditionalFormatting sqref="F34:F41 F43:F51">
    <cfRule type="expression" dxfId="1399" priority="31">
      <formula>F34&gt;0</formula>
    </cfRule>
    <cfRule type="expression" dxfId="1398" priority="32">
      <formula>F34&lt;0</formula>
    </cfRule>
  </conditionalFormatting>
  <conditionalFormatting sqref="H34:H51">
    <cfRule type="expression" dxfId="1397" priority="29">
      <formula>H34&gt;0</formula>
    </cfRule>
    <cfRule type="expression" dxfId="1396" priority="30">
      <formula>H34&lt;0</formula>
    </cfRule>
  </conditionalFormatting>
  <conditionalFormatting sqref="Q10">
    <cfRule type="expression" dxfId="1395" priority="27">
      <formula>Q10&gt;0</formula>
    </cfRule>
    <cfRule type="expression" dxfId="1394" priority="28">
      <formula>Q10&lt;0</formula>
    </cfRule>
  </conditionalFormatting>
  <conditionalFormatting sqref="J25:J38">
    <cfRule type="expression" dxfId="1393" priority="25">
      <formula>J25&gt;0</formula>
    </cfRule>
    <cfRule type="expression" dxfId="1392" priority="26">
      <formula>J25&lt;0</formula>
    </cfRule>
  </conditionalFormatting>
  <conditionalFormatting sqref="K25:K29 K31:K38">
    <cfRule type="expression" dxfId="1391" priority="23">
      <formula>K25&gt;0</formula>
    </cfRule>
    <cfRule type="expression" dxfId="1390" priority="24">
      <formula>K25&lt;0</formula>
    </cfRule>
  </conditionalFormatting>
  <conditionalFormatting sqref="L25:L38">
    <cfRule type="expression" dxfId="1389" priority="21">
      <formula>L25&gt;0</formula>
    </cfRule>
    <cfRule type="expression" dxfId="1388" priority="22">
      <formula>L25&lt;0</formula>
    </cfRule>
  </conditionalFormatting>
  <conditionalFormatting sqref="F89:F110">
    <cfRule type="expression" dxfId="1387" priority="19">
      <formula>F89&gt;0</formula>
    </cfRule>
    <cfRule type="expression" dxfId="1386" priority="20">
      <formula>F89&lt;0</formula>
    </cfRule>
  </conditionalFormatting>
  <conditionalFormatting sqref="H89:H110">
    <cfRule type="expression" dxfId="1385" priority="17">
      <formula>H89&gt;0</formula>
    </cfRule>
    <cfRule type="expression" dxfId="1384" priority="18">
      <formula>H89&lt;0</formula>
    </cfRule>
  </conditionalFormatting>
  <conditionalFormatting sqref="J89:J102">
    <cfRule type="expression" dxfId="1383" priority="15">
      <formula>J89&gt;0</formula>
    </cfRule>
    <cfRule type="expression" dxfId="1382" priority="16">
      <formula>J89&lt;0</formula>
    </cfRule>
  </conditionalFormatting>
  <conditionalFormatting sqref="K89:K102">
    <cfRule type="expression" dxfId="1381" priority="13">
      <formula>K89&gt;0</formula>
    </cfRule>
    <cfRule type="expression" dxfId="1380" priority="14">
      <formula>K89&lt;0</formula>
    </cfRule>
  </conditionalFormatting>
  <conditionalFormatting sqref="L89:L102">
    <cfRule type="expression" dxfId="1379" priority="11">
      <formula>L89&gt;0</formula>
    </cfRule>
    <cfRule type="expression" dxfId="1378" priority="12">
      <formula>L89&lt;0</formula>
    </cfRule>
  </conditionalFormatting>
  <conditionalFormatting sqref="F25:F27">
    <cfRule type="expression" dxfId="1377" priority="9">
      <formula>F25&gt;0</formula>
    </cfRule>
    <cfRule type="expression" dxfId="1376" priority="10">
      <formula>F25&lt;0</formula>
    </cfRule>
  </conditionalFormatting>
  <conditionalFormatting sqref="H25:H27">
    <cfRule type="expression" dxfId="1375" priority="7">
      <formula>H25&gt;0</formula>
    </cfRule>
    <cfRule type="expression" dxfId="1374" priority="8">
      <formula>H25&lt;0</formula>
    </cfRule>
  </conditionalFormatting>
  <conditionalFormatting sqref="F28:F33">
    <cfRule type="expression" dxfId="1373" priority="5">
      <formula>F28&gt;0</formula>
    </cfRule>
    <cfRule type="expression" dxfId="1372" priority="6">
      <formula>F28&lt;0</formula>
    </cfRule>
  </conditionalFormatting>
  <conditionalFormatting sqref="H28:H33">
    <cfRule type="expression" dxfId="1371" priority="3">
      <formula>H28&gt;0</formula>
    </cfRule>
    <cfRule type="expression" dxfId="1370" priority="4">
      <formula>H28&lt;0</formula>
    </cfRule>
  </conditionalFormatting>
  <conditionalFormatting sqref="F42">
    <cfRule type="expression" dxfId="1369" priority="1">
      <formula>F42&gt;0</formula>
    </cfRule>
    <cfRule type="expression" dxfId="1368"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33.119900000000001</v>
      </c>
      <c r="R4" s="425">
        <v>-3.2399999999999998E-2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23183.93</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-12525.480000000003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-12525.480000000003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-0.35076132593621689</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7.5483319696013573E-2</v>
      </c>
      <c r="R11">
        <f>0.625</f>
        <v>0.625</v>
      </c>
    </row>
    <row r="12" spans="1:21" x14ac:dyDescent="0.25">
      <c r="H12" s="70"/>
      <c r="O12" s="11" t="s">
        <v>984</v>
      </c>
      <c r="Q12" s="19" t="s">
        <v>1377</v>
      </c>
      <c r="T12" s="693">
        <v>43315</v>
      </c>
      <c r="U12" t="s">
        <v>1200</v>
      </c>
    </row>
    <row r="13" spans="1:21" x14ac:dyDescent="0.25">
      <c r="H13" s="70"/>
      <c r="O13" s="11" t="s">
        <v>947</v>
      </c>
      <c r="Q13" s="2">
        <f>Q4/3.55</f>
        <v>9.3295492957746493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36.431890000000003</v>
      </c>
    </row>
    <row r="23" spans="1:16" x14ac:dyDescent="0.25">
      <c r="O23" s="81">
        <v>1.0900000000000001</v>
      </c>
      <c r="P23" s="81">
        <f t="shared" ref="P23:P42" si="1">O23*$Q$4</f>
        <v>36.100691000000005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35.769492000000007</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35.438293000000002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35.107094000000004</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34.775895000000006</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34.444696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34.113497000000002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33.782298000000004</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33.451098999999999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33.119900000000001</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32.788701000000003</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32.457501999999998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32.126303</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31.795103999999998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31.463905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31.132705999999999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30.801507000000004</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30.470308000000003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30.139109000000001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29.807910000000003</v>
      </c>
      <c r="Q42" s="2"/>
      <c r="T42" s="1">
        <v>43421</v>
      </c>
      <c r="U42" t="s">
        <v>1307</v>
      </c>
    </row>
    <row r="43" spans="1:21" x14ac:dyDescent="0.25">
      <c r="B43" s="164">
        <v>43328</v>
      </c>
      <c r="C43" s="10">
        <v>200</v>
      </c>
      <c r="D43" s="39">
        <v>59.3371</v>
      </c>
      <c r="E43" s="39">
        <v>60.03</v>
      </c>
      <c r="F43" s="39">
        <f t="shared" ref="F43:F66" si="8">C43*(E43-D43)</f>
        <v>138.58000000000033</v>
      </c>
      <c r="G43" s="39">
        <f t="shared" ref="G43:G66" si="9">D43*C43</f>
        <v>11867.42</v>
      </c>
      <c r="H43" s="179">
        <f t="shared" ref="H43:H66"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67" priority="43">
      <formula>F25&gt;0</formula>
    </cfRule>
    <cfRule type="expression" dxfId="1366" priority="44">
      <formula>F25&lt;0</formula>
    </cfRule>
  </conditionalFormatting>
  <conditionalFormatting sqref="Q7">
    <cfRule type="expression" dxfId="1365" priority="41">
      <formula>Q7&gt;0</formula>
    </cfRule>
    <cfRule type="expression" dxfId="1364" priority="42">
      <formula>Q7&lt;0</formula>
    </cfRule>
  </conditionalFormatting>
  <conditionalFormatting sqref="Q8">
    <cfRule type="expression" dxfId="1363" priority="39">
      <formula>Q8&gt;0</formula>
    </cfRule>
    <cfRule type="expression" dxfId="1362" priority="40">
      <formula>Q8&lt;0</formula>
    </cfRule>
  </conditionalFormatting>
  <conditionalFormatting sqref="Q10">
    <cfRule type="expression" dxfId="1361" priority="33">
      <formula>Q10&gt;0</formula>
    </cfRule>
    <cfRule type="expression" dxfId="1360" priority="34">
      <formula>Q10&lt;0</formula>
    </cfRule>
  </conditionalFormatting>
  <conditionalFormatting sqref="L25:L32">
    <cfRule type="expression" dxfId="1359" priority="27">
      <formula>L25&gt;0</formula>
    </cfRule>
    <cfRule type="expression" dxfId="1358" priority="28">
      <formula>L25&lt;0</formula>
    </cfRule>
  </conditionalFormatting>
  <conditionalFormatting sqref="F98:F119">
    <cfRule type="expression" dxfId="1357" priority="25">
      <formula>F98&gt;0</formula>
    </cfRule>
    <cfRule type="expression" dxfId="1356" priority="26">
      <formula>F98&lt;0</formula>
    </cfRule>
  </conditionalFormatting>
  <conditionalFormatting sqref="H98:H119">
    <cfRule type="expression" dxfId="1355" priority="23">
      <formula>H98&gt;0</formula>
    </cfRule>
    <cfRule type="expression" dxfId="1354" priority="24">
      <formula>H98&lt;0</formula>
    </cfRule>
  </conditionalFormatting>
  <conditionalFormatting sqref="J98:J111">
    <cfRule type="expression" dxfId="1353" priority="21">
      <formula>J98&gt;0</formula>
    </cfRule>
    <cfRule type="expression" dxfId="1352" priority="22">
      <formula>J98&lt;0</formula>
    </cfRule>
  </conditionalFormatting>
  <conditionalFormatting sqref="K98:K111">
    <cfRule type="expression" dxfId="1351" priority="19">
      <formula>K98&gt;0</formula>
    </cfRule>
    <cfRule type="expression" dxfId="1350" priority="20">
      <formula>K98&lt;0</formula>
    </cfRule>
  </conditionalFormatting>
  <conditionalFormatting sqref="L98:L111">
    <cfRule type="expression" dxfId="1349" priority="17">
      <formula>L98&gt;0</formula>
    </cfRule>
    <cfRule type="expression" dxfId="1348" priority="18">
      <formula>L98&lt;0</formula>
    </cfRule>
  </conditionalFormatting>
  <conditionalFormatting sqref="F25:F29">
    <cfRule type="expression" dxfId="1347" priority="15">
      <formula>F25&gt;0</formula>
    </cfRule>
    <cfRule type="expression" dxfId="1346" priority="16">
      <formula>F25&lt;0</formula>
    </cfRule>
  </conditionalFormatting>
  <conditionalFormatting sqref="H25:H29">
    <cfRule type="expression" dxfId="1345" priority="13">
      <formula>H25&gt;0</formula>
    </cfRule>
    <cfRule type="expression" dxfId="1344" priority="14">
      <formula>H25&lt;0</formula>
    </cfRule>
  </conditionalFormatting>
  <conditionalFormatting sqref="F35:F38">
    <cfRule type="expression" dxfId="1343" priority="11">
      <formula>F35&gt;0</formula>
    </cfRule>
    <cfRule type="expression" dxfId="1342" priority="12">
      <formula>F35&lt;0</formula>
    </cfRule>
  </conditionalFormatting>
  <conditionalFormatting sqref="H35:H38">
    <cfRule type="expression" dxfId="1341" priority="9">
      <formula>H35&gt;0</formula>
    </cfRule>
    <cfRule type="expression" dxfId="1340" priority="10">
      <formula>H35&lt;0</formula>
    </cfRule>
  </conditionalFormatting>
  <conditionalFormatting sqref="H61:H64 F61:F64">
    <cfRule type="expression" dxfId="1339" priority="7">
      <formula>F61&gt;0</formula>
    </cfRule>
    <cfRule type="expression" dxfId="1338" priority="8">
      <formula>F61&lt;0</formula>
    </cfRule>
  </conditionalFormatting>
  <conditionalFormatting sqref="H69:H70 F69:F70">
    <cfRule type="expression" dxfId="1337" priority="5">
      <formula>F69&gt;0</formula>
    </cfRule>
    <cfRule type="expression" dxfId="1336" priority="6">
      <formula>F69&lt;0</formula>
    </cfRule>
  </conditionalFormatting>
  <conditionalFormatting sqref="H67:H68 F67:F68">
    <cfRule type="expression" dxfId="1335" priority="3">
      <formula>F67&gt;0</formula>
    </cfRule>
    <cfRule type="expression" dxfId="1334" priority="4">
      <formula>F67&lt;0</formula>
    </cfRule>
  </conditionalFormatting>
  <conditionalFormatting sqref="H65:H66 F65:F66">
    <cfRule type="expression" dxfId="1333" priority="1">
      <formula>F65&gt;0</formula>
    </cfRule>
    <cfRule type="expression" dxfId="1332"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 t="shared" ref="F39" si="8">C39*(E39-D39)</f>
        <v>845.7800000000002</v>
      </c>
      <c r="G39" s="39">
        <f t="shared" ref="G39" si="9">D39*C39</f>
        <v>2134.2199999999998</v>
      </c>
      <c r="H39" s="179">
        <f t="shared" ref="H39" si="10">(E39-D39)/D39</f>
        <v>0.39629466502984712</v>
      </c>
      <c r="I39" s="39"/>
      <c r="J39" s="39">
        <f t="shared" si="4"/>
        <v>845.7800000000002</v>
      </c>
      <c r="K39" s="39"/>
      <c r="L39" s="39"/>
    </row>
    <row r="40" spans="1:17" x14ac:dyDescent="0.25">
      <c r="B40" s="164">
        <v>43465</v>
      </c>
      <c r="C40" s="185">
        <v>100</v>
      </c>
      <c r="D40" s="186">
        <v>21.168199999999999</v>
      </c>
      <c r="E40" s="39">
        <v>26.95</v>
      </c>
      <c r="F40" s="39">
        <f t="shared" ref="F40" si="11">C40*(E40-D40)</f>
        <v>578.18000000000006</v>
      </c>
      <c r="G40" s="39">
        <f t="shared" ref="G40" si="12">D40*C40</f>
        <v>2116.8199999999997</v>
      </c>
      <c r="H40" s="179">
        <f t="shared" ref="H40" si="13">(E40-D40)/D40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31" priority="39">
      <formula>F47&gt;0</formula>
    </cfRule>
    <cfRule type="expression" dxfId="1330" priority="40">
      <formula>F47&lt;0</formula>
    </cfRule>
  </conditionalFormatting>
  <conditionalFormatting sqref="Q7">
    <cfRule type="expression" dxfId="1329" priority="37">
      <formula>Q7&gt;0</formula>
    </cfRule>
    <cfRule type="expression" dxfId="1328" priority="38">
      <formula>Q7&lt;0</formula>
    </cfRule>
  </conditionalFormatting>
  <conditionalFormatting sqref="Q8">
    <cfRule type="expression" dxfId="1327" priority="35">
      <formula>Q8&gt;0</formula>
    </cfRule>
    <cfRule type="expression" dxfId="1326" priority="36">
      <formula>Q8&lt;0</formula>
    </cfRule>
  </conditionalFormatting>
  <conditionalFormatting sqref="F32:F38 F41:F46">
    <cfRule type="expression" dxfId="1325" priority="33">
      <formula>F32&gt;0</formula>
    </cfRule>
    <cfRule type="expression" dxfId="1324" priority="34">
      <formula>F32&lt;0</formula>
    </cfRule>
  </conditionalFormatting>
  <conditionalFormatting sqref="H32:H38 H41:H46">
    <cfRule type="expression" dxfId="1323" priority="31">
      <formula>H32&gt;0</formula>
    </cfRule>
    <cfRule type="expression" dxfId="1322" priority="32">
      <formula>H32&lt;0</formula>
    </cfRule>
  </conditionalFormatting>
  <conditionalFormatting sqref="Q10">
    <cfRule type="expression" dxfId="1321" priority="29">
      <formula>Q10&gt;0</formula>
    </cfRule>
    <cfRule type="expression" dxfId="1320" priority="30">
      <formula>Q10&lt;0</formula>
    </cfRule>
  </conditionalFormatting>
  <conditionalFormatting sqref="J25:J41">
    <cfRule type="expression" dxfId="1319" priority="27">
      <formula>J25&gt;0</formula>
    </cfRule>
    <cfRule type="expression" dxfId="1318" priority="28">
      <formula>J25&lt;0</formula>
    </cfRule>
  </conditionalFormatting>
  <conditionalFormatting sqref="K25:K38">
    <cfRule type="expression" dxfId="1317" priority="25">
      <formula>K25&gt;0</formula>
    </cfRule>
    <cfRule type="expression" dxfId="1316" priority="26">
      <formula>K25&lt;0</formula>
    </cfRule>
  </conditionalFormatting>
  <conditionalFormatting sqref="L25:L38">
    <cfRule type="expression" dxfId="1315" priority="23">
      <formula>L25&gt;0</formula>
    </cfRule>
    <cfRule type="expression" dxfId="1314" priority="24">
      <formula>L25&lt;0</formula>
    </cfRule>
  </conditionalFormatting>
  <conditionalFormatting sqref="F89:F110">
    <cfRule type="expression" dxfId="1313" priority="21">
      <formula>F89&gt;0</formula>
    </cfRule>
    <cfRule type="expression" dxfId="1312" priority="22">
      <formula>F89&lt;0</formula>
    </cfRule>
  </conditionalFormatting>
  <conditionalFormatting sqref="H89:H110">
    <cfRule type="expression" dxfId="1311" priority="19">
      <formula>H89&gt;0</formula>
    </cfRule>
    <cfRule type="expression" dxfId="1310" priority="20">
      <formula>H89&lt;0</formula>
    </cfRule>
  </conditionalFormatting>
  <conditionalFormatting sqref="J89:J102">
    <cfRule type="expression" dxfId="1309" priority="17">
      <formula>J89&gt;0</formula>
    </cfRule>
    <cfRule type="expression" dxfId="1308" priority="18">
      <formula>J89&lt;0</formula>
    </cfRule>
  </conditionalFormatting>
  <conditionalFormatting sqref="K89:K102">
    <cfRule type="expression" dxfId="1307" priority="15">
      <formula>K89&gt;0</formula>
    </cfRule>
    <cfRule type="expression" dxfId="1306" priority="16">
      <formula>K89&lt;0</formula>
    </cfRule>
  </conditionalFormatting>
  <conditionalFormatting sqref="L89:L102">
    <cfRule type="expression" dxfId="1305" priority="13">
      <formula>L89&gt;0</formula>
    </cfRule>
    <cfRule type="expression" dxfId="1304" priority="14">
      <formula>L89&lt;0</formula>
    </cfRule>
  </conditionalFormatting>
  <conditionalFormatting sqref="F25:F28">
    <cfRule type="expression" dxfId="1303" priority="11">
      <formula>F25&gt;0</formula>
    </cfRule>
    <cfRule type="expression" dxfId="1302" priority="12">
      <formula>F25&lt;0</formula>
    </cfRule>
  </conditionalFormatting>
  <conditionalFormatting sqref="H25:H28">
    <cfRule type="expression" dxfId="1301" priority="9">
      <formula>H25&gt;0</formula>
    </cfRule>
    <cfRule type="expression" dxfId="1300" priority="10">
      <formula>H25&lt;0</formula>
    </cfRule>
  </conditionalFormatting>
  <conditionalFormatting sqref="F29:F31">
    <cfRule type="expression" dxfId="1299" priority="7">
      <formula>F29&gt;0</formula>
    </cfRule>
    <cfRule type="expression" dxfId="1298" priority="8">
      <formula>F29&lt;0</formula>
    </cfRule>
  </conditionalFormatting>
  <conditionalFormatting sqref="H29:H31">
    <cfRule type="expression" dxfId="1297" priority="5">
      <formula>H29&gt;0</formula>
    </cfRule>
    <cfRule type="expression" dxfId="1296" priority="6">
      <formula>H29&lt;0</formula>
    </cfRule>
  </conditionalFormatting>
  <conditionalFormatting sqref="F39:F40">
    <cfRule type="expression" dxfId="1295" priority="3">
      <formula>F39&gt;0</formula>
    </cfRule>
    <cfRule type="expression" dxfId="1294" priority="4">
      <formula>F39&lt;0</formula>
    </cfRule>
  </conditionalFormatting>
  <conditionalFormatting sqref="H39:H40">
    <cfRule type="expression" dxfId="1293" priority="1">
      <formula>H39&gt;0</formula>
    </cfRule>
    <cfRule type="expression" dxfId="1292"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131.94990000000001</v>
      </c>
      <c r="R4" s="425">
        <v>2.3999999999999998E-3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2638.9980000000005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1835.26799999999</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1835.26799999999</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2.2834384681422359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3.9408896861611864E-3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15.307412993039446</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145.14489000000003</v>
      </c>
    </row>
    <row r="20" spans="1:21" x14ac:dyDescent="0.25">
      <c r="B20" s="368">
        <v>43445</v>
      </c>
      <c r="C20" s="7">
        <v>20</v>
      </c>
      <c r="D20" s="43">
        <v>115.7</v>
      </c>
      <c r="E20" s="43">
        <v>0</v>
      </c>
      <c r="F20" s="43">
        <f t="shared" si="2"/>
        <v>2314</v>
      </c>
      <c r="O20" s="81">
        <v>1.0900000000000001</v>
      </c>
      <c r="P20" s="81">
        <f t="shared" ref="P20:P39" si="3">O20*$Q$4</f>
        <v>143.82539100000002</v>
      </c>
      <c r="T20" s="1">
        <v>43279</v>
      </c>
      <c r="U20" t="s">
        <v>1116</v>
      </c>
    </row>
    <row r="21" spans="1:21" x14ac:dyDescent="0.25">
      <c r="B21" s="368">
        <v>43453</v>
      </c>
      <c r="C21" s="7">
        <v>20</v>
      </c>
      <c r="D21" s="43">
        <v>110.28</v>
      </c>
      <c r="E21" s="43">
        <v>0</v>
      </c>
      <c r="F21" s="43">
        <f t="shared" si="2"/>
        <v>2205.6</v>
      </c>
      <c r="O21" s="81">
        <v>1.08</v>
      </c>
      <c r="P21" s="81">
        <f t="shared" si="3"/>
        <v>142.50589200000002</v>
      </c>
    </row>
    <row r="22" spans="1:21" x14ac:dyDescent="0.25">
      <c r="B22" s="72">
        <v>43487</v>
      </c>
      <c r="C22" s="7">
        <v>20</v>
      </c>
      <c r="D22" s="43">
        <v>116.4</v>
      </c>
      <c r="E22" s="43">
        <v>0</v>
      </c>
      <c r="F22" s="43">
        <f t="shared" si="2"/>
        <v>2328</v>
      </c>
      <c r="O22" s="81">
        <v>1.07</v>
      </c>
      <c r="P22" s="81">
        <f t="shared" si="3"/>
        <v>141.18639300000001</v>
      </c>
    </row>
    <row r="23" spans="1:21" x14ac:dyDescent="0.25">
      <c r="A23" t="s">
        <v>123</v>
      </c>
      <c r="C23" s="4"/>
      <c r="D23" s="3"/>
      <c r="E23" s="3"/>
      <c r="F23" s="3"/>
      <c r="O23" s="81">
        <v>1.06</v>
      </c>
      <c r="P23" s="81">
        <f t="shared" si="3"/>
        <v>139.86689400000003</v>
      </c>
    </row>
    <row r="24" spans="1:21" x14ac:dyDescent="0.25">
      <c r="O24" s="81">
        <v>1.05</v>
      </c>
      <c r="P24" s="81">
        <f t="shared" si="3"/>
        <v>138.54739500000002</v>
      </c>
    </row>
    <row r="25" spans="1:21" x14ac:dyDescent="0.25">
      <c r="O25" s="81">
        <v>1.04</v>
      </c>
      <c r="P25" s="81">
        <f t="shared" si="3"/>
        <v>137.22789600000002</v>
      </c>
      <c r="T25" s="156">
        <v>43305</v>
      </c>
      <c r="U25" t="s">
        <v>1147</v>
      </c>
    </row>
    <row r="26" spans="1:21" x14ac:dyDescent="0.25">
      <c r="O26" s="81">
        <v>1.03</v>
      </c>
      <c r="P26" s="81">
        <f t="shared" si="3"/>
        <v>135.90839700000001</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134.58889800000003</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133.26939900000002</v>
      </c>
      <c r="T28" s="156">
        <v>43314</v>
      </c>
      <c r="U28" t="s">
        <v>1149</v>
      </c>
    </row>
    <row r="29" spans="1:21" x14ac:dyDescent="0.25">
      <c r="O29" s="81">
        <v>1</v>
      </c>
      <c r="P29" s="81">
        <f t="shared" si="3"/>
        <v>131.94990000000001</v>
      </c>
      <c r="T29" s="156">
        <v>43326</v>
      </c>
      <c r="U29" t="s">
        <v>1148</v>
      </c>
    </row>
    <row r="30" spans="1:21" x14ac:dyDescent="0.25">
      <c r="O30" s="81">
        <v>0.99</v>
      </c>
      <c r="P30" s="81">
        <f t="shared" si="3"/>
        <v>130.63040100000001</v>
      </c>
    </row>
    <row r="31" spans="1:21" x14ac:dyDescent="0.25">
      <c r="O31" s="81">
        <v>0.98</v>
      </c>
      <c r="P31" s="81">
        <f t="shared" si="3"/>
        <v>129.310902</v>
      </c>
      <c r="T31" s="1">
        <v>43474</v>
      </c>
      <c r="U31" t="s">
        <v>1351</v>
      </c>
    </row>
    <row r="32" spans="1:21" x14ac:dyDescent="0.25">
      <c r="O32" s="81">
        <v>0.97</v>
      </c>
      <c r="P32" s="81">
        <f t="shared" si="3"/>
        <v>127.99140300000001</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126.67190400000001</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125.352405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124.03290600000001</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122.71340700000002</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121.39390800000002</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120.07440900000002</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118.75491000000001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2" si="19">C79*(E79-D79)</f>
        <v>540.09999999999968</v>
      </c>
      <c r="G79" s="39">
        <f t="shared" ref="G79:G82" si="20">D79*C79</f>
        <v>11030.9</v>
      </c>
      <c r="H79" s="179">
        <f t="shared" ref="H79:H82"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ref="F83:F86" si="22">C83*(E83-D83)</f>
        <v>1052.2000000000003</v>
      </c>
      <c r="G83" s="39">
        <f t="shared" ref="G83:G86" si="23">D83*C83</f>
        <v>8591</v>
      </c>
      <c r="H83" s="179">
        <f t="shared" ref="H83:H86" si="24">(E83-D83)/D83</f>
        <v>0.1224770108252823</v>
      </c>
      <c r="I83" s="39"/>
      <c r="J83" s="39"/>
      <c r="K83" s="39"/>
      <c r="L83" s="39">
        <v>13.98</v>
      </c>
    </row>
    <row r="84" spans="1:13" x14ac:dyDescent="0.25">
      <c r="A84" s="4">
        <v>80</v>
      </c>
      <c r="B84" s="164">
        <v>43487</v>
      </c>
      <c r="C84" s="7">
        <v>100</v>
      </c>
      <c r="D84" s="43">
        <v>109.19</v>
      </c>
      <c r="E84" s="39">
        <v>116.14</v>
      </c>
      <c r="F84" s="39">
        <f t="shared" si="22"/>
        <v>695.00000000000023</v>
      </c>
      <c r="G84" s="39">
        <f t="shared" si="23"/>
        <v>10919</v>
      </c>
      <c r="H84" s="179">
        <f t="shared" si="24"/>
        <v>6.3650517446652649E-2</v>
      </c>
      <c r="I84" s="39"/>
      <c r="J84" s="39"/>
      <c r="K84" s="39"/>
      <c r="L84" s="39">
        <v>13.47</v>
      </c>
    </row>
    <row r="85" spans="1:13" x14ac:dyDescent="0.25">
      <c r="A85" s="4">
        <v>60</v>
      </c>
      <c r="B85" s="164">
        <v>43496</v>
      </c>
      <c r="C85" s="10">
        <v>80</v>
      </c>
      <c r="D85" s="39">
        <v>106.17</v>
      </c>
      <c r="E85" s="39">
        <v>121.28</v>
      </c>
      <c r="F85" s="39">
        <f t="shared" si="22"/>
        <v>1208.8</v>
      </c>
      <c r="G85" s="39">
        <f t="shared" si="23"/>
        <v>8493.6</v>
      </c>
      <c r="H85" s="179">
        <f t="shared" si="24"/>
        <v>0.14231892248281058</v>
      </c>
      <c r="I85" s="39"/>
      <c r="J85" s="39"/>
      <c r="K85" s="39"/>
      <c r="L85" s="39">
        <v>14.07</v>
      </c>
    </row>
    <row r="86" spans="1:13" x14ac:dyDescent="0.25">
      <c r="A86" s="4">
        <v>60</v>
      </c>
      <c r="B86" s="164">
        <v>43498</v>
      </c>
      <c r="C86" s="10">
        <v>80</v>
      </c>
      <c r="D86" s="39">
        <v>106.038</v>
      </c>
      <c r="E86" s="39">
        <v>121.95</v>
      </c>
      <c r="F86" s="39">
        <f t="shared" si="22"/>
        <v>1272.9600000000005</v>
      </c>
      <c r="G86" s="39">
        <f t="shared" si="23"/>
        <v>8483.0399999999991</v>
      </c>
      <c r="H86" s="179">
        <f t="shared" si="24"/>
        <v>0.15005941266338488</v>
      </c>
      <c r="I86" s="39"/>
      <c r="J86" s="39"/>
      <c r="K86" s="39"/>
      <c r="L86" s="39">
        <v>14.15</v>
      </c>
    </row>
    <row r="87" spans="1:13" x14ac:dyDescent="0.25">
      <c r="A87" s="4">
        <v>30</v>
      </c>
      <c r="B87" s="164">
        <v>43502</v>
      </c>
      <c r="C87" s="185">
        <v>50</v>
      </c>
      <c r="D87" s="186">
        <v>94.073599999999999</v>
      </c>
      <c r="E87" s="39">
        <v>126.81</v>
      </c>
      <c r="F87" s="778">
        <f t="shared" ref="F87:F88" si="25">C87*(E87-D87)</f>
        <v>1636.8200000000002</v>
      </c>
      <c r="G87" s="39">
        <f t="shared" ref="G87:G88" si="26">D87*C87</f>
        <v>4703.68</v>
      </c>
      <c r="H87" s="179">
        <f t="shared" ref="H87:H88" si="27">(E87-D87)/D87</f>
        <v>0.34798710796652838</v>
      </c>
      <c r="I87" s="39"/>
      <c r="J87" s="39"/>
      <c r="K87" s="39"/>
      <c r="L87" s="39">
        <v>14.71</v>
      </c>
    </row>
    <row r="88" spans="1:13" x14ac:dyDescent="0.25">
      <c r="A88" s="4">
        <v>0</v>
      </c>
      <c r="B88" s="164">
        <v>43508</v>
      </c>
      <c r="C88" s="10">
        <v>20</v>
      </c>
      <c r="D88" s="39">
        <v>40.186500000000002</v>
      </c>
      <c r="E88" s="39">
        <v>133.79</v>
      </c>
      <c r="F88" s="778">
        <f t="shared" si="25"/>
        <v>1872.07</v>
      </c>
      <c r="G88" s="39">
        <f t="shared" si="26"/>
        <v>803.73</v>
      </c>
      <c r="H88" s="179">
        <f t="shared" si="27"/>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91" priority="55">
      <formula>F7&gt;0</formula>
    </cfRule>
    <cfRule type="expression" dxfId="1290" priority="56">
      <formula>F7&lt;0</formula>
    </cfRule>
  </conditionalFormatting>
  <conditionalFormatting sqref="Q8">
    <cfRule type="expression" dxfId="1289" priority="53">
      <formula>Q8&gt;0</formula>
    </cfRule>
    <cfRule type="expression" dxfId="1288" priority="54">
      <formula>Q8&lt;0</formula>
    </cfRule>
  </conditionalFormatting>
  <conditionalFormatting sqref="F43:F63">
    <cfRule type="expression" dxfId="1287" priority="51">
      <formula>F43&gt;0</formula>
    </cfRule>
    <cfRule type="expression" dxfId="1286" priority="52">
      <formula>F43&lt;0</formula>
    </cfRule>
  </conditionalFormatting>
  <conditionalFormatting sqref="H43:H63">
    <cfRule type="expression" dxfId="1285" priority="49">
      <formula>H43&gt;0</formula>
    </cfRule>
    <cfRule type="expression" dxfId="1284" priority="50">
      <formula>H43&lt;0</formula>
    </cfRule>
  </conditionalFormatting>
  <conditionalFormatting sqref="Q10">
    <cfRule type="expression" dxfId="1283" priority="47">
      <formula>Q10&gt;0</formula>
    </cfRule>
    <cfRule type="expression" dxfId="1282" priority="48">
      <formula>Q10&lt;0</formula>
    </cfRule>
  </conditionalFormatting>
  <conditionalFormatting sqref="J34:J47">
    <cfRule type="expression" dxfId="1281" priority="45">
      <formula>J34&gt;0</formula>
    </cfRule>
    <cfRule type="expression" dxfId="1280" priority="46">
      <formula>J34&lt;0</formula>
    </cfRule>
  </conditionalFormatting>
  <conditionalFormatting sqref="K34:K44 K46:K47">
    <cfRule type="expression" dxfId="1279" priority="43">
      <formula>K34&gt;0</formula>
    </cfRule>
    <cfRule type="expression" dxfId="1278" priority="44">
      <formula>K34&lt;0</formula>
    </cfRule>
  </conditionalFormatting>
  <conditionalFormatting sqref="L34">
    <cfRule type="expression" dxfId="1277" priority="41">
      <formula>L34&gt;0</formula>
    </cfRule>
    <cfRule type="expression" dxfId="1276" priority="42">
      <formula>L34&lt;0</formula>
    </cfRule>
  </conditionalFormatting>
  <conditionalFormatting sqref="F118:F139">
    <cfRule type="expression" dxfId="1275" priority="39">
      <formula>F118&gt;0</formula>
    </cfRule>
    <cfRule type="expression" dxfId="1274" priority="40">
      <formula>F118&lt;0</formula>
    </cfRule>
  </conditionalFormatting>
  <conditionalFormatting sqref="H118:H139">
    <cfRule type="expression" dxfId="1273" priority="37">
      <formula>H118&gt;0</formula>
    </cfRule>
    <cfRule type="expression" dxfId="1272" priority="38">
      <formula>H118&lt;0</formula>
    </cfRule>
  </conditionalFormatting>
  <conditionalFormatting sqref="J118:J131">
    <cfRule type="expression" dxfId="1271" priority="35">
      <formula>J118&gt;0</formula>
    </cfRule>
    <cfRule type="expression" dxfId="1270" priority="36">
      <formula>J118&lt;0</formula>
    </cfRule>
  </conditionalFormatting>
  <conditionalFormatting sqref="K118:K131">
    <cfRule type="expression" dxfId="1269" priority="33">
      <formula>K118&gt;0</formula>
    </cfRule>
    <cfRule type="expression" dxfId="1268" priority="34">
      <formula>K118&lt;0</formula>
    </cfRule>
  </conditionalFormatting>
  <conditionalFormatting sqref="L118:L131">
    <cfRule type="expression" dxfId="1267" priority="31">
      <formula>L118&gt;0</formula>
    </cfRule>
    <cfRule type="expression" dxfId="1266" priority="32">
      <formula>L118&lt;0</formula>
    </cfRule>
  </conditionalFormatting>
  <conditionalFormatting sqref="F34:F42">
    <cfRule type="expression" dxfId="1265" priority="29">
      <formula>F34&gt;0</formula>
    </cfRule>
    <cfRule type="expression" dxfId="1264" priority="30">
      <formula>F34&lt;0</formula>
    </cfRule>
  </conditionalFormatting>
  <conditionalFormatting sqref="H34:H42">
    <cfRule type="expression" dxfId="1263" priority="27">
      <formula>H34&gt;0</formula>
    </cfRule>
    <cfRule type="expression" dxfId="1262" priority="28">
      <formula>H34&lt;0</formula>
    </cfRule>
  </conditionalFormatting>
  <conditionalFormatting sqref="J63">
    <cfRule type="expression" dxfId="1261" priority="25">
      <formula>J63&gt;0</formula>
    </cfRule>
    <cfRule type="expression" dxfId="1260" priority="26">
      <formula>J63&lt;0</formula>
    </cfRule>
  </conditionalFormatting>
  <conditionalFormatting sqref="F64:F66">
    <cfRule type="expression" dxfId="1259" priority="23">
      <formula>F64&gt;0</formula>
    </cfRule>
    <cfRule type="expression" dxfId="1258" priority="24">
      <formula>F64&lt;0</formula>
    </cfRule>
  </conditionalFormatting>
  <conditionalFormatting sqref="H64:H66">
    <cfRule type="expression" dxfId="1257" priority="21">
      <formula>H64&gt;0</formula>
    </cfRule>
    <cfRule type="expression" dxfId="1256" priority="22">
      <formula>H64&lt;0</formula>
    </cfRule>
  </conditionalFormatting>
  <conditionalFormatting sqref="H70:H72 F70:F72">
    <cfRule type="expression" dxfId="1255" priority="19">
      <formula>F70&gt;0</formula>
    </cfRule>
    <cfRule type="expression" dxfId="1254" priority="20">
      <formula>F70&lt;0</formula>
    </cfRule>
  </conditionalFormatting>
  <conditionalFormatting sqref="H73:H75 F73:F75">
    <cfRule type="expression" dxfId="1253" priority="17">
      <formula>F73&gt;0</formula>
    </cfRule>
    <cfRule type="expression" dxfId="1252" priority="18">
      <formula>F73&lt;0</formula>
    </cfRule>
  </conditionalFormatting>
  <conditionalFormatting sqref="F81:F83 H81:H83">
    <cfRule type="expression" dxfId="1251" priority="15">
      <formula>F81&gt;0</formula>
    </cfRule>
    <cfRule type="expression" dxfId="1250" priority="16">
      <formula>F81&lt;0</formula>
    </cfRule>
  </conditionalFormatting>
  <conditionalFormatting sqref="F80 H80">
    <cfRule type="expression" dxfId="1249" priority="13">
      <formula>F80&gt;0</formula>
    </cfRule>
    <cfRule type="expression" dxfId="1248" priority="14">
      <formula>F80&lt;0</formula>
    </cfRule>
  </conditionalFormatting>
  <conditionalFormatting sqref="F77:F79 H77:H79">
    <cfRule type="expression" dxfId="1247" priority="11">
      <formula>F77&gt;0</formula>
    </cfRule>
    <cfRule type="expression" dxfId="1246" priority="12">
      <formula>F77&lt;0</formula>
    </cfRule>
  </conditionalFormatting>
  <conditionalFormatting sqref="F90 H90">
    <cfRule type="expression" dxfId="1245" priority="9">
      <formula>F90&gt;0</formula>
    </cfRule>
    <cfRule type="expression" dxfId="1244" priority="10">
      <formula>F90&lt;0</formula>
    </cfRule>
  </conditionalFormatting>
  <conditionalFormatting sqref="H85:H87 F85:F88">
    <cfRule type="expression" dxfId="1243" priority="7">
      <formula>F85&gt;0</formula>
    </cfRule>
    <cfRule type="expression" dxfId="1242" priority="8">
      <formula>F85&lt;0</formula>
    </cfRule>
  </conditionalFormatting>
  <conditionalFormatting sqref="F84 H84">
    <cfRule type="expression" dxfId="1241" priority="5">
      <formula>F84&gt;0</formula>
    </cfRule>
    <cfRule type="expression" dxfId="1240" priority="6">
      <formula>F84&lt;0</formula>
    </cfRule>
  </conditionalFormatting>
  <conditionalFormatting sqref="F89 H88:H89">
    <cfRule type="expression" dxfId="1239" priority="3">
      <formula>F88&gt;0</formula>
    </cfRule>
    <cfRule type="expression" dxfId="1238"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37" priority="31">
      <formula>F60&gt;0</formula>
    </cfRule>
    <cfRule type="expression" dxfId="1236" priority="32">
      <formula>F60&lt;0</formula>
    </cfRule>
  </conditionalFormatting>
  <conditionalFormatting sqref="Q7">
    <cfRule type="expression" dxfId="1235" priority="29">
      <formula>Q7&gt;0</formula>
    </cfRule>
    <cfRule type="expression" dxfId="1234" priority="30">
      <formula>Q7&lt;0</formula>
    </cfRule>
  </conditionalFormatting>
  <conditionalFormatting sqref="Q8">
    <cfRule type="expression" dxfId="1233" priority="27">
      <formula>Q8&gt;0</formula>
    </cfRule>
    <cfRule type="expression" dxfId="1232" priority="28">
      <formula>Q8&lt;0</formula>
    </cfRule>
  </conditionalFormatting>
  <conditionalFormatting sqref="F32:F59">
    <cfRule type="expression" dxfId="1231" priority="25">
      <formula>F32&gt;0</formula>
    </cfRule>
    <cfRule type="expression" dxfId="1230" priority="26">
      <formula>F32&lt;0</formula>
    </cfRule>
  </conditionalFormatting>
  <conditionalFormatting sqref="H32:H59">
    <cfRule type="expression" dxfId="1229" priority="23">
      <formula>H32&gt;0</formula>
    </cfRule>
    <cfRule type="expression" dxfId="1228" priority="24">
      <formula>H32&lt;0</formula>
    </cfRule>
  </conditionalFormatting>
  <conditionalFormatting sqref="Q10">
    <cfRule type="expression" dxfId="1227" priority="21">
      <formula>Q10&gt;0</formula>
    </cfRule>
    <cfRule type="expression" dxfId="1226" priority="22">
      <formula>Q10&lt;0</formula>
    </cfRule>
  </conditionalFormatting>
  <conditionalFormatting sqref="J25:J38">
    <cfRule type="expression" dxfId="1225" priority="19">
      <formula>J25&gt;0</formula>
    </cfRule>
    <cfRule type="expression" dxfId="1224" priority="20">
      <formula>J25&lt;0</formula>
    </cfRule>
  </conditionalFormatting>
  <conditionalFormatting sqref="K25:K38">
    <cfRule type="expression" dxfId="1223" priority="17">
      <formula>K25&gt;0</formula>
    </cfRule>
    <cfRule type="expression" dxfId="1222" priority="18">
      <formula>K25&lt;0</formula>
    </cfRule>
  </conditionalFormatting>
  <conditionalFormatting sqref="L25:L38">
    <cfRule type="expression" dxfId="1221" priority="15">
      <formula>L25&gt;0</formula>
    </cfRule>
    <cfRule type="expression" dxfId="1220" priority="16">
      <formula>L25&lt;0</formula>
    </cfRule>
  </conditionalFormatting>
  <conditionalFormatting sqref="F89:F110">
    <cfRule type="expression" dxfId="1219" priority="13">
      <formula>F89&gt;0</formula>
    </cfRule>
    <cfRule type="expression" dxfId="1218" priority="14">
      <formula>F89&lt;0</formula>
    </cfRule>
  </conditionalFormatting>
  <conditionalFormatting sqref="H89:H110">
    <cfRule type="expression" dxfId="1217" priority="11">
      <formula>H89&gt;0</formula>
    </cfRule>
    <cfRule type="expression" dxfId="1216" priority="12">
      <formula>H89&lt;0</formula>
    </cfRule>
  </conditionalFormatting>
  <conditionalFormatting sqref="J89:J102">
    <cfRule type="expression" dxfId="1215" priority="9">
      <formula>J89&gt;0</formula>
    </cfRule>
    <cfRule type="expression" dxfId="1214" priority="10">
      <formula>J89&lt;0</formula>
    </cfRule>
  </conditionalFormatting>
  <conditionalFormatting sqref="K89:K102">
    <cfRule type="expression" dxfId="1213" priority="7">
      <formula>K89&gt;0</formula>
    </cfRule>
    <cfRule type="expression" dxfId="1212" priority="8">
      <formula>K89&lt;0</formula>
    </cfRule>
  </conditionalFormatting>
  <conditionalFormatting sqref="L89:L102">
    <cfRule type="expression" dxfId="1211" priority="5">
      <formula>L89&gt;0</formula>
    </cfRule>
    <cfRule type="expression" dxfId="1210" priority="6">
      <formula>L89&lt;0</formula>
    </cfRule>
  </conditionalFormatting>
  <conditionalFormatting sqref="F25:F31">
    <cfRule type="expression" dxfId="1209" priority="3">
      <formula>F25&gt;0</formula>
    </cfRule>
    <cfRule type="expression" dxfId="1208" priority="4">
      <formula>F25&lt;0</formula>
    </cfRule>
  </conditionalFormatting>
  <conditionalFormatting sqref="H25:H31">
    <cfRule type="expression" dxfId="1207" priority="1">
      <formula>H25&gt;0</formula>
    </cfRule>
    <cfRule type="expression" dxfId="120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5" priority="39">
      <formula>F47&gt;0</formula>
    </cfRule>
    <cfRule type="expression" dxfId="1204" priority="40">
      <formula>F47&lt;0</formula>
    </cfRule>
  </conditionalFormatting>
  <conditionalFormatting sqref="Q7">
    <cfRule type="expression" dxfId="1203" priority="37">
      <formula>Q7&gt;0</formula>
    </cfRule>
    <cfRule type="expression" dxfId="1202" priority="38">
      <formula>Q7&lt;0</formula>
    </cfRule>
  </conditionalFormatting>
  <conditionalFormatting sqref="Q8">
    <cfRule type="expression" dxfId="1201" priority="35">
      <formula>Q8&gt;0</formula>
    </cfRule>
    <cfRule type="expression" dxfId="1200" priority="36">
      <formula>Q8&lt;0</formula>
    </cfRule>
  </conditionalFormatting>
  <conditionalFormatting sqref="F30:F33 F38:F46">
    <cfRule type="expression" dxfId="1199" priority="33">
      <formula>F30&gt;0</formula>
    </cfRule>
    <cfRule type="expression" dxfId="1198" priority="34">
      <formula>F30&lt;0</formula>
    </cfRule>
  </conditionalFormatting>
  <conditionalFormatting sqref="H30:H33 H37:H46">
    <cfRule type="expression" dxfId="1197" priority="31">
      <formula>H30&gt;0</formula>
    </cfRule>
    <cfRule type="expression" dxfId="1196" priority="32">
      <formula>H30&lt;0</formula>
    </cfRule>
  </conditionalFormatting>
  <conditionalFormatting sqref="Q10">
    <cfRule type="expression" dxfId="1195" priority="29">
      <formula>Q10&gt;0</formula>
    </cfRule>
    <cfRule type="expression" dxfId="1194" priority="30">
      <formula>Q10&lt;0</formula>
    </cfRule>
  </conditionalFormatting>
  <conditionalFormatting sqref="K25:K38">
    <cfRule type="expression" dxfId="1193" priority="25">
      <formula>K25&gt;0</formula>
    </cfRule>
    <cfRule type="expression" dxfId="1192" priority="26">
      <formula>K25&lt;0</formula>
    </cfRule>
  </conditionalFormatting>
  <conditionalFormatting sqref="L25:L38">
    <cfRule type="expression" dxfId="1191" priority="23">
      <formula>L25&gt;0</formula>
    </cfRule>
    <cfRule type="expression" dxfId="1190" priority="24">
      <formula>L25&lt;0</formula>
    </cfRule>
  </conditionalFormatting>
  <conditionalFormatting sqref="F89:F110">
    <cfRule type="expression" dxfId="1189" priority="21">
      <formula>F89&gt;0</formula>
    </cfRule>
    <cfRule type="expression" dxfId="1188" priority="22">
      <formula>F89&lt;0</formula>
    </cfRule>
  </conditionalFormatting>
  <conditionalFormatting sqref="H89:H110">
    <cfRule type="expression" dxfId="1187" priority="19">
      <formula>H89&gt;0</formula>
    </cfRule>
    <cfRule type="expression" dxfId="1186" priority="20">
      <formula>H89&lt;0</formula>
    </cfRule>
  </conditionalFormatting>
  <conditionalFormatting sqref="J89:J102">
    <cfRule type="expression" dxfId="1185" priority="17">
      <formula>J89&gt;0</formula>
    </cfRule>
    <cfRule type="expression" dxfId="1184" priority="18">
      <formula>J89&lt;0</formula>
    </cfRule>
  </conditionalFormatting>
  <conditionalFormatting sqref="K89:K102">
    <cfRule type="expression" dxfId="1183" priority="15">
      <formula>K89&gt;0</formula>
    </cfRule>
    <cfRule type="expression" dxfId="1182" priority="16">
      <formula>K89&lt;0</formula>
    </cfRule>
  </conditionalFormatting>
  <conditionalFormatting sqref="L89:L102">
    <cfRule type="expression" dxfId="1181" priority="13">
      <formula>L89&gt;0</formula>
    </cfRule>
    <cfRule type="expression" dxfId="1180" priority="14">
      <formula>L89&lt;0</formula>
    </cfRule>
  </conditionalFormatting>
  <conditionalFormatting sqref="F25:F29">
    <cfRule type="expression" dxfId="1179" priority="11">
      <formula>F25&gt;0</formula>
    </cfRule>
    <cfRule type="expression" dxfId="1178" priority="12">
      <formula>F25&lt;0</formula>
    </cfRule>
  </conditionalFormatting>
  <conditionalFormatting sqref="H25:H29">
    <cfRule type="expression" dxfId="1177" priority="9">
      <formula>H25&gt;0</formula>
    </cfRule>
    <cfRule type="expression" dxfId="1176" priority="10">
      <formula>H25&lt;0</formula>
    </cfRule>
  </conditionalFormatting>
  <conditionalFormatting sqref="F34:F37">
    <cfRule type="expression" dxfId="1175" priority="7">
      <formula>F34&gt;0</formula>
    </cfRule>
    <cfRule type="expression" dxfId="1174" priority="8">
      <formula>F34&lt;0</formula>
    </cfRule>
  </conditionalFormatting>
  <conditionalFormatting sqref="H34:H36">
    <cfRule type="expression" dxfId="1173" priority="5">
      <formula>H34&gt;0</formula>
    </cfRule>
    <cfRule type="expression" dxfId="1172" priority="6">
      <formula>H34&lt;0</formula>
    </cfRule>
  </conditionalFormatting>
  <conditionalFormatting sqref="J39">
    <cfRule type="expression" dxfId="1171" priority="3">
      <formula>J39&gt;0</formula>
    </cfRule>
    <cfRule type="expression" dxfId="1170" priority="4">
      <formula>J39&lt;0</formula>
    </cfRule>
  </conditionalFormatting>
  <conditionalFormatting sqref="J25:J38">
    <cfRule type="expression" dxfId="1169" priority="1">
      <formula>J25&gt;0</formula>
    </cfRule>
    <cfRule type="expression" dxfId="1168"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67" priority="57">
      <formula>F27&gt;0</formula>
    </cfRule>
    <cfRule type="expression" dxfId="1166" priority="58">
      <formula>F27&lt;0</formula>
    </cfRule>
  </conditionalFormatting>
  <conditionalFormatting sqref="H28:H33">
    <cfRule type="expression" dxfId="1165" priority="53">
      <formula>H28&gt;0</formula>
    </cfRule>
    <cfRule type="expression" dxfId="1164" priority="54">
      <formula>H28&lt;0</formula>
    </cfRule>
  </conditionalFormatting>
  <conditionalFormatting sqref="F24:F26">
    <cfRule type="expression" dxfId="1163" priority="39">
      <formula>F24&gt;0</formula>
    </cfRule>
    <cfRule type="expression" dxfId="1162" priority="40">
      <formula>F24&lt;0</formula>
    </cfRule>
  </conditionalFormatting>
  <conditionalFormatting sqref="Q8">
    <cfRule type="expression" dxfId="1161" priority="33">
      <formula>Q8&gt;0</formula>
    </cfRule>
    <cfRule type="expression" dxfId="1160" priority="34">
      <formula>Q8&lt;0</formula>
    </cfRule>
  </conditionalFormatting>
  <conditionalFormatting sqref="Q7">
    <cfRule type="expression" dxfId="1159" priority="35">
      <formula>Q7&gt;0</formula>
    </cfRule>
    <cfRule type="expression" dxfId="1158" priority="36">
      <formula>Q7&lt;0</formula>
    </cfRule>
  </conditionalFormatting>
  <conditionalFormatting sqref="F34">
    <cfRule type="expression" dxfId="1157" priority="31">
      <formula>F34&gt;0</formula>
    </cfRule>
    <cfRule type="expression" dxfId="1156" priority="32">
      <formula>F34&lt;0</formula>
    </cfRule>
  </conditionalFormatting>
  <conditionalFormatting sqref="H34">
    <cfRule type="expression" dxfId="1155" priority="29">
      <formula>H34&gt;0</formula>
    </cfRule>
    <cfRule type="expression" dxfId="1154" priority="30">
      <formula>H34&lt;0</formula>
    </cfRule>
  </conditionalFormatting>
  <conditionalFormatting sqref="M36">
    <cfRule type="expression" dxfId="1153" priority="19">
      <formula>M36&gt;0</formula>
    </cfRule>
    <cfRule type="expression" dxfId="1152" priority="20">
      <formula>M36&lt;0</formula>
    </cfRule>
  </conditionalFormatting>
  <conditionalFormatting sqref="Q10">
    <cfRule type="expression" dxfId="1151" priority="15">
      <formula>Q10&gt;0</formula>
    </cfRule>
    <cfRule type="expression" dxfId="1150" priority="16">
      <formula>Q10&lt;0</formula>
    </cfRule>
  </conditionalFormatting>
  <conditionalFormatting sqref="F23">
    <cfRule type="expression" dxfId="1149" priority="13">
      <formula>F23&gt;0</formula>
    </cfRule>
    <cfRule type="expression" dxfId="1148" priority="14">
      <formula>F23&lt;0</formula>
    </cfRule>
  </conditionalFormatting>
  <conditionalFormatting sqref="I25:J25">
    <cfRule type="expression" dxfId="1147" priority="9">
      <formula>I25&gt;0</formula>
    </cfRule>
    <cfRule type="expression" dxfId="1146" priority="10">
      <formula>I25&lt;0</formula>
    </cfRule>
  </conditionalFormatting>
  <conditionalFormatting sqref="I26:J27">
    <cfRule type="expression" dxfId="1145" priority="7">
      <formula>I26&gt;0</formula>
    </cfRule>
    <cfRule type="expression" dxfId="1144" priority="8">
      <formula>I26&lt;0</formula>
    </cfRule>
  </conditionalFormatting>
  <conditionalFormatting sqref="K25:K27">
    <cfRule type="expression" dxfId="1143" priority="5">
      <formula>K25&gt;0</formula>
    </cfRule>
    <cfRule type="expression" dxfId="1142" priority="6">
      <formula>K25&lt;0</formula>
    </cfRule>
  </conditionalFormatting>
  <conditionalFormatting sqref="I23:J23">
    <cfRule type="expression" dxfId="1141" priority="3">
      <formula>I23&gt;0</formula>
    </cfRule>
    <cfRule type="expression" dxfId="114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1"/>
  <sheetViews>
    <sheetView zoomScale="98" zoomScaleNormal="98" workbookViewId="0">
      <pane ySplit="1" topLeftCell="A5" activePane="bottomLeft" state="frozen"/>
      <selection activeCell="A2" sqref="A2"/>
      <selection pane="bottomLeft" activeCell="P23" sqref="P2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200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-9.0842000000001288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31.44</v>
      </c>
      <c r="R4" s="424">
        <v>-4.0599999999999997E-2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6288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-1816.8400000000258</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9557.100000000024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8104.8400000000256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-4.460954184187881</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M202</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3.1806615776081427E-3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16.547368421052632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34.584000000000003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34.269600000000004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33.955200000000005</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33.640800000000006</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33.3264</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33.012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32.697600000000001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32.383200000000002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32.068800000000003</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31.7544</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31.44</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31.125600000000002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30.811199999999999</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39" si="4">D32*C32+E32</f>
        <v>3008</v>
      </c>
      <c r="G32" s="406">
        <v>43516</v>
      </c>
      <c r="H32" s="80">
        <v>300</v>
      </c>
      <c r="I32" s="43">
        <v>33.68</v>
      </c>
      <c r="J32" s="43">
        <v>0.13</v>
      </c>
      <c r="K32" s="43">
        <f t="shared" si="1"/>
        <v>10103.870000000001</v>
      </c>
      <c r="O32" s="81">
        <v>0.97</v>
      </c>
      <c r="P32" s="81">
        <f t="shared" si="3"/>
        <v>30.4968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30.182400000000001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29.867999999999999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29.553599999999999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29.239200000000004</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28.924800000000001</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28.610400000000002</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28.296000000000003</v>
      </c>
      <c r="Z39" s="637" t="s">
        <v>703</v>
      </c>
      <c r="AA39" s="642" t="s">
        <v>714</v>
      </c>
      <c r="AB39" s="637" t="s">
        <v>706</v>
      </c>
      <c r="AC39" s="637" t="s">
        <v>737</v>
      </c>
      <c r="AD39" s="637"/>
      <c r="AE39" s="637"/>
      <c r="AF39" s="601"/>
      <c r="AG39" s="601"/>
    </row>
    <row r="40" spans="1:33" x14ac:dyDescent="0.25">
      <c r="B40" s="29"/>
      <c r="C40" s="4"/>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5150</v>
      </c>
      <c r="D44" s="18"/>
      <c r="E44" s="18"/>
      <c r="F44" s="18">
        <f>SUM(F2:F42)</f>
        <v>138685.62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 t="shared" ref="F152:F154" si="36">C152*(E152-D152)</f>
        <v>8452.880000000001</v>
      </c>
      <c r="G152" s="39">
        <f t="shared" ref="G152:G154" si="37">D152*C152</f>
        <v>-1716.88</v>
      </c>
      <c r="H152" s="179">
        <f t="shared" ref="H152:H154" si="38">(E152-D152)/D152</f>
        <v>-4.9233959274963883</v>
      </c>
      <c r="I152" s="39"/>
      <c r="J152" s="39"/>
      <c r="K152" s="39">
        <f t="shared" ref="K152:K154" si="39">F152+$Q$10</f>
        <v>9905.14</v>
      </c>
      <c r="L152" s="39">
        <v>17.670000000000002</v>
      </c>
    </row>
    <row r="153" spans="1:12" x14ac:dyDescent="0.25">
      <c r="A153">
        <v>200</v>
      </c>
      <c r="B153" s="164">
        <v>43520</v>
      </c>
      <c r="C153" s="10">
        <v>300</v>
      </c>
      <c r="D153" s="39">
        <v>5.0037000000000003</v>
      </c>
      <c r="E153" s="39">
        <v>32.299999999999997</v>
      </c>
      <c r="F153" s="39">
        <f t="shared" si="36"/>
        <v>8188.8899999999985</v>
      </c>
      <c r="G153" s="39">
        <f t="shared" si="37"/>
        <v>1501.1100000000001</v>
      </c>
      <c r="H153" s="179">
        <f t="shared" si="38"/>
        <v>5.4552231348801872</v>
      </c>
      <c r="I153" s="39"/>
      <c r="J153" s="39"/>
      <c r="K153" s="39">
        <f t="shared" si="39"/>
        <v>9641.1499999999978</v>
      </c>
      <c r="L153" s="39">
        <v>17</v>
      </c>
    </row>
    <row r="154" spans="1:12" x14ac:dyDescent="0.25">
      <c r="B154" s="164">
        <v>43521</v>
      </c>
      <c r="C154" s="185">
        <v>200</v>
      </c>
      <c r="D154" s="186">
        <v>-9.0841999999999992</v>
      </c>
      <c r="E154" s="39">
        <v>32.770000000000003</v>
      </c>
      <c r="F154" s="39">
        <f t="shared" si="36"/>
        <v>8370.840000000002</v>
      </c>
      <c r="G154" s="39">
        <f t="shared" si="37"/>
        <v>-1816.84</v>
      </c>
      <c r="H154" s="179">
        <f t="shared" si="38"/>
        <v>-4.6073622333281969</v>
      </c>
      <c r="I154" s="39"/>
      <c r="J154" s="39"/>
      <c r="K154" s="39">
        <f t="shared" si="39"/>
        <v>9823.1</v>
      </c>
      <c r="L154" s="39">
        <v>17.25</v>
      </c>
    </row>
    <row r="155" spans="1:12" x14ac:dyDescent="0.25">
      <c r="B155" s="164"/>
      <c r="C155" s="10"/>
      <c r="D155" s="39"/>
      <c r="E155" s="39"/>
      <c r="F155" s="39"/>
      <c r="G155" s="39"/>
      <c r="H155" s="179"/>
      <c r="I155" s="39"/>
      <c r="J155" s="39"/>
      <c r="K155" s="39"/>
      <c r="L155" s="39"/>
    </row>
    <row r="156" spans="1:12" x14ac:dyDescent="0.25">
      <c r="B156" s="164"/>
      <c r="C156" s="10"/>
      <c r="D156" s="39"/>
      <c r="E156" s="39"/>
      <c r="F156" s="39"/>
      <c r="G156" s="39"/>
      <c r="H156" s="179"/>
      <c r="I156" s="39"/>
      <c r="J156" s="39"/>
      <c r="K156" s="39"/>
      <c r="L156" s="39"/>
    </row>
    <row r="157" spans="1:12" x14ac:dyDescent="0.25">
      <c r="B157" s="164"/>
      <c r="C157" s="10"/>
      <c r="D157" s="39"/>
      <c r="E157" s="39"/>
      <c r="F157" s="39"/>
      <c r="G157" s="39"/>
      <c r="H157" s="179"/>
      <c r="I157" s="39"/>
      <c r="J157" s="39"/>
      <c r="K157" s="39"/>
      <c r="L157" s="39"/>
    </row>
    <row r="159" spans="1:12" x14ac:dyDescent="0.25">
      <c r="B159" s="414" t="s">
        <v>113</v>
      </c>
      <c r="C159" s="414" t="s">
        <v>145</v>
      </c>
      <c r="D159" s="415" t="s">
        <v>144</v>
      </c>
      <c r="E159" s="416" t="s">
        <v>146</v>
      </c>
      <c r="F159" s="416" t="s">
        <v>65</v>
      </c>
      <c r="G159" s="418" t="s">
        <v>150</v>
      </c>
      <c r="H159" s="418" t="s">
        <v>88</v>
      </c>
      <c r="I159" s="418" t="s">
        <v>153</v>
      </c>
    </row>
    <row r="160" spans="1:12" x14ac:dyDescent="0.25">
      <c r="B160" s="297">
        <v>42548</v>
      </c>
      <c r="C160" s="298">
        <v>100</v>
      </c>
      <c r="D160" s="299">
        <v>25</v>
      </c>
      <c r="E160" s="299">
        <v>24.69</v>
      </c>
      <c r="F160" s="299">
        <f t="shared" ref="F160:F165" si="40">C160*(E160-D160)</f>
        <v>-30.999999999999872</v>
      </c>
      <c r="G160" s="299">
        <f t="shared" ref="G160:G165" si="41">D160*C160</f>
        <v>2500</v>
      </c>
      <c r="H160" s="300">
        <f t="shared" ref="H160:H165" si="42">(E160-D160)/D160</f>
        <v>-1.2399999999999949E-2</v>
      </c>
      <c r="I160" s="299"/>
    </row>
    <row r="161" spans="2:9" x14ac:dyDescent="0.25">
      <c r="B161" s="297">
        <v>42549</v>
      </c>
      <c r="C161" s="298">
        <v>100</v>
      </c>
      <c r="D161" s="299">
        <v>25</v>
      </c>
      <c r="E161" s="299">
        <v>25.26</v>
      </c>
      <c r="F161" s="299">
        <f t="shared" si="40"/>
        <v>26.000000000000156</v>
      </c>
      <c r="G161" s="299">
        <f t="shared" si="41"/>
        <v>2500</v>
      </c>
      <c r="H161" s="300">
        <f t="shared" si="42"/>
        <v>1.0400000000000062E-2</v>
      </c>
      <c r="I161" s="299"/>
    </row>
    <row r="162" spans="2:9" x14ac:dyDescent="0.25">
      <c r="B162" s="297">
        <v>42552</v>
      </c>
      <c r="C162" s="298">
        <v>100</v>
      </c>
      <c r="D162" s="299">
        <v>25</v>
      </c>
      <c r="E162" s="299">
        <v>26.57</v>
      </c>
      <c r="F162" s="299">
        <f t="shared" si="40"/>
        <v>157.00000000000003</v>
      </c>
      <c r="G162" s="299">
        <f t="shared" si="41"/>
        <v>2500</v>
      </c>
      <c r="H162" s="300">
        <f t="shared" si="42"/>
        <v>6.2800000000000009E-2</v>
      </c>
      <c r="I162" s="299"/>
    </row>
    <row r="163" spans="2:9" x14ac:dyDescent="0.25">
      <c r="B163" s="297">
        <v>42556</v>
      </c>
      <c r="C163" s="298">
        <v>100</v>
      </c>
      <c r="D163" s="299">
        <v>25</v>
      </c>
      <c r="E163" s="299">
        <v>25.47</v>
      </c>
      <c r="F163" s="299">
        <f t="shared" si="40"/>
        <v>46.999999999999886</v>
      </c>
      <c r="G163" s="299">
        <f t="shared" si="41"/>
        <v>2500</v>
      </c>
      <c r="H163" s="300">
        <f t="shared" si="42"/>
        <v>1.8799999999999956E-2</v>
      </c>
      <c r="I163" s="299"/>
    </row>
    <row r="164" spans="2:9" x14ac:dyDescent="0.25">
      <c r="B164" s="297">
        <v>42562</v>
      </c>
      <c r="C164" s="298">
        <v>100</v>
      </c>
      <c r="D164" s="299">
        <v>25</v>
      </c>
      <c r="E164" s="299">
        <v>25.69</v>
      </c>
      <c r="F164" s="299">
        <f t="shared" si="40"/>
        <v>69.000000000000128</v>
      </c>
      <c r="G164" s="299">
        <f t="shared" si="41"/>
        <v>2500</v>
      </c>
      <c r="H164" s="300">
        <f t="shared" si="42"/>
        <v>2.7600000000000052E-2</v>
      </c>
      <c r="I164" s="299"/>
    </row>
    <row r="165" spans="2:9" x14ac:dyDescent="0.25">
      <c r="B165" s="297">
        <v>42563</v>
      </c>
      <c r="C165" s="298">
        <v>100</v>
      </c>
      <c r="D165" s="299">
        <v>25</v>
      </c>
      <c r="E165" s="299">
        <v>26.48</v>
      </c>
      <c r="F165" s="299">
        <f t="shared" si="40"/>
        <v>148.00000000000006</v>
      </c>
      <c r="G165" s="299">
        <f t="shared" si="41"/>
        <v>2500</v>
      </c>
      <c r="H165" s="300">
        <f t="shared" si="42"/>
        <v>5.9200000000000016E-2</v>
      </c>
      <c r="I165" s="299"/>
    </row>
    <row r="166" spans="2:9" x14ac:dyDescent="0.25">
      <c r="B166" s="297">
        <v>42569</v>
      </c>
      <c r="C166" s="298">
        <v>100</v>
      </c>
      <c r="D166" s="299">
        <v>25</v>
      </c>
      <c r="E166" s="299">
        <v>29.28</v>
      </c>
      <c r="F166" s="299">
        <f t="shared" ref="F166:F172" si="43">C166*(E166-D166)</f>
        <v>428.00000000000011</v>
      </c>
      <c r="G166" s="299">
        <f t="shared" ref="G166:G172" si="44">D166*C166</f>
        <v>2500</v>
      </c>
      <c r="H166" s="300">
        <f t="shared" ref="H166:H172" si="45">(E166-D166)/D166</f>
        <v>0.17120000000000005</v>
      </c>
      <c r="I166" s="299"/>
    </row>
    <row r="167" spans="2:9" x14ac:dyDescent="0.25">
      <c r="B167" s="297">
        <v>42570</v>
      </c>
      <c r="C167" s="298">
        <v>100</v>
      </c>
      <c r="D167" s="299">
        <v>25</v>
      </c>
      <c r="E167" s="299">
        <v>28.68</v>
      </c>
      <c r="F167" s="299">
        <f t="shared" si="43"/>
        <v>368</v>
      </c>
      <c r="G167" s="299">
        <f t="shared" si="44"/>
        <v>2500</v>
      </c>
      <c r="H167" s="300">
        <f t="shared" si="45"/>
        <v>0.1472</v>
      </c>
      <c r="I167" s="299"/>
    </row>
    <row r="168" spans="2:9" x14ac:dyDescent="0.25">
      <c r="B168" s="297">
        <v>42571</v>
      </c>
      <c r="C168" s="298">
        <v>100</v>
      </c>
      <c r="D168" s="299">
        <v>25</v>
      </c>
      <c r="E168" s="299">
        <v>29.01</v>
      </c>
      <c r="F168" s="299">
        <f t="shared" si="43"/>
        <v>401.00000000000017</v>
      </c>
      <c r="G168" s="299">
        <f t="shared" si="44"/>
        <v>2500</v>
      </c>
      <c r="H168" s="300">
        <f t="shared" si="45"/>
        <v>0.16040000000000007</v>
      </c>
      <c r="I168" s="299"/>
    </row>
    <row r="169" spans="2:9" x14ac:dyDescent="0.25">
      <c r="B169" s="297">
        <v>42572</v>
      </c>
      <c r="C169" s="298">
        <v>100</v>
      </c>
      <c r="D169" s="299">
        <v>25</v>
      </c>
      <c r="E169" s="299">
        <v>28.89</v>
      </c>
      <c r="F169" s="299">
        <f t="shared" si="43"/>
        <v>389.00000000000006</v>
      </c>
      <c r="G169" s="299">
        <f t="shared" si="44"/>
        <v>2500</v>
      </c>
      <c r="H169" s="300">
        <f t="shared" si="45"/>
        <v>0.15560000000000002</v>
      </c>
      <c r="I169" s="299"/>
    </row>
    <row r="170" spans="2:9" x14ac:dyDescent="0.25">
      <c r="B170" s="297">
        <v>42576</v>
      </c>
      <c r="C170" s="298">
        <v>100</v>
      </c>
      <c r="D170" s="299">
        <v>25</v>
      </c>
      <c r="E170" s="299">
        <v>28.63</v>
      </c>
      <c r="F170" s="299">
        <f t="shared" si="43"/>
        <v>362.99999999999989</v>
      </c>
      <c r="G170" s="299">
        <f t="shared" si="44"/>
        <v>2500</v>
      </c>
      <c r="H170" s="300">
        <f t="shared" si="45"/>
        <v>0.14519999999999997</v>
      </c>
      <c r="I170" s="299"/>
    </row>
    <row r="171" spans="2:9" x14ac:dyDescent="0.25">
      <c r="B171" s="297">
        <v>42577</v>
      </c>
      <c r="C171" s="298">
        <v>100</v>
      </c>
      <c r="D171" s="299">
        <v>25</v>
      </c>
      <c r="E171" s="299">
        <v>29.34</v>
      </c>
      <c r="F171" s="299">
        <f t="shared" si="43"/>
        <v>434</v>
      </c>
      <c r="G171" s="299">
        <f t="shared" si="44"/>
        <v>2500</v>
      </c>
      <c r="H171" s="300">
        <f t="shared" si="45"/>
        <v>0.1736</v>
      </c>
      <c r="I171" s="299"/>
    </row>
    <row r="172" spans="2:9" x14ac:dyDescent="0.25">
      <c r="B172" s="297">
        <v>42580</v>
      </c>
      <c r="C172" s="298">
        <v>100</v>
      </c>
      <c r="D172" s="299">
        <v>25</v>
      </c>
      <c r="E172" s="299">
        <v>27</v>
      </c>
      <c r="F172" s="299">
        <f t="shared" si="43"/>
        <v>200</v>
      </c>
      <c r="G172" s="299">
        <f t="shared" si="44"/>
        <v>2500</v>
      </c>
      <c r="H172" s="300">
        <f t="shared" si="45"/>
        <v>0.08</v>
      </c>
      <c r="I172" s="299"/>
    </row>
    <row r="173" spans="2:9" x14ac:dyDescent="0.25">
      <c r="B173" s="297">
        <v>42584</v>
      </c>
      <c r="C173" s="298">
        <v>0</v>
      </c>
      <c r="D173" s="299"/>
      <c r="E173" s="299"/>
      <c r="F173" s="299">
        <v>287.94</v>
      </c>
      <c r="G173" s="299"/>
      <c r="H173" s="300"/>
      <c r="I173" s="299"/>
    </row>
    <row r="174" spans="2:9" x14ac:dyDescent="0.25">
      <c r="B174" s="164"/>
      <c r="C174" s="10"/>
      <c r="D174" s="39"/>
      <c r="E174" s="39"/>
      <c r="F174" s="39"/>
      <c r="G174" s="39"/>
      <c r="H174" s="179"/>
      <c r="I174" s="39"/>
    </row>
    <row r="175" spans="2:9" x14ac:dyDescent="0.25">
      <c r="B175" s="162" t="s">
        <v>113</v>
      </c>
      <c r="C175" s="162" t="s">
        <v>145</v>
      </c>
      <c r="D175" s="163" t="s">
        <v>144</v>
      </c>
      <c r="E175" s="165" t="s">
        <v>146</v>
      </c>
      <c r="F175" s="165" t="s">
        <v>65</v>
      </c>
      <c r="G175" s="177" t="s">
        <v>150</v>
      </c>
      <c r="H175" s="177" t="s">
        <v>88</v>
      </c>
      <c r="I175" s="177" t="s">
        <v>153</v>
      </c>
    </row>
    <row r="176" spans="2:9" x14ac:dyDescent="0.25">
      <c r="B176" s="202">
        <v>42627</v>
      </c>
      <c r="C176" s="197">
        <v>50</v>
      </c>
      <c r="D176" s="198">
        <v>25.74</v>
      </c>
      <c r="E176" s="198">
        <v>25.83</v>
      </c>
      <c r="F176" s="198">
        <f>C176*(E176-D176)</f>
        <v>4.4999999999999929</v>
      </c>
      <c r="G176" s="198">
        <f>D176*C176</f>
        <v>1287</v>
      </c>
      <c r="H176" s="212">
        <f>(E176-D176)/D176</f>
        <v>3.4965034965034913E-3</v>
      </c>
      <c r="I176" s="198"/>
    </row>
    <row r="177" spans="2:9" x14ac:dyDescent="0.25">
      <c r="B177" s="202">
        <v>42629</v>
      </c>
      <c r="C177" s="197">
        <v>50</v>
      </c>
      <c r="D177" s="198">
        <v>25.74</v>
      </c>
      <c r="E177" s="198">
        <v>25.54</v>
      </c>
      <c r="F177" s="198">
        <f t="shared" ref="F177:F182" si="46">C177*(E177-D177)</f>
        <v>-9.9999999999999645</v>
      </c>
      <c r="G177" s="198">
        <f t="shared" ref="G177:G182" si="47">D177*C177</f>
        <v>1287</v>
      </c>
      <c r="H177" s="212">
        <f t="shared" ref="H177:H182" si="48">(E177-D177)/D177</f>
        <v>-7.7700077700077431E-3</v>
      </c>
      <c r="I177" s="198"/>
    </row>
    <row r="178" spans="2:9" x14ac:dyDescent="0.25">
      <c r="B178" s="202">
        <v>42636</v>
      </c>
      <c r="C178" s="197">
        <v>50</v>
      </c>
      <c r="D178" s="198">
        <v>25.74</v>
      </c>
      <c r="E178" s="198">
        <v>24.82</v>
      </c>
      <c r="F178" s="198">
        <f t="shared" si="46"/>
        <v>-45.999999999999908</v>
      </c>
      <c r="G178" s="198">
        <f t="shared" si="47"/>
        <v>1287</v>
      </c>
      <c r="H178" s="212">
        <f t="shared" si="48"/>
        <v>-3.5742035742035674E-2</v>
      </c>
      <c r="I178" s="198"/>
    </row>
    <row r="179" spans="2:9" x14ac:dyDescent="0.25">
      <c r="B179" s="202">
        <v>42639</v>
      </c>
      <c r="C179" s="197">
        <v>100</v>
      </c>
      <c r="D179" s="198">
        <v>24.96</v>
      </c>
      <c r="E179" s="198">
        <v>24.14</v>
      </c>
      <c r="F179" s="198">
        <f t="shared" si="46"/>
        <v>-82.000000000000028</v>
      </c>
      <c r="G179" s="198">
        <f t="shared" si="47"/>
        <v>2496</v>
      </c>
      <c r="H179" s="212">
        <f t="shared" si="48"/>
        <v>-3.2852564102564111E-2</v>
      </c>
      <c r="I179" s="198"/>
    </row>
    <row r="180" spans="2:9" x14ac:dyDescent="0.25">
      <c r="B180" s="202">
        <v>42639</v>
      </c>
      <c r="C180" s="197">
        <v>150</v>
      </c>
      <c r="D180" s="198">
        <v>24.8</v>
      </c>
      <c r="E180" s="198">
        <v>24.14</v>
      </c>
      <c r="F180" s="198">
        <f t="shared" si="46"/>
        <v>-99.000000000000028</v>
      </c>
      <c r="G180" s="198">
        <f t="shared" si="47"/>
        <v>3720</v>
      </c>
      <c r="H180" s="212">
        <f t="shared" si="48"/>
        <v>-2.6612903225806457E-2</v>
      </c>
      <c r="I180" s="198"/>
    </row>
    <row r="181" spans="2:9" x14ac:dyDescent="0.25">
      <c r="B181" s="202">
        <v>42640</v>
      </c>
      <c r="C181" s="197">
        <v>150</v>
      </c>
      <c r="D181" s="198">
        <v>24.8</v>
      </c>
      <c r="E181" s="198">
        <v>23.99</v>
      </c>
      <c r="F181" s="198">
        <f t="shared" si="46"/>
        <v>-121.50000000000034</v>
      </c>
      <c r="G181" s="198">
        <f t="shared" si="47"/>
        <v>3720</v>
      </c>
      <c r="H181" s="212">
        <f t="shared" si="48"/>
        <v>-3.2661290322580736E-2</v>
      </c>
      <c r="I181" s="198"/>
    </row>
    <row r="182" spans="2:9" x14ac:dyDescent="0.25">
      <c r="B182" s="202">
        <v>42643</v>
      </c>
      <c r="C182" s="197">
        <v>150</v>
      </c>
      <c r="D182" s="198">
        <v>24.8</v>
      </c>
      <c r="E182" s="198">
        <v>24.46</v>
      </c>
      <c r="F182" s="198">
        <f t="shared" si="46"/>
        <v>-50.999999999999979</v>
      </c>
      <c r="G182" s="198">
        <f t="shared" si="47"/>
        <v>3720</v>
      </c>
      <c r="H182" s="212">
        <f t="shared" si="48"/>
        <v>-1.3709677419354832E-2</v>
      </c>
      <c r="I182" s="198"/>
    </row>
    <row r="183" spans="2:9" x14ac:dyDescent="0.25">
      <c r="B183" s="202">
        <v>42646</v>
      </c>
      <c r="C183" s="197">
        <v>150</v>
      </c>
      <c r="D183" s="198">
        <v>24.8</v>
      </c>
      <c r="E183" s="198">
        <v>24.89</v>
      </c>
      <c r="F183" s="198">
        <f t="shared" ref="F183:F194" si="49">C183*(E183-D183)</f>
        <v>13.499999999999979</v>
      </c>
      <c r="G183" s="198">
        <f t="shared" ref="G183:G194" si="50">D183*C183</f>
        <v>3720</v>
      </c>
      <c r="H183" s="212">
        <f t="shared" ref="H183:H194" si="51">(E183-D183)/D183</f>
        <v>3.6290322580645102E-3</v>
      </c>
      <c r="I183" s="198"/>
    </row>
    <row r="184" spans="2:9" x14ac:dyDescent="0.25">
      <c r="B184" s="202">
        <v>42648</v>
      </c>
      <c r="C184" s="197">
        <v>150</v>
      </c>
      <c r="D184" s="198">
        <v>24.8</v>
      </c>
      <c r="E184" s="198">
        <v>25.07</v>
      </c>
      <c r="F184" s="198">
        <f t="shared" si="49"/>
        <v>40.499999999999936</v>
      </c>
      <c r="G184" s="198">
        <f t="shared" si="50"/>
        <v>3720</v>
      </c>
      <c r="H184" s="212">
        <f t="shared" si="51"/>
        <v>1.0887096774193531E-2</v>
      </c>
      <c r="I184" s="198"/>
    </row>
    <row r="185" spans="2:9" x14ac:dyDescent="0.25">
      <c r="B185" s="202">
        <v>42649</v>
      </c>
      <c r="C185" s="197">
        <v>150</v>
      </c>
      <c r="D185" s="198">
        <v>24.8</v>
      </c>
      <c r="E185" s="198">
        <v>24.85</v>
      </c>
      <c r="F185" s="198">
        <f t="shared" si="49"/>
        <v>7.5000000000001066</v>
      </c>
      <c r="G185" s="198">
        <f t="shared" si="50"/>
        <v>3720</v>
      </c>
      <c r="H185" s="212">
        <f t="shared" si="51"/>
        <v>2.0161290322580931E-3</v>
      </c>
      <c r="I185" s="198"/>
    </row>
    <row r="186" spans="2:9" x14ac:dyDescent="0.25">
      <c r="B186" s="202">
        <v>42650</v>
      </c>
      <c r="C186" s="197">
        <v>150</v>
      </c>
      <c r="D186" s="198">
        <v>24.8</v>
      </c>
      <c r="E186" s="198">
        <v>24.58</v>
      </c>
      <c r="F186" s="198">
        <f t="shared" si="49"/>
        <v>-33.000000000000362</v>
      </c>
      <c r="G186" s="198">
        <f t="shared" si="50"/>
        <v>3720</v>
      </c>
      <c r="H186" s="212">
        <f t="shared" si="51"/>
        <v>-8.8709677419355811E-3</v>
      </c>
      <c r="I186" s="198"/>
    </row>
    <row r="187" spans="2:9" x14ac:dyDescent="0.25">
      <c r="B187" s="202">
        <v>42661</v>
      </c>
      <c r="C187" s="197">
        <v>150</v>
      </c>
      <c r="D187" s="198">
        <v>24.8</v>
      </c>
      <c r="E187" s="198">
        <v>23.39</v>
      </c>
      <c r="F187" s="198">
        <f t="shared" si="49"/>
        <v>-211.50000000000003</v>
      </c>
      <c r="G187" s="198">
        <f t="shared" si="50"/>
        <v>3720</v>
      </c>
      <c r="H187" s="212">
        <f t="shared" si="51"/>
        <v>-5.6854838709677426E-2</v>
      </c>
      <c r="I187" s="198"/>
    </row>
    <row r="188" spans="2:9" x14ac:dyDescent="0.25">
      <c r="B188" s="202">
        <v>42662</v>
      </c>
      <c r="C188" s="197">
        <v>150</v>
      </c>
      <c r="D188" s="198">
        <v>24.8</v>
      </c>
      <c r="E188" s="198">
        <v>23.84</v>
      </c>
      <c r="F188" s="198">
        <f t="shared" si="49"/>
        <v>-144.00000000000011</v>
      </c>
      <c r="G188" s="198">
        <f t="shared" si="50"/>
        <v>3720</v>
      </c>
      <c r="H188" s="212">
        <f t="shared" si="51"/>
        <v>-3.8709677419354875E-2</v>
      </c>
      <c r="I188" s="198"/>
    </row>
    <row r="189" spans="2:9" x14ac:dyDescent="0.25">
      <c r="B189" s="202">
        <v>42664</v>
      </c>
      <c r="C189" s="197">
        <v>150</v>
      </c>
      <c r="D189" s="198">
        <v>24.8</v>
      </c>
      <c r="E189" s="198">
        <v>24.31</v>
      </c>
      <c r="F189" s="198">
        <f t="shared" si="49"/>
        <v>-73.500000000000298</v>
      </c>
      <c r="G189" s="198">
        <f t="shared" si="50"/>
        <v>3720</v>
      </c>
      <c r="H189" s="212">
        <f t="shared" si="51"/>
        <v>-1.975806451612911E-2</v>
      </c>
      <c r="I189" s="198"/>
    </row>
    <row r="190" spans="2:9" x14ac:dyDescent="0.25">
      <c r="B190" s="202">
        <v>42670</v>
      </c>
      <c r="C190" s="197">
        <v>150</v>
      </c>
      <c r="D190" s="198">
        <v>24.626899999999999</v>
      </c>
      <c r="E190" s="198">
        <v>23.93</v>
      </c>
      <c r="F190" s="198">
        <f t="shared" si="49"/>
        <v>-104.53499999999991</v>
      </c>
      <c r="G190" s="198">
        <f t="shared" si="50"/>
        <v>3694.0349999999999</v>
      </c>
      <c r="H190" s="212">
        <f t="shared" si="51"/>
        <v>-2.8298324190214743E-2</v>
      </c>
      <c r="I190" s="198"/>
    </row>
    <row r="191" spans="2:9" x14ac:dyDescent="0.25">
      <c r="B191" s="202">
        <v>42674</v>
      </c>
      <c r="C191" s="197">
        <v>150</v>
      </c>
      <c r="D191" s="198">
        <v>24.626899999999999</v>
      </c>
      <c r="E191" s="198">
        <v>23.53</v>
      </c>
      <c r="F191" s="198">
        <f t="shared" si="49"/>
        <v>-164.53499999999968</v>
      </c>
      <c r="G191" s="198">
        <f t="shared" si="50"/>
        <v>3694.0349999999999</v>
      </c>
      <c r="H191" s="212">
        <f t="shared" si="51"/>
        <v>-4.4540725791715481E-2</v>
      </c>
      <c r="I191" s="198"/>
    </row>
    <row r="192" spans="2:9" x14ac:dyDescent="0.25">
      <c r="B192" s="202">
        <v>42675</v>
      </c>
      <c r="C192" s="197">
        <v>150</v>
      </c>
      <c r="D192" s="198">
        <v>24.264700000000001</v>
      </c>
      <c r="E192" s="198">
        <v>24.32</v>
      </c>
      <c r="F192" s="198">
        <f t="shared" si="49"/>
        <v>8.2949999999998525</v>
      </c>
      <c r="G192" s="198">
        <f t="shared" si="50"/>
        <v>3639.7050000000004</v>
      </c>
      <c r="H192" s="212">
        <f t="shared" si="51"/>
        <v>2.2790308555225912E-3</v>
      </c>
      <c r="I192" s="198"/>
    </row>
    <row r="193" spans="1:13" x14ac:dyDescent="0.25">
      <c r="B193" s="202">
        <v>42676</v>
      </c>
      <c r="C193" s="197">
        <v>150</v>
      </c>
      <c r="D193" s="198">
        <v>24.264700000000001</v>
      </c>
      <c r="E193" s="198">
        <v>24.73</v>
      </c>
      <c r="F193" s="198">
        <f t="shared" si="49"/>
        <v>69.794999999999874</v>
      </c>
      <c r="G193" s="198">
        <f t="shared" si="50"/>
        <v>3639.7050000000004</v>
      </c>
      <c r="H193" s="212">
        <f t="shared" si="51"/>
        <v>1.9176004648728363E-2</v>
      </c>
      <c r="I193" s="198"/>
    </row>
    <row r="194" spans="1:13" x14ac:dyDescent="0.25">
      <c r="B194" s="202">
        <v>42704</v>
      </c>
      <c r="C194" s="197">
        <v>100</v>
      </c>
      <c r="D194" s="198">
        <v>22.507400000000001</v>
      </c>
      <c r="E194" s="198">
        <v>28.4</v>
      </c>
      <c r="F194" s="198">
        <f t="shared" si="49"/>
        <v>589.25999999999976</v>
      </c>
      <c r="G194" s="198">
        <f t="shared" si="50"/>
        <v>2250.7400000000002</v>
      </c>
      <c r="H194" s="212">
        <f t="shared" si="51"/>
        <v>0.26180722784506422</v>
      </c>
      <c r="I194" s="198"/>
    </row>
    <row r="195" spans="1:13" x14ac:dyDescent="0.25">
      <c r="B195" s="202">
        <v>42711</v>
      </c>
      <c r="C195" s="197">
        <v>0</v>
      </c>
      <c r="D195" s="198"/>
      <c r="E195" s="198"/>
      <c r="F195" s="198">
        <v>727.2</v>
      </c>
      <c r="G195" s="198"/>
      <c r="H195" s="212"/>
      <c r="I195" s="198"/>
    </row>
    <row r="196" spans="1:13" x14ac:dyDescent="0.25">
      <c r="B196" s="164"/>
      <c r="C196" s="10"/>
      <c r="D196" s="39"/>
      <c r="E196" s="39"/>
      <c r="F196" s="39"/>
      <c r="G196" s="39"/>
      <c r="H196" s="179"/>
      <c r="I196" s="39"/>
    </row>
    <row r="197" spans="1:13" x14ac:dyDescent="0.25">
      <c r="B197" s="164"/>
      <c r="C197" s="10"/>
      <c r="D197" s="39"/>
      <c r="E197" s="39"/>
      <c r="F197" s="39"/>
      <c r="G197" s="39"/>
      <c r="H197" s="179"/>
      <c r="I197" s="39"/>
    </row>
    <row r="198" spans="1:13" x14ac:dyDescent="0.25">
      <c r="B198" s="164"/>
      <c r="C198" s="10"/>
      <c r="D198" s="39"/>
      <c r="E198" s="39"/>
      <c r="F198" s="39"/>
      <c r="G198" s="39"/>
      <c r="H198" s="179"/>
      <c r="I198" s="39"/>
    </row>
    <row r="202" spans="1:13" x14ac:dyDescent="0.25">
      <c r="L202" t="s">
        <v>65</v>
      </c>
      <c r="M202" s="2">
        <f>K220+M220-F220</f>
        <v>1452.2599999999984</v>
      </c>
    </row>
    <row r="203" spans="1:13" x14ac:dyDescent="0.25">
      <c r="A203" s="383" t="s">
        <v>1</v>
      </c>
      <c r="B203" s="383" t="s">
        <v>2</v>
      </c>
      <c r="C203" s="383" t="s">
        <v>4</v>
      </c>
      <c r="D203" s="384" t="s">
        <v>5</v>
      </c>
      <c r="E203" s="384" t="s">
        <v>94</v>
      </c>
      <c r="F203" s="384" t="s">
        <v>60</v>
      </c>
      <c r="G203" s="383" t="s">
        <v>3</v>
      </c>
      <c r="H203" s="383" t="s">
        <v>6</v>
      </c>
      <c r="I203" s="384" t="s">
        <v>7</v>
      </c>
      <c r="J203" s="384" t="s">
        <v>95</v>
      </c>
      <c r="K203" s="384" t="s">
        <v>61</v>
      </c>
      <c r="L203" s="383" t="s">
        <v>37</v>
      </c>
      <c r="M203" s="383" t="s">
        <v>38</v>
      </c>
    </row>
    <row r="204" spans="1:13" x14ac:dyDescent="0.25">
      <c r="A204" s="385" t="s">
        <v>221</v>
      </c>
      <c r="B204" s="386">
        <v>42548</v>
      </c>
      <c r="C204" s="387">
        <v>100</v>
      </c>
      <c r="D204" s="388">
        <v>25</v>
      </c>
      <c r="E204" s="388">
        <v>0</v>
      </c>
      <c r="F204" s="388">
        <f>D204*C204+E204</f>
        <v>2500</v>
      </c>
      <c r="G204" s="386">
        <v>42584</v>
      </c>
      <c r="H204" s="389">
        <v>100</v>
      </c>
      <c r="I204" s="388">
        <v>27.88</v>
      </c>
      <c r="J204" s="388">
        <v>0.06</v>
      </c>
      <c r="K204" s="388">
        <f>H204*I204-J204</f>
        <v>2787.94</v>
      </c>
      <c r="L204" s="386">
        <v>42719</v>
      </c>
      <c r="M204" s="387">
        <v>41.25</v>
      </c>
    </row>
    <row r="205" spans="1:13" x14ac:dyDescent="0.25">
      <c r="A205" s="390" t="s">
        <v>71</v>
      </c>
      <c r="B205" s="386">
        <v>42627</v>
      </c>
      <c r="C205" s="387">
        <v>50</v>
      </c>
      <c r="D205" s="388">
        <v>25.74</v>
      </c>
      <c r="E205" s="388">
        <v>0</v>
      </c>
      <c r="F205" s="388">
        <v>1287</v>
      </c>
      <c r="G205" s="386" t="s">
        <v>327</v>
      </c>
      <c r="H205" s="389">
        <v>50</v>
      </c>
      <c r="I205" s="388">
        <v>25</v>
      </c>
      <c r="J205" s="388">
        <v>0.03</v>
      </c>
      <c r="K205" s="388">
        <v>1249.97</v>
      </c>
      <c r="L205" s="387"/>
      <c r="M205" s="387"/>
    </row>
    <row r="206" spans="1:13" x14ac:dyDescent="0.25">
      <c r="A206" s="387"/>
      <c r="B206" s="386">
        <v>42639</v>
      </c>
      <c r="C206" s="387">
        <v>50</v>
      </c>
      <c r="D206" s="388">
        <v>24.48</v>
      </c>
      <c r="E206" s="388">
        <v>0</v>
      </c>
      <c r="F206" s="388">
        <v>1224</v>
      </c>
      <c r="G206" s="386" t="s">
        <v>327</v>
      </c>
      <c r="H206" s="389">
        <v>100</v>
      </c>
      <c r="I206" s="388">
        <v>24.88</v>
      </c>
      <c r="J206" s="388">
        <v>0.05</v>
      </c>
      <c r="K206" s="388">
        <v>2487.9499999999998</v>
      </c>
      <c r="L206" s="387"/>
      <c r="M206" s="387"/>
    </row>
    <row r="207" spans="1:13" x14ac:dyDescent="0.25">
      <c r="A207" s="387"/>
      <c r="B207" s="386">
        <v>42639</v>
      </c>
      <c r="C207" s="387">
        <v>50</v>
      </c>
      <c r="D207" s="388">
        <v>24.18</v>
      </c>
      <c r="E207" s="388">
        <v>0</v>
      </c>
      <c r="F207" s="388">
        <v>1209</v>
      </c>
      <c r="G207" s="386" t="s">
        <v>327</v>
      </c>
      <c r="H207" s="389">
        <v>50</v>
      </c>
      <c r="I207" s="388">
        <v>27.78</v>
      </c>
      <c r="J207" s="388">
        <v>0.03</v>
      </c>
      <c r="K207" s="388">
        <v>1388.97</v>
      </c>
      <c r="L207" s="387"/>
      <c r="M207" s="387"/>
    </row>
    <row r="208" spans="1:13" x14ac:dyDescent="0.25">
      <c r="A208" s="387"/>
      <c r="B208" s="386">
        <v>42670</v>
      </c>
      <c r="C208" s="387">
        <v>50</v>
      </c>
      <c r="D208" s="388">
        <v>24.48</v>
      </c>
      <c r="E208" s="388">
        <v>0</v>
      </c>
      <c r="F208" s="388">
        <v>1224</v>
      </c>
      <c r="G208" s="386" t="s">
        <v>327</v>
      </c>
      <c r="H208" s="389">
        <v>100</v>
      </c>
      <c r="I208" s="388">
        <v>29.78</v>
      </c>
      <c r="J208" s="388">
        <v>0.06</v>
      </c>
      <c r="K208" s="388">
        <v>2977.94</v>
      </c>
      <c r="L208" s="387"/>
      <c r="M208" s="387"/>
    </row>
    <row r="209" spans="1:13" x14ac:dyDescent="0.25">
      <c r="A209" s="387"/>
      <c r="B209" s="386" t="s">
        <v>327</v>
      </c>
      <c r="C209" s="387">
        <v>100</v>
      </c>
      <c r="D209" s="388">
        <v>24.34</v>
      </c>
      <c r="E209" s="388">
        <v>-0.37</v>
      </c>
      <c r="F209" s="388">
        <v>2433.63</v>
      </c>
      <c r="G209" s="387"/>
      <c r="H209" s="389"/>
      <c r="I209" s="388"/>
      <c r="J209" s="388"/>
      <c r="K209" s="388"/>
      <c r="L209" s="387"/>
      <c r="M209" s="387"/>
    </row>
    <row r="210" spans="1:13" x14ac:dyDescent="0.25">
      <c r="A210" s="387"/>
      <c r="B210" s="426">
        <v>42723</v>
      </c>
      <c r="C210" s="427">
        <v>100</v>
      </c>
      <c r="D210" s="429">
        <v>27.98</v>
      </c>
      <c r="E210" s="429">
        <v>0</v>
      </c>
      <c r="F210" s="429">
        <f>D210*C210+E210</f>
        <v>2798</v>
      </c>
      <c r="G210" s="426">
        <v>42724</v>
      </c>
      <c r="H210" s="427">
        <v>100</v>
      </c>
      <c r="I210" s="429">
        <v>27.94</v>
      </c>
      <c r="J210" s="429">
        <v>0.06</v>
      </c>
      <c r="K210" s="429">
        <f>I210*H210-J210</f>
        <v>2793.94</v>
      </c>
      <c r="L210" s="387"/>
      <c r="M210" s="387"/>
    </row>
    <row r="211" spans="1:13" x14ac:dyDescent="0.25">
      <c r="A211" s="387"/>
      <c r="B211" s="368">
        <v>42724</v>
      </c>
      <c r="C211" s="7">
        <v>100</v>
      </c>
      <c r="D211" s="43">
        <v>27.58</v>
      </c>
      <c r="E211" s="43">
        <v>0</v>
      </c>
      <c r="F211" s="43">
        <f>D211*C211+E211</f>
        <v>2758</v>
      </c>
      <c r="G211" s="368">
        <v>42758</v>
      </c>
      <c r="H211" s="80">
        <v>100</v>
      </c>
      <c r="I211" s="43">
        <v>31.58</v>
      </c>
      <c r="J211" s="43">
        <v>7.0000000000000007E-2</v>
      </c>
      <c r="K211" s="43">
        <f>H211*I211-J211</f>
        <v>3157.93</v>
      </c>
      <c r="L211" s="387"/>
      <c r="M211" s="387"/>
    </row>
    <row r="212" spans="1:13" x14ac:dyDescent="0.25">
      <c r="A212" s="387"/>
      <c r="B212" s="387"/>
      <c r="C212" s="387"/>
      <c r="D212" s="388"/>
      <c r="E212" s="388"/>
      <c r="F212" s="388"/>
      <c r="G212" s="387"/>
      <c r="H212" s="389"/>
      <c r="I212" s="388"/>
      <c r="J212" s="388"/>
      <c r="K212" s="388"/>
      <c r="L212" s="387"/>
      <c r="M212" s="387"/>
    </row>
    <row r="213" spans="1:13" x14ac:dyDescent="0.25">
      <c r="A213" s="387"/>
      <c r="B213" s="387"/>
      <c r="C213" s="387"/>
      <c r="D213" s="388"/>
      <c r="E213" s="388"/>
      <c r="F213" s="388"/>
      <c r="G213" s="387"/>
      <c r="H213" s="389"/>
      <c r="I213" s="388"/>
      <c r="J213" s="388"/>
      <c r="K213" s="388"/>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9"/>
      <c r="I215" s="388"/>
      <c r="J215" s="388"/>
      <c r="K215" s="388"/>
      <c r="L215" s="387"/>
      <c r="M215" s="387"/>
    </row>
    <row r="216" spans="1:13" x14ac:dyDescent="0.25">
      <c r="A216" s="387"/>
      <c r="B216" s="387"/>
      <c r="C216" s="387"/>
      <c r="D216" s="388"/>
      <c r="E216" s="388"/>
      <c r="F216" s="388"/>
      <c r="G216" s="387"/>
      <c r="H216" s="389"/>
      <c r="I216" s="388"/>
      <c r="J216" s="388"/>
      <c r="K216" s="388"/>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7"/>
      <c r="I219" s="388"/>
      <c r="J219" s="388"/>
      <c r="K219" s="388"/>
      <c r="L219" s="387"/>
      <c r="M219" s="387"/>
    </row>
    <row r="220" spans="1:13" x14ac:dyDescent="0.25">
      <c r="A220" s="63" t="s">
        <v>81</v>
      </c>
      <c r="B220" s="64"/>
      <c r="C220" s="64">
        <f>SUM(C204:C219)</f>
        <v>600</v>
      </c>
      <c r="D220" s="65"/>
      <c r="E220" s="65"/>
      <c r="F220" s="65">
        <f>SUM(F204:F219)</f>
        <v>15433.630000000001</v>
      </c>
      <c r="G220" s="64"/>
      <c r="H220" s="472">
        <f>SUM(H204:H219)</f>
        <v>600</v>
      </c>
      <c r="I220" s="65"/>
      <c r="J220" s="65"/>
      <c r="K220" s="65">
        <f>SUM(K204:K219)</f>
        <v>16844.64</v>
      </c>
      <c r="L220" s="64"/>
      <c r="M220" s="65">
        <f>SUM(M204:M212)</f>
        <v>41.25</v>
      </c>
    </row>
    <row r="221" spans="1:13" ht="15.75" thickBot="1" x14ac:dyDescent="0.3">
      <c r="A221" s="391" t="s">
        <v>191</v>
      </c>
      <c r="B221" s="392"/>
      <c r="C221" s="393">
        <f>SumByColor($A$45,C204:C219)</f>
        <v>100</v>
      </c>
      <c r="D221" s="393"/>
      <c r="E221" s="393"/>
      <c r="F221" s="394">
        <f>SumByColor($A$45,F204:F219)</f>
        <v>2758</v>
      </c>
      <c r="G221" s="393"/>
      <c r="H221" s="393">
        <f>SumByColor($A$45,H204:H219)</f>
        <v>100</v>
      </c>
      <c r="I221" s="393"/>
      <c r="J221" s="393"/>
      <c r="K221" s="394">
        <f>SumByColor($A$45,K204:K219)</f>
        <v>3158</v>
      </c>
      <c r="L221" s="393"/>
      <c r="M221" s="394">
        <f>SumByColor($A$45,M204:M219)</f>
        <v>0</v>
      </c>
    </row>
  </sheetData>
  <mergeCells count="1">
    <mergeCell ref="O18:P18"/>
  </mergeCells>
  <conditionalFormatting sqref="O19:O39">
    <cfRule type="colorScale" priority="129">
      <colorScale>
        <cfvo type="min"/>
        <cfvo type="percentile" val="50"/>
        <cfvo type="max"/>
        <color rgb="FFF8696B"/>
        <color rgb="FFFFEB84"/>
        <color rgb="FF63BE7B"/>
      </colorScale>
    </cfRule>
  </conditionalFormatting>
  <conditionalFormatting sqref="P19:P39">
    <cfRule type="colorScale" priority="128">
      <colorScale>
        <cfvo type="min"/>
        <cfvo type="percentile" val="50"/>
        <cfvo type="max"/>
        <color rgb="FFF8696B"/>
        <color rgb="FFFFEB84"/>
        <color rgb="FF63BE7B"/>
      </colorScale>
    </cfRule>
  </conditionalFormatting>
  <conditionalFormatting sqref="F173:F174 H173:H174 H180:H198 F180:F198 K97:K104 H97:H104 F97:F104 F118 H118 H127 F127 K114:K127 F149 H149 K149 K156:K157 H156:H157 F156:F157">
    <cfRule type="expression" dxfId="1139" priority="124">
      <formula>F97&gt;0</formula>
    </cfRule>
    <cfRule type="expression" dxfId="1138" priority="125">
      <formula>F97&lt;0</formula>
    </cfRule>
  </conditionalFormatting>
  <conditionalFormatting sqref="Q7">
    <cfRule type="expression" dxfId="1137" priority="112">
      <formula>Q7&gt;0</formula>
    </cfRule>
    <cfRule type="expression" dxfId="1136" priority="113">
      <formula>Q7&lt;0</formula>
    </cfRule>
  </conditionalFormatting>
  <conditionalFormatting sqref="Q8">
    <cfRule type="expression" dxfId="1135" priority="110">
      <formula>Q8&gt;0</formula>
    </cfRule>
    <cfRule type="expression" dxfId="1134" priority="111">
      <formula>Q8&lt;0</formula>
    </cfRule>
  </conditionalFormatting>
  <conditionalFormatting sqref="F160:F172">
    <cfRule type="expression" dxfId="1133" priority="108">
      <formula>F160&gt;0</formula>
    </cfRule>
    <cfRule type="expression" dxfId="1132" priority="109">
      <formula>F160&lt;0</formula>
    </cfRule>
  </conditionalFormatting>
  <conditionalFormatting sqref="H160:H172">
    <cfRule type="expression" dxfId="1131" priority="106">
      <formula>H160&gt;0</formula>
    </cfRule>
    <cfRule type="expression" dxfId="1130" priority="107">
      <formula>H160&lt;0</formula>
    </cfRule>
  </conditionalFormatting>
  <conditionalFormatting sqref="H176:H179">
    <cfRule type="expression" dxfId="1129" priority="102">
      <formula>H176&gt;0</formula>
    </cfRule>
    <cfRule type="expression" dxfId="1128" priority="103">
      <formula>H176&lt;0</formula>
    </cfRule>
  </conditionalFormatting>
  <conditionalFormatting sqref="F176:F179">
    <cfRule type="expression" dxfId="1127" priority="104">
      <formula>F176&gt;0</formula>
    </cfRule>
    <cfRule type="expression" dxfId="1126" priority="105">
      <formula>F176&lt;0</formula>
    </cfRule>
  </conditionalFormatting>
  <conditionalFormatting sqref="M202">
    <cfRule type="expression" dxfId="1125" priority="100">
      <formula>M202&gt;0</formula>
    </cfRule>
    <cfRule type="expression" dxfId="1124" priority="101">
      <formula>M202&lt;0</formula>
    </cfRule>
  </conditionalFormatting>
  <conditionalFormatting sqref="F49:F50 F57:F94">
    <cfRule type="expression" dxfId="1123" priority="98">
      <formula>F49&gt;0</formula>
    </cfRule>
    <cfRule type="expression" dxfId="1122" priority="99">
      <formula>F49&lt;0</formula>
    </cfRule>
  </conditionalFormatting>
  <conditionalFormatting sqref="H49:H50 H57:H94">
    <cfRule type="expression" dxfId="1121" priority="96">
      <formula>H49&gt;0</formula>
    </cfRule>
    <cfRule type="expression" dxfId="1120" priority="97">
      <formula>H49&lt;0</formula>
    </cfRule>
  </conditionalFormatting>
  <conditionalFormatting sqref="Q10">
    <cfRule type="expression" dxfId="1119" priority="94">
      <formula>Q10&gt;0</formula>
    </cfRule>
    <cfRule type="expression" dxfId="1118" priority="95">
      <formula>Q10&lt;0</formula>
    </cfRule>
  </conditionalFormatting>
  <conditionalFormatting sqref="F51:F56">
    <cfRule type="expression" dxfId="1117" priority="92">
      <formula>F51&gt;0</formula>
    </cfRule>
    <cfRule type="expression" dxfId="1116" priority="93">
      <formula>F51&lt;0</formula>
    </cfRule>
  </conditionalFormatting>
  <conditionalFormatting sqref="H51:H56">
    <cfRule type="expression" dxfId="1115" priority="90">
      <formula>H51&gt;0</formula>
    </cfRule>
    <cfRule type="expression" dxfId="1114" priority="91">
      <formula>H51&lt;0</formula>
    </cfRule>
  </conditionalFormatting>
  <conditionalFormatting sqref="K54:K61">
    <cfRule type="expression" dxfId="1113" priority="88">
      <formula>K54&gt;0</formula>
    </cfRule>
    <cfRule type="expression" dxfId="1112" priority="89">
      <formula>K54&lt;0</formula>
    </cfRule>
  </conditionalFormatting>
  <conditionalFormatting sqref="K62:K94">
    <cfRule type="expression" dxfId="1111" priority="86">
      <formula>K62&gt;0</formula>
    </cfRule>
    <cfRule type="expression" dxfId="1110" priority="87">
      <formula>K62&lt;0</formula>
    </cfRule>
  </conditionalFormatting>
  <conditionalFormatting sqref="F95:F96">
    <cfRule type="expression" dxfId="1109" priority="83">
      <formula>F95&gt;0</formula>
    </cfRule>
    <cfRule type="expression" dxfId="1108" priority="84">
      <formula>F95&lt;0</formula>
    </cfRule>
  </conditionalFormatting>
  <conditionalFormatting sqref="H95:H96">
    <cfRule type="expression" dxfId="1107" priority="81">
      <formula>H95&gt;0</formula>
    </cfRule>
    <cfRule type="expression" dxfId="1106" priority="82">
      <formula>H95&lt;0</formula>
    </cfRule>
  </conditionalFormatting>
  <conditionalFormatting sqref="K95:K96">
    <cfRule type="expression" dxfId="1105" priority="79">
      <formula>K95&gt;0</formula>
    </cfRule>
    <cfRule type="expression" dxfId="1104" priority="80">
      <formula>K95&lt;0</formula>
    </cfRule>
  </conditionalFormatting>
  <conditionalFormatting sqref="F105:F107 H105:H107 K105:K107">
    <cfRule type="expression" dxfId="1103" priority="75">
      <formula>F105&gt;0</formula>
    </cfRule>
    <cfRule type="expression" dxfId="1102" priority="76">
      <formula>F105&lt;0</formula>
    </cfRule>
  </conditionalFormatting>
  <conditionalFormatting sqref="L97:L103 L157">
    <cfRule type="expression" dxfId="1101" priority="73">
      <formula>L97&gt;0</formula>
    </cfRule>
    <cfRule type="expression" dxfId="1100" priority="74">
      <formula>L97&lt;0</formula>
    </cfRule>
  </conditionalFormatting>
  <conditionalFormatting sqref="L54:L61">
    <cfRule type="expression" dxfId="1099" priority="71">
      <formula>L54&gt;0</formula>
    </cfRule>
    <cfRule type="expression" dxfId="1098" priority="72">
      <formula>L54&lt;0</formula>
    </cfRule>
  </conditionalFormatting>
  <conditionalFormatting sqref="L62:L94">
    <cfRule type="expression" dxfId="1097" priority="69">
      <formula>L62&gt;0</formula>
    </cfRule>
    <cfRule type="expression" dxfId="1096" priority="70">
      <formula>L62&lt;0</formula>
    </cfRule>
  </conditionalFormatting>
  <conditionalFormatting sqref="L95:L96">
    <cfRule type="expression" dxfId="1095" priority="67">
      <formula>L95&gt;0</formula>
    </cfRule>
    <cfRule type="expression" dxfId="1094" priority="68">
      <formula>L95&lt;0</formula>
    </cfRule>
  </conditionalFormatting>
  <conditionalFormatting sqref="L105:L107">
    <cfRule type="expression" dxfId="1093" priority="65">
      <formula>L105&gt;0</formula>
    </cfRule>
    <cfRule type="expression" dxfId="1092" priority="66">
      <formula>L105&lt;0</formula>
    </cfRule>
  </conditionalFormatting>
  <conditionalFormatting sqref="F114:F117 H114:H117">
    <cfRule type="expression" dxfId="1091" priority="63">
      <formula>F114&gt;0</formula>
    </cfRule>
    <cfRule type="expression" dxfId="1090" priority="64">
      <formula>F114&lt;0</formula>
    </cfRule>
  </conditionalFormatting>
  <conditionalFormatting sqref="K111:K113 F111:F113 H111:H113">
    <cfRule type="expression" dxfId="1089" priority="59">
      <formula>F111&gt;0</formula>
    </cfRule>
    <cfRule type="expression" dxfId="1088" priority="60">
      <formula>F111&lt;0</formula>
    </cfRule>
  </conditionalFormatting>
  <conditionalFormatting sqref="L111:L112">
    <cfRule type="expression" dxfId="1087" priority="57">
      <formula>L111&gt;0</formula>
    </cfRule>
    <cfRule type="expression" dxfId="1086" priority="58">
      <formula>L111&lt;0</formula>
    </cfRule>
  </conditionalFormatting>
  <conditionalFormatting sqref="K108:K110 F108:F110 H108:H110">
    <cfRule type="expression" dxfId="1085" priority="55">
      <formula>F108&gt;0</formula>
    </cfRule>
    <cfRule type="expression" dxfId="1084" priority="56">
      <formula>F108&lt;0</formula>
    </cfRule>
  </conditionalFormatting>
  <conditionalFormatting sqref="L109:L110">
    <cfRule type="expression" dxfId="1083" priority="53">
      <formula>L109&gt;0</formula>
    </cfRule>
    <cfRule type="expression" dxfId="1082" priority="54">
      <formula>L109&lt;0</formula>
    </cfRule>
  </conditionalFormatting>
  <conditionalFormatting sqref="H119:H122 F119:F122">
    <cfRule type="expression" dxfId="1081" priority="47">
      <formula>F119&gt;0</formula>
    </cfRule>
    <cfRule type="expression" dxfId="1080" priority="48">
      <formula>F119&lt;0</formula>
    </cfRule>
  </conditionalFormatting>
  <conditionalFormatting sqref="H123:H126 F123:F126">
    <cfRule type="expression" dxfId="1079" priority="43">
      <formula>F123&gt;0</formula>
    </cfRule>
    <cfRule type="expression" dxfId="1078" priority="44">
      <formula>F123&lt;0</formula>
    </cfRule>
  </conditionalFormatting>
  <conditionalFormatting sqref="F128:F133 H128:H133 K128:K133">
    <cfRule type="expression" dxfId="1077" priority="39">
      <formula>F128&gt;0</formula>
    </cfRule>
    <cfRule type="expression" dxfId="1076" priority="40">
      <formula>F128&lt;0</formula>
    </cfRule>
  </conditionalFormatting>
  <conditionalFormatting sqref="L132:L133">
    <cfRule type="expression" dxfId="1075" priority="33">
      <formula>L132&gt;0</formula>
    </cfRule>
    <cfRule type="expression" dxfId="1074" priority="34">
      <formula>L132&lt;0</formula>
    </cfRule>
  </conditionalFormatting>
  <conditionalFormatting sqref="F134:F136 H134:H136 K134:K137">
    <cfRule type="expression" dxfId="1073" priority="31">
      <formula>F134&gt;0</formula>
    </cfRule>
    <cfRule type="expression" dxfId="1072" priority="32">
      <formula>F134&lt;0</formula>
    </cfRule>
  </conditionalFormatting>
  <conditionalFormatting sqref="F137:F139 H137:H139 K138:K139">
    <cfRule type="expression" dxfId="1071" priority="27">
      <formula>F137&gt;0</formula>
    </cfRule>
    <cfRule type="expression" dxfId="1070" priority="28">
      <formula>F137&lt;0</formula>
    </cfRule>
  </conditionalFormatting>
  <conditionalFormatting sqref="F140:F142 H140:H142 K140:K142">
    <cfRule type="expression" dxfId="1069" priority="23">
      <formula>F140&gt;0</formula>
    </cfRule>
    <cfRule type="expression" dxfId="1068" priority="24">
      <formula>F140&lt;0</formula>
    </cfRule>
  </conditionalFormatting>
  <conditionalFormatting sqref="F143:F145 H143:H145 K143:K145">
    <cfRule type="expression" dxfId="1067" priority="19">
      <formula>F143&gt;0</formula>
    </cfRule>
    <cfRule type="expression" dxfId="1066" priority="20">
      <formula>F143&lt;0</formula>
    </cfRule>
  </conditionalFormatting>
  <conditionalFormatting sqref="F146:F148 H146:H148 K146:K148">
    <cfRule type="expression" dxfId="1065" priority="15">
      <formula>F146&gt;0</formula>
    </cfRule>
    <cfRule type="expression" dxfId="1064" priority="16">
      <formula>F146&lt;0</formula>
    </cfRule>
  </conditionalFormatting>
  <conditionalFormatting sqref="K150:K152 H150:H152 F150:F152">
    <cfRule type="expression" dxfId="1063" priority="11">
      <formula>F150&gt;0</formula>
    </cfRule>
    <cfRule type="expression" dxfId="1062" priority="12">
      <formula>F150&lt;0</formula>
    </cfRule>
  </conditionalFormatting>
  <conditionalFormatting sqref="K153 H153 F153">
    <cfRule type="expression" dxfId="1061" priority="7">
      <formula>F153&gt;0</formula>
    </cfRule>
    <cfRule type="expression" dxfId="1060" priority="8">
      <formula>F153&lt;0</formula>
    </cfRule>
  </conditionalFormatting>
  <conditionalFormatting sqref="K154:K155 H154:H155 F154:F155">
    <cfRule type="expression" dxfId="1059" priority="3">
      <formula>F154&gt;0</formula>
    </cfRule>
    <cfRule type="expression" dxfId="1058" priority="4">
      <formula>F154&lt;0</formula>
    </cfRule>
  </conditionalFormatting>
  <conditionalFormatting sqref="L155">
    <cfRule type="expression" dxfId="1057" priority="1">
      <formula>L155&gt;0</formula>
    </cfRule>
    <cfRule type="expression" dxfId="1056" priority="2">
      <formula>L155&lt;0</formula>
    </cfRule>
  </conditionalFormatting>
  <hyperlinks>
    <hyperlink ref="A3" location="ACTIVE!A1" display="Back"/>
    <hyperlink ref="A20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5" priority="9">
      <formula>F39&gt;0</formula>
    </cfRule>
    <cfRule type="expression" dxfId="1054" priority="10">
      <formula>F39&lt;0</formula>
    </cfRule>
  </conditionalFormatting>
  <conditionalFormatting sqref="F25:F38">
    <cfRule type="expression" dxfId="1053" priority="7">
      <formula>F25&gt;0</formula>
    </cfRule>
    <cfRule type="expression" dxfId="1052" priority="8">
      <formula>F25&lt;0</formula>
    </cfRule>
  </conditionalFormatting>
  <conditionalFormatting sqref="H25:H38">
    <cfRule type="expression" dxfId="1051" priority="5">
      <formula>H25&gt;0</formula>
    </cfRule>
    <cfRule type="expression" dxfId="1050" priority="6">
      <formula>H25&lt;0</formula>
    </cfRule>
  </conditionalFormatting>
  <conditionalFormatting sqref="Q7">
    <cfRule type="expression" dxfId="1049" priority="3">
      <formula>Q7&gt;0</formula>
    </cfRule>
    <cfRule type="expression" dxfId="1048" priority="4">
      <formula>Q7&lt;0</formula>
    </cfRule>
  </conditionalFormatting>
  <conditionalFormatting sqref="Q8">
    <cfRule type="expression" dxfId="1047" priority="1">
      <formula>Q8&gt;0</formula>
    </cfRule>
    <cfRule type="expression" dxfId="104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5" priority="29">
      <formula>F29&gt;0</formula>
    </cfRule>
    <cfRule type="expression" dxfId="1044" priority="30">
      <formula>F29&lt;0</formula>
    </cfRule>
  </conditionalFormatting>
  <conditionalFormatting sqref="Q7">
    <cfRule type="expression" dxfId="1043" priority="27">
      <formula>Q7&gt;0</formula>
    </cfRule>
    <cfRule type="expression" dxfId="1042" priority="28">
      <formula>Q7&lt;0</formula>
    </cfRule>
  </conditionalFormatting>
  <conditionalFormatting sqref="Q8">
    <cfRule type="expression" dxfId="1041" priority="25">
      <formula>Q8&gt;0</formula>
    </cfRule>
    <cfRule type="expression" dxfId="1040" priority="26">
      <formula>Q8&lt;0</formula>
    </cfRule>
  </conditionalFormatting>
  <conditionalFormatting sqref="F96:F110">
    <cfRule type="expression" dxfId="1039" priority="19">
      <formula>F96&gt;0</formula>
    </cfRule>
    <cfRule type="expression" dxfId="1038" priority="20">
      <formula>F96&lt;0</formula>
    </cfRule>
  </conditionalFormatting>
  <conditionalFormatting sqref="H96:H110">
    <cfRule type="expression" dxfId="1037" priority="17">
      <formula>H96&gt;0</formula>
    </cfRule>
    <cfRule type="expression" dxfId="1036" priority="18">
      <formula>H96&lt;0</formula>
    </cfRule>
  </conditionalFormatting>
  <conditionalFormatting sqref="Q10">
    <cfRule type="expression" dxfId="1035" priority="15">
      <formula>Q10&gt;0</formula>
    </cfRule>
    <cfRule type="expression" dxfId="1034" priority="16">
      <formula>Q10&lt;0</formula>
    </cfRule>
  </conditionalFormatting>
  <conditionalFormatting sqref="L29:L38">
    <cfRule type="expression" dxfId="1033" priority="9">
      <formula>L29&gt;0</formula>
    </cfRule>
    <cfRule type="expression" dxfId="1032" priority="10">
      <formula>L29&lt;0</formula>
    </cfRule>
  </conditionalFormatting>
  <conditionalFormatting sqref="F27:F29 H27:H29 J25:K29">
    <cfRule type="expression" dxfId="1031" priority="7">
      <formula>F25&gt;0</formula>
    </cfRule>
    <cfRule type="expression" dxfId="1030" priority="8">
      <formula>F25&lt;0</formula>
    </cfRule>
  </conditionalFormatting>
  <conditionalFormatting sqref="L25:L29">
    <cfRule type="expression" dxfId="1029" priority="5">
      <formula>L25&gt;0</formula>
    </cfRule>
    <cfRule type="expression" dxfId="1028" priority="6">
      <formula>L25&lt;0</formula>
    </cfRule>
  </conditionalFormatting>
  <conditionalFormatting sqref="F25:F26">
    <cfRule type="expression" dxfId="1027" priority="3">
      <formula>F25&gt;0</formula>
    </cfRule>
    <cfRule type="expression" dxfId="1026" priority="4">
      <formula>F25&lt;0</formula>
    </cfRule>
  </conditionalFormatting>
  <conditionalFormatting sqref="H25:H26">
    <cfRule type="expression" dxfId="1025" priority="1">
      <formula>H25&gt;0</formula>
    </cfRule>
    <cfRule type="expression" dxfId="102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84.64</v>
      </c>
      <c r="R4" s="425">
        <v>-1.78E-2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3385.6</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722.66999999999962</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722.66999999999962</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0.27138152335960736</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2.6937618147448012E-2</v>
      </c>
      <c r="R11">
        <f>0.57</f>
        <v>0.56999999999999995</v>
      </c>
      <c r="W11" s="134"/>
    </row>
    <row r="12" spans="1:23" x14ac:dyDescent="0.25">
      <c r="H12" s="70"/>
      <c r="O12" s="11" t="s">
        <v>921</v>
      </c>
      <c r="Q12" s="1" t="s">
        <v>1379</v>
      </c>
      <c r="W12" s="134"/>
    </row>
    <row r="13" spans="1:23" x14ac:dyDescent="0.25">
      <c r="H13" s="70"/>
      <c r="O13" s="11" t="s">
        <v>947</v>
      </c>
      <c r="Q13" s="2">
        <f>Q4/4.76</f>
        <v>17.781512605042018</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93.104000000000013</v>
      </c>
      <c r="W19" s="134"/>
    </row>
    <row r="20" spans="1:23" x14ac:dyDescent="0.25">
      <c r="O20" s="81">
        <v>1.0900000000000001</v>
      </c>
      <c r="P20" s="81">
        <f t="shared" ref="P20:P39" si="2">O20*$Q$4</f>
        <v>92.257600000000011</v>
      </c>
      <c r="T20" s="1">
        <v>43304</v>
      </c>
      <c r="U20" s="405" t="s">
        <v>1188</v>
      </c>
      <c r="W20" s="134"/>
    </row>
    <row r="21" spans="1:23" x14ac:dyDescent="0.25">
      <c r="O21" s="81">
        <v>1.08</v>
      </c>
      <c r="P21" s="81">
        <f t="shared" si="2"/>
        <v>91.411200000000008</v>
      </c>
      <c r="W21" s="134"/>
    </row>
    <row r="22" spans="1:23" x14ac:dyDescent="0.25">
      <c r="O22" s="81">
        <v>1.07</v>
      </c>
      <c r="P22" s="81">
        <f t="shared" si="2"/>
        <v>90.564800000000005</v>
      </c>
      <c r="T22" s="156">
        <v>43306</v>
      </c>
      <c r="U22" t="s">
        <v>1189</v>
      </c>
      <c r="W22" s="134"/>
    </row>
    <row r="23" spans="1:23" x14ac:dyDescent="0.25">
      <c r="O23" s="81">
        <v>1.06</v>
      </c>
      <c r="P23" s="81">
        <f t="shared" si="2"/>
        <v>89.718400000000003</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88.872</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88.025599999999997</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87.179200000000009</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86.332800000000006</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85.486400000000003</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84.64</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83.793599999999998</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82.947199999999995</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82.100799999999992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81.254400000000004</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80.408000000000001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79.561599999999999</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78.71520000000001</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77.868800000000007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77.022400000000005</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76.176000000000002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3" priority="39">
      <formula>F60&gt;0</formula>
    </cfRule>
    <cfRule type="expression" dxfId="1022" priority="40">
      <formula>F60&lt;0</formula>
    </cfRule>
  </conditionalFormatting>
  <conditionalFormatting sqref="Q7">
    <cfRule type="expression" dxfId="1021" priority="37">
      <formula>Q7&gt;0</formula>
    </cfRule>
    <cfRule type="expression" dxfId="1020" priority="38">
      <formula>Q7&lt;0</formula>
    </cfRule>
  </conditionalFormatting>
  <conditionalFormatting sqref="Q8">
    <cfRule type="expression" dxfId="1019" priority="35">
      <formula>Q8&gt;0</formula>
    </cfRule>
    <cfRule type="expression" dxfId="1018" priority="36">
      <formula>Q8&lt;0</formula>
    </cfRule>
  </conditionalFormatting>
  <conditionalFormatting sqref="F25:F29 F34:F59">
    <cfRule type="expression" dxfId="1017" priority="33">
      <formula>F25&gt;0</formula>
    </cfRule>
    <cfRule type="expression" dxfId="1016" priority="34">
      <formula>F25&lt;0</formula>
    </cfRule>
  </conditionalFormatting>
  <conditionalFormatting sqref="H25:H29 H34:H59">
    <cfRule type="expression" dxfId="1015" priority="31">
      <formula>H25&gt;0</formula>
    </cfRule>
    <cfRule type="expression" dxfId="1014" priority="32">
      <formula>H25&lt;0</formula>
    </cfRule>
  </conditionalFormatting>
  <conditionalFormatting sqref="F89:F110">
    <cfRule type="expression" dxfId="1013" priority="29">
      <formula>F89&gt;0</formula>
    </cfRule>
    <cfRule type="expression" dxfId="1012" priority="30">
      <formula>F89&lt;0</formula>
    </cfRule>
  </conditionalFormatting>
  <conditionalFormatting sqref="H89:H110">
    <cfRule type="expression" dxfId="1011" priority="27">
      <formula>H89&gt;0</formula>
    </cfRule>
    <cfRule type="expression" dxfId="1010" priority="28">
      <formula>H89&lt;0</formula>
    </cfRule>
  </conditionalFormatting>
  <conditionalFormatting sqref="Q10">
    <cfRule type="expression" dxfId="1009" priority="25">
      <formula>Q10&gt;0</formula>
    </cfRule>
    <cfRule type="expression" dxfId="1008" priority="26">
      <formula>Q10&lt;0</formula>
    </cfRule>
  </conditionalFormatting>
  <conditionalFormatting sqref="J25:J32 J34:J38">
    <cfRule type="expression" dxfId="1007" priority="23">
      <formula>J25&gt;0</formula>
    </cfRule>
    <cfRule type="expression" dxfId="1006" priority="24">
      <formula>J25&lt;0</formula>
    </cfRule>
  </conditionalFormatting>
  <conditionalFormatting sqref="K25:K30">
    <cfRule type="expression" dxfId="1005" priority="21">
      <formula>K25&gt;0</formula>
    </cfRule>
    <cfRule type="expression" dxfId="1004" priority="22">
      <formula>K25&lt;0</formula>
    </cfRule>
  </conditionalFormatting>
  <conditionalFormatting sqref="L25:L38">
    <cfRule type="expression" dxfId="1003" priority="19">
      <formula>L25&gt;0</formula>
    </cfRule>
    <cfRule type="expression" dxfId="1002" priority="20">
      <formula>L25&lt;0</formula>
    </cfRule>
  </conditionalFormatting>
  <conditionalFormatting sqref="F30:F33">
    <cfRule type="expression" dxfId="1001" priority="17">
      <formula>F30&gt;0</formula>
    </cfRule>
    <cfRule type="expression" dxfId="1000" priority="18">
      <formula>F30&lt;0</formula>
    </cfRule>
  </conditionalFormatting>
  <conditionalFormatting sqref="H30:H33">
    <cfRule type="expression" dxfId="999" priority="15">
      <formula>H30&gt;0</formula>
    </cfRule>
    <cfRule type="expression" dxfId="998" priority="16">
      <formula>H30&lt;0</formula>
    </cfRule>
  </conditionalFormatting>
  <conditionalFormatting sqref="L39:L44">
    <cfRule type="expression" dxfId="997" priority="7">
      <formula>L39&gt;0</formula>
    </cfRule>
    <cfRule type="expression" dxfId="996" priority="8">
      <formula>L39&lt;0</formula>
    </cfRule>
  </conditionalFormatting>
  <conditionalFormatting sqref="L45:L46">
    <cfRule type="expression" dxfId="995" priority="5">
      <formula>L45&gt;0</formula>
    </cfRule>
    <cfRule type="expression" dxfId="994" priority="6">
      <formula>L45&lt;0</formula>
    </cfRule>
  </conditionalFormatting>
  <conditionalFormatting sqref="L47">
    <cfRule type="expression" dxfId="993" priority="3">
      <formula>L47&gt;0</formula>
    </cfRule>
    <cfRule type="expression" dxfId="992" priority="4">
      <formula>L47&lt;0</formula>
    </cfRule>
  </conditionalFormatting>
  <conditionalFormatting sqref="L51">
    <cfRule type="expression" dxfId="991" priority="1">
      <formula>L51&gt;0</formula>
    </cfRule>
    <cfRule type="expression" dxfId="990"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58.489899999999999</v>
      </c>
      <c r="R4" s="425">
        <v>-2.24E-2</v>
      </c>
      <c r="W4" s="134"/>
    </row>
    <row r="5" spans="1:23" x14ac:dyDescent="0.25">
      <c r="B5" s="72"/>
      <c r="C5" s="4"/>
      <c r="D5" s="3"/>
      <c r="E5" s="3"/>
      <c r="F5" s="3"/>
      <c r="G5" s="72"/>
      <c r="H5" s="161"/>
      <c r="I5" s="3"/>
      <c r="J5" s="3"/>
      <c r="K5" s="3"/>
      <c r="L5" s="4"/>
      <c r="M5" s="4"/>
      <c r="O5" s="11" t="s">
        <v>67</v>
      </c>
      <c r="Q5" s="3">
        <f>Q4*Q2</f>
        <v>5848.99</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988.70999999999367</v>
      </c>
      <c r="R7" s="29">
        <v>43535</v>
      </c>
      <c r="T7" s="1">
        <v>43096</v>
      </c>
      <c r="U7" t="s">
        <v>787</v>
      </c>
      <c r="W7" s="134"/>
    </row>
    <row r="8" spans="1:23" x14ac:dyDescent="0.25">
      <c r="B8" s="72"/>
      <c r="C8" s="4"/>
      <c r="D8" s="3"/>
      <c r="E8" s="3"/>
      <c r="F8" s="3"/>
      <c r="G8" s="4"/>
      <c r="H8" s="161"/>
      <c r="I8" s="3"/>
      <c r="J8" s="3"/>
      <c r="K8" s="3"/>
      <c r="L8" s="4"/>
      <c r="M8" s="4"/>
      <c r="O8" s="11" t="s">
        <v>179</v>
      </c>
      <c r="P8" s="33"/>
      <c r="Q8" s="2">
        <f>K18+M18-F18+Q2*Q4</f>
        <v>-52.010000000000218</v>
      </c>
      <c r="T8" s="1"/>
      <c r="U8" t="s">
        <v>791</v>
      </c>
      <c r="W8" s="134"/>
    </row>
    <row r="9" spans="1:23" x14ac:dyDescent="0.25">
      <c r="G9" s="4"/>
      <c r="H9" s="161"/>
      <c r="I9" s="3"/>
      <c r="J9" s="3"/>
      <c r="K9" s="3"/>
      <c r="L9" s="4"/>
      <c r="M9" s="4"/>
      <c r="O9" s="11" t="s">
        <v>204</v>
      </c>
      <c r="Q9" s="134">
        <f>IF(Q2=0, 0, Q8/Q6)</f>
        <v>-8.8137603795967155E-3</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17.102309941520467</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64.338890000000006</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63.753991000000006</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63.169092000000006</v>
      </c>
      <c r="Q19" s="2"/>
      <c r="T19" s="1">
        <v>43228</v>
      </c>
      <c r="U19" t="s">
        <v>82</v>
      </c>
      <c r="W19" s="134"/>
    </row>
    <row r="20" spans="1:23" x14ac:dyDescent="0.25">
      <c r="O20" s="81">
        <v>1.07</v>
      </c>
      <c r="P20" s="81">
        <f t="shared" si="0"/>
        <v>62.584192999999999</v>
      </c>
      <c r="Q20" s="2"/>
      <c r="W20" s="134"/>
    </row>
    <row r="21" spans="1:23" x14ac:dyDescent="0.25">
      <c r="O21" s="81">
        <v>1.06</v>
      </c>
      <c r="P21" s="81">
        <f t="shared" si="0"/>
        <v>61.999293999999999</v>
      </c>
      <c r="Q21" s="2"/>
      <c r="T21" s="1">
        <v>43283</v>
      </c>
      <c r="U21" t="s">
        <v>1118</v>
      </c>
      <c r="W21" s="134"/>
    </row>
    <row r="22" spans="1:23" x14ac:dyDescent="0.25">
      <c r="O22" s="81">
        <v>1.05</v>
      </c>
      <c r="P22" s="81">
        <f t="shared" si="0"/>
        <v>61.414394999999999</v>
      </c>
      <c r="Q22" s="2"/>
      <c r="W22" s="134"/>
    </row>
    <row r="23" spans="1:23" x14ac:dyDescent="0.25">
      <c r="O23" s="81">
        <v>1.04</v>
      </c>
      <c r="P23" s="81">
        <f t="shared" si="0"/>
        <v>60.829495999999999</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60.244596999999999</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59.659697999999999</v>
      </c>
      <c r="Q25" s="2"/>
      <c r="W25" s="134"/>
    </row>
    <row r="26" spans="1:23" x14ac:dyDescent="0.25">
      <c r="B26" s="164"/>
      <c r="C26" s="10"/>
      <c r="D26" s="39"/>
      <c r="E26" s="39"/>
      <c r="F26" s="39"/>
      <c r="G26" s="39"/>
      <c r="H26" s="179"/>
      <c r="I26" s="39"/>
      <c r="J26" s="39"/>
      <c r="K26" s="39"/>
      <c r="L26" s="39"/>
      <c r="M26" s="39"/>
      <c r="O26" s="81">
        <v>1.01</v>
      </c>
      <c r="P26" s="81">
        <f t="shared" si="0"/>
        <v>59.074798999999999</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58.489899999999999</v>
      </c>
      <c r="Q27" s="2"/>
      <c r="W27" s="134"/>
    </row>
    <row r="28" spans="1:23" x14ac:dyDescent="0.25">
      <c r="B28" s="164"/>
      <c r="C28" s="10"/>
      <c r="D28" s="39"/>
      <c r="E28" s="39"/>
      <c r="F28" s="39"/>
      <c r="G28" s="39"/>
      <c r="H28" s="179"/>
      <c r="I28" s="39"/>
      <c r="J28" s="39"/>
      <c r="K28" s="39"/>
      <c r="L28" s="39"/>
      <c r="M28" s="39"/>
      <c r="O28" s="81">
        <v>0.99</v>
      </c>
      <c r="P28" s="81">
        <f t="shared" si="0"/>
        <v>57.905000999999999</v>
      </c>
      <c r="Q28" s="2"/>
      <c r="W28" s="134"/>
    </row>
    <row r="29" spans="1:23" x14ac:dyDescent="0.25">
      <c r="A29" s="4"/>
      <c r="B29" s="164"/>
      <c r="C29" s="10"/>
      <c r="D29" s="39"/>
      <c r="E29" s="39"/>
      <c r="F29" s="39"/>
      <c r="G29" s="39"/>
      <c r="H29" s="179"/>
      <c r="I29" s="39"/>
      <c r="J29" s="39"/>
      <c r="K29" s="39"/>
      <c r="L29" s="39"/>
      <c r="M29" s="39"/>
      <c r="O29" s="81">
        <v>0.98</v>
      </c>
      <c r="P29" s="81">
        <f t="shared" si="0"/>
        <v>57.320101999999999</v>
      </c>
      <c r="Q29" s="2"/>
      <c r="W29" s="134"/>
    </row>
    <row r="30" spans="1:23" x14ac:dyDescent="0.25">
      <c r="A30" s="4"/>
      <c r="B30" s="164"/>
      <c r="C30" s="10"/>
      <c r="D30" s="39"/>
      <c r="E30" s="39"/>
      <c r="F30" s="39"/>
      <c r="G30" s="39"/>
      <c r="H30" s="179"/>
      <c r="I30" s="39"/>
      <c r="J30" s="39"/>
      <c r="K30" s="39"/>
      <c r="L30" s="39"/>
      <c r="M30" s="39"/>
      <c r="O30" s="81">
        <v>0.97</v>
      </c>
      <c r="P30" s="81">
        <f t="shared" si="0"/>
        <v>56.735202999999998</v>
      </c>
      <c r="W30" s="134"/>
    </row>
    <row r="31" spans="1:23" x14ac:dyDescent="0.25">
      <c r="A31" s="4"/>
      <c r="B31" s="164"/>
      <c r="C31" s="10"/>
      <c r="D31" s="39"/>
      <c r="E31" s="39"/>
      <c r="F31" s="39"/>
      <c r="G31" s="39"/>
      <c r="H31" s="179"/>
      <c r="I31" s="39"/>
      <c r="J31" s="39"/>
      <c r="K31" s="39"/>
      <c r="L31" s="39"/>
      <c r="M31" s="39"/>
      <c r="O31" s="81">
        <v>0.96</v>
      </c>
      <c r="P31" s="81">
        <f t="shared" si="0"/>
        <v>56.150303999999998</v>
      </c>
      <c r="W31" s="134"/>
    </row>
    <row r="32" spans="1:23" x14ac:dyDescent="0.25">
      <c r="A32" s="4"/>
      <c r="B32" s="164"/>
      <c r="C32" s="10"/>
      <c r="D32" s="39"/>
      <c r="E32" s="39"/>
      <c r="F32" s="39"/>
      <c r="G32" s="39"/>
      <c r="H32" s="179"/>
      <c r="I32" s="39"/>
      <c r="J32" s="39"/>
      <c r="K32" s="39"/>
      <c r="L32" s="39"/>
      <c r="M32" s="39"/>
      <c r="O32" s="81">
        <v>0.95</v>
      </c>
      <c r="P32" s="81">
        <f t="shared" si="0"/>
        <v>55.565404999999998</v>
      </c>
      <c r="W32" s="134"/>
    </row>
    <row r="33" spans="1:23" x14ac:dyDescent="0.25">
      <c r="A33" s="4"/>
      <c r="B33" s="164"/>
      <c r="C33" s="10"/>
      <c r="D33" s="39"/>
      <c r="E33" s="39"/>
      <c r="F33" s="39"/>
      <c r="G33" s="39"/>
      <c r="H33" s="179"/>
      <c r="I33" s="39"/>
      <c r="J33" s="39"/>
      <c r="K33" s="39"/>
      <c r="L33" s="39"/>
      <c r="M33" s="39"/>
      <c r="O33" s="81">
        <v>0.94</v>
      </c>
      <c r="P33" s="81">
        <f t="shared" si="0"/>
        <v>54.980505999999998</v>
      </c>
      <c r="W33" s="134"/>
    </row>
    <row r="34" spans="1:23" x14ac:dyDescent="0.25">
      <c r="A34" s="4"/>
      <c r="B34" s="164"/>
      <c r="C34" s="10"/>
      <c r="D34" s="39"/>
      <c r="E34" s="39"/>
      <c r="F34" s="39"/>
      <c r="G34" s="39"/>
      <c r="H34" s="179"/>
      <c r="I34" s="39"/>
      <c r="J34" s="39"/>
      <c r="K34" s="39"/>
      <c r="L34" s="39"/>
      <c r="M34" s="39"/>
      <c r="O34" s="81">
        <v>0.93</v>
      </c>
      <c r="P34" s="81">
        <f t="shared" si="0"/>
        <v>54.395606999999998</v>
      </c>
      <c r="W34" s="134"/>
    </row>
    <row r="35" spans="1:23" x14ac:dyDescent="0.25">
      <c r="A35" s="4"/>
      <c r="B35" s="164"/>
      <c r="C35" s="10"/>
      <c r="D35" s="39"/>
      <c r="E35" s="39"/>
      <c r="F35" s="39"/>
      <c r="G35" s="39"/>
      <c r="H35" s="179"/>
      <c r="I35" s="39"/>
      <c r="J35" s="39"/>
      <c r="K35" s="39"/>
      <c r="L35" s="39"/>
      <c r="M35" s="39"/>
      <c r="O35" s="81">
        <v>0.92</v>
      </c>
      <c r="P35" s="81">
        <f t="shared" si="0"/>
        <v>53.810707999999998</v>
      </c>
      <c r="W35" s="134"/>
    </row>
    <row r="36" spans="1:23" x14ac:dyDescent="0.25">
      <c r="A36" s="4"/>
      <c r="B36" s="164"/>
      <c r="C36" s="10"/>
      <c r="D36" s="39"/>
      <c r="E36" s="39"/>
      <c r="F36" s="39"/>
      <c r="G36" s="39"/>
      <c r="H36" s="179"/>
      <c r="I36" s="39"/>
      <c r="J36" s="39"/>
      <c r="K36" s="39"/>
      <c r="L36" s="39"/>
      <c r="M36" s="39"/>
      <c r="O36" s="81">
        <v>0.91</v>
      </c>
      <c r="P36" s="81">
        <f t="shared" si="0"/>
        <v>53.225808999999998</v>
      </c>
      <c r="W36" s="134"/>
    </row>
    <row r="37" spans="1:23" x14ac:dyDescent="0.25">
      <c r="A37" s="4"/>
      <c r="B37" s="164"/>
      <c r="C37" s="10"/>
      <c r="D37" s="39"/>
      <c r="E37" s="39"/>
      <c r="F37" s="39"/>
      <c r="G37" s="39"/>
      <c r="H37" s="179"/>
      <c r="I37" s="39"/>
      <c r="J37" s="39"/>
      <c r="K37" s="39"/>
      <c r="L37" s="39"/>
      <c r="M37" s="39"/>
      <c r="O37" s="81">
        <v>0.9</v>
      </c>
      <c r="P37" s="81">
        <f t="shared" si="0"/>
        <v>52.640909999999998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89" priority="59">
      <formula>Q7&gt;0</formula>
    </cfRule>
    <cfRule type="expression" dxfId="988" priority="60">
      <formula>Q7&lt;0</formula>
    </cfRule>
  </conditionalFormatting>
  <conditionalFormatting sqref="Q8">
    <cfRule type="expression" dxfId="987" priority="57">
      <formula>Q8&gt;0</formula>
    </cfRule>
    <cfRule type="expression" dxfId="986" priority="58">
      <formula>Q8&lt;0</formula>
    </cfRule>
  </conditionalFormatting>
  <conditionalFormatting sqref="F26:F38">
    <cfRule type="expression" dxfId="985" priority="55">
      <formula>F26&gt;0</formula>
    </cfRule>
    <cfRule type="expression" dxfId="984" priority="56">
      <formula>F26&lt;0</formula>
    </cfRule>
  </conditionalFormatting>
  <conditionalFormatting sqref="H26:H38">
    <cfRule type="expression" dxfId="983" priority="53">
      <formula>H26&gt;0</formula>
    </cfRule>
    <cfRule type="expression" dxfId="982" priority="54">
      <formula>H26&lt;0</formula>
    </cfRule>
  </conditionalFormatting>
  <conditionalFormatting sqref="H25">
    <cfRule type="expression" dxfId="981" priority="33">
      <formula>H25&gt;0</formula>
    </cfRule>
    <cfRule type="expression" dxfId="980" priority="34">
      <formula>H25&lt;0</formula>
    </cfRule>
  </conditionalFormatting>
  <conditionalFormatting sqref="Q10">
    <cfRule type="expression" dxfId="979" priority="47">
      <formula>Q10&gt;0</formula>
    </cfRule>
    <cfRule type="expression" dxfId="978" priority="48">
      <formula>Q10&lt;0</formula>
    </cfRule>
  </conditionalFormatting>
  <conditionalFormatting sqref="F25">
    <cfRule type="expression" dxfId="977" priority="35">
      <formula>F25&gt;0</formula>
    </cfRule>
    <cfRule type="expression" dxfId="976" priority="36">
      <formula>F25&lt;0</formula>
    </cfRule>
  </conditionalFormatting>
  <conditionalFormatting sqref="J65:K72">
    <cfRule type="expression" dxfId="975" priority="29">
      <formula>J65&gt;0</formula>
    </cfRule>
    <cfRule type="expression" dxfId="974" priority="30">
      <formula>J65&lt;0</formula>
    </cfRule>
  </conditionalFormatting>
  <conditionalFormatting sqref="F65:F83 F89">
    <cfRule type="expression" dxfId="973" priority="27">
      <formula>F65&gt;0</formula>
    </cfRule>
    <cfRule type="expression" dxfId="972" priority="28">
      <formula>F65&lt;0</formula>
    </cfRule>
  </conditionalFormatting>
  <conditionalFormatting sqref="H65:H83 H89">
    <cfRule type="expression" dxfId="971" priority="25">
      <formula>H65&gt;0</formula>
    </cfRule>
    <cfRule type="expression" dxfId="970" priority="26">
      <formula>H65&lt;0</formula>
    </cfRule>
  </conditionalFormatting>
  <conditionalFormatting sqref="J76:J78">
    <cfRule type="expression" dxfId="969" priority="23">
      <formula>J76&gt;0</formula>
    </cfRule>
    <cfRule type="expression" dxfId="968" priority="24">
      <formula>J76&lt;0</formula>
    </cfRule>
  </conditionalFormatting>
  <conditionalFormatting sqref="K76:K78">
    <cfRule type="expression" dxfId="967" priority="21">
      <formula>K76&gt;0</formula>
    </cfRule>
    <cfRule type="expression" dxfId="966" priority="22">
      <formula>K76&lt;0</formula>
    </cfRule>
  </conditionalFormatting>
  <conditionalFormatting sqref="L65:L78">
    <cfRule type="expression" dxfId="965" priority="19">
      <formula>L65&gt;0</formula>
    </cfRule>
    <cfRule type="expression" dxfId="964" priority="20">
      <formula>L65&lt;0</formula>
    </cfRule>
  </conditionalFormatting>
  <conditionalFormatting sqref="F84:F88">
    <cfRule type="expression" dxfId="963" priority="17">
      <formula>F84&gt;0</formula>
    </cfRule>
    <cfRule type="expression" dxfId="962" priority="18">
      <formula>F84&lt;0</formula>
    </cfRule>
  </conditionalFormatting>
  <conditionalFormatting sqref="H84:H88">
    <cfRule type="expression" dxfId="961" priority="15">
      <formula>H84&gt;0</formula>
    </cfRule>
    <cfRule type="expression" dxfId="960" priority="16">
      <formula>H84&lt;0</formula>
    </cfRule>
  </conditionalFormatting>
  <conditionalFormatting sqref="M65:M78">
    <cfRule type="expression" dxfId="959" priority="13">
      <formula>M65&gt;0</formula>
    </cfRule>
    <cfRule type="expression" dxfId="958" priority="14">
      <formula>M65&lt;0</formula>
    </cfRule>
  </conditionalFormatting>
  <conditionalFormatting sqref="M26:M31">
    <cfRule type="expression" dxfId="957" priority="11">
      <formula>M26&gt;0</formula>
    </cfRule>
    <cfRule type="expression" dxfId="956" priority="12">
      <formula>M26&lt;0</formula>
    </cfRule>
  </conditionalFormatting>
  <conditionalFormatting sqref="F93:F105">
    <cfRule type="expression" dxfId="955" priority="9">
      <formula>F93&gt;0</formula>
    </cfRule>
    <cfRule type="expression" dxfId="954" priority="10">
      <formula>F93&lt;0</formula>
    </cfRule>
  </conditionalFormatting>
  <conditionalFormatting sqref="H93:H105">
    <cfRule type="expression" dxfId="953" priority="7">
      <formula>H93&gt;0</formula>
    </cfRule>
    <cfRule type="expression" dxfId="952" priority="8">
      <formula>H93&lt;0</formula>
    </cfRule>
  </conditionalFormatting>
  <conditionalFormatting sqref="H92">
    <cfRule type="expression" dxfId="951" priority="3">
      <formula>H92&gt;0</formula>
    </cfRule>
    <cfRule type="expression" dxfId="950" priority="4">
      <formula>H92&lt;0</formula>
    </cfRule>
  </conditionalFormatting>
  <conditionalFormatting sqref="F92">
    <cfRule type="expression" dxfId="949" priority="5">
      <formula>F92&gt;0</formula>
    </cfRule>
    <cfRule type="expression" dxfId="948" priority="6">
      <formula>F92&lt;0</formula>
    </cfRule>
  </conditionalFormatting>
  <conditionalFormatting sqref="M93:M98">
    <cfRule type="expression" dxfId="947" priority="1">
      <formula>M93&gt;0</formula>
    </cfRule>
    <cfRule type="expression" dxfId="946"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425</v>
      </c>
      <c r="AJ2">
        <f>$Q$2*$Q$4</f>
        <v>6633</v>
      </c>
      <c r="AK2">
        <f ca="1">AJ2*EXP(-$X$2 * AI2/365.25)</f>
        <v>23306.462947663407</v>
      </c>
      <c r="AM2" s="2">
        <f>Q10</f>
        <v>0</v>
      </c>
      <c r="AO2">
        <f ca="1" xml:space="preserve"> (SUM(AB:AB) - SUM(AE:AE) - SUM(AH:AH) - SUM(AK:AK))/SUM(AB:AB)</f>
        <v>-1.2108142389695651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425</v>
      </c>
      <c r="AJ3">
        <f t="shared" ref="AJ3:AJ17" si="11">$Q$2*$Q$4</f>
        <v>6633</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22.11</v>
      </c>
      <c r="R4" s="425">
        <v>-1.34E-2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425</v>
      </c>
      <c r="AJ4">
        <f t="shared" si="11"/>
        <v>6633</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6633</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425</v>
      </c>
      <c r="AJ5">
        <f t="shared" si="11"/>
        <v>6633</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425</v>
      </c>
      <c r="AJ6">
        <f t="shared" si="11"/>
        <v>6633</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-2190.8899999999921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425</v>
      </c>
      <c r="AJ7">
        <f t="shared" si="11"/>
        <v>6633</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-2190.8899999999921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425</v>
      </c>
      <c r="AJ8">
        <f t="shared" si="11"/>
        <v>6633</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-0.24829071985258136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425</v>
      </c>
      <c r="AJ9">
        <f t="shared" si="11"/>
        <v>6633</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425</v>
      </c>
      <c r="AJ10">
        <f t="shared" si="11"/>
        <v>6633</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4.7037539574853009E-2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425</v>
      </c>
      <c r="AJ11">
        <f t="shared" si="11"/>
        <v>6633</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425</v>
      </c>
      <c r="AJ12">
        <f t="shared" si="11"/>
        <v>6633</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13.005882352941176</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425</v>
      </c>
      <c r="AJ13">
        <f t="shared" si="11"/>
        <v>6633</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425</v>
      </c>
      <c r="AJ14">
        <f t="shared" si="11"/>
        <v>6633</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425</v>
      </c>
      <c r="AJ15">
        <f t="shared" si="11"/>
        <v>6633</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425</v>
      </c>
      <c r="AJ16">
        <f t="shared" si="11"/>
        <v>6633</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425</v>
      </c>
      <c r="AJ17">
        <f t="shared" si="11"/>
        <v>6633</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24.321000000000002</v>
      </c>
      <c r="W19" s="134"/>
    </row>
    <row r="20" spans="1:39" x14ac:dyDescent="0.25">
      <c r="B20" s="72">
        <v>43440</v>
      </c>
      <c r="C20" s="4">
        <v>100</v>
      </c>
      <c r="D20" s="3">
        <v>23.38</v>
      </c>
      <c r="E20" s="3">
        <v>0</v>
      </c>
      <c r="F20" s="3">
        <f t="shared" si="12"/>
        <v>2338</v>
      </c>
      <c r="G20" s="4"/>
      <c r="H20" s="70"/>
      <c r="O20" s="81">
        <v>1.0900000000000001</v>
      </c>
      <c r="P20" s="81">
        <f t="shared" ref="P20:P39" si="13">O20*$Q$4</f>
        <v>24.099900000000002</v>
      </c>
      <c r="T20" s="1">
        <v>43244</v>
      </c>
      <c r="U20" t="s">
        <v>1072</v>
      </c>
      <c r="W20" s="134"/>
    </row>
    <row r="21" spans="1:39" x14ac:dyDescent="0.25">
      <c r="B21" s="72"/>
      <c r="C21" s="4"/>
      <c r="D21" s="3"/>
      <c r="E21" s="3"/>
      <c r="F21" s="3"/>
      <c r="O21" s="81">
        <v>1.08</v>
      </c>
      <c r="P21" s="81">
        <f t="shared" si="13"/>
        <v>23.878800000000002</v>
      </c>
      <c r="W21" s="134"/>
    </row>
    <row r="22" spans="1:39" x14ac:dyDescent="0.25">
      <c r="C22" s="4"/>
      <c r="D22" s="3"/>
      <c r="E22" s="3"/>
      <c r="F22" s="3"/>
      <c r="H22" s="70"/>
      <c r="O22" s="81">
        <v>1.07</v>
      </c>
      <c r="P22" s="81">
        <f t="shared" si="13"/>
        <v>23.657700000000002</v>
      </c>
      <c r="T22" s="693">
        <v>43288</v>
      </c>
      <c r="U22" t="s">
        <v>1153</v>
      </c>
      <c r="W22" s="134"/>
    </row>
    <row r="23" spans="1:39" x14ac:dyDescent="0.25">
      <c r="O23" s="81">
        <v>1.06</v>
      </c>
      <c r="P23" s="81">
        <f t="shared" si="13"/>
        <v>23.436600000000002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23.215499999999999</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22.994399999999999</v>
      </c>
      <c r="T25" s="693">
        <v>43318</v>
      </c>
      <c r="U25" t="s">
        <v>1158</v>
      </c>
      <c r="W25" s="134"/>
    </row>
    <row r="26" spans="1:39" x14ac:dyDescent="0.25">
      <c r="O26" s="81">
        <v>1.03</v>
      </c>
      <c r="P26" s="81">
        <f t="shared" si="13"/>
        <v>22.773299999999999</v>
      </c>
      <c r="T26" s="708"/>
      <c r="W26" s="134"/>
    </row>
    <row r="27" spans="1:39" x14ac:dyDescent="0.25">
      <c r="O27" s="81">
        <v>1.02</v>
      </c>
      <c r="P27" s="81">
        <f t="shared" si="13"/>
        <v>22.552199999999999</v>
      </c>
      <c r="T27" s="1">
        <v>43342</v>
      </c>
      <c r="U27" t="s">
        <v>1257</v>
      </c>
      <c r="W27" s="134"/>
    </row>
    <row r="28" spans="1:39" x14ac:dyDescent="0.25">
      <c r="O28" s="81">
        <v>1.01</v>
      </c>
      <c r="P28" s="81">
        <f t="shared" si="13"/>
        <v>22.331099999999999</v>
      </c>
      <c r="U28" s="405" t="s">
        <v>1258</v>
      </c>
      <c r="W28" s="134"/>
    </row>
    <row r="29" spans="1:39" x14ac:dyDescent="0.25">
      <c r="O29" s="81">
        <v>1</v>
      </c>
      <c r="P29" s="81">
        <f t="shared" si="13"/>
        <v>22.11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21.8889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21.6678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21.4467</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21.2256</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21.0045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20.783399999999997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20.5623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20.341200000000001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20.120100000000001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19.899000000000001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 t="shared" ref="F80" si="24">C80*(E80-D80)</f>
        <v>-1974.8999999999996</v>
      </c>
      <c r="G80" s="39">
        <f t="shared" ref="G80" si="25">D80*C80</f>
        <v>8901.9</v>
      </c>
      <c r="H80" s="179">
        <f t="shared" ref="H80" si="26">(E80-D80)/D80</f>
        <v>-0.22185151484514537</v>
      </c>
      <c r="I80" s="39"/>
      <c r="J80" s="39"/>
      <c r="K80" s="39"/>
      <c r="L80" s="39">
        <v>13.58</v>
      </c>
    </row>
    <row r="81" spans="1:13" x14ac:dyDescent="0.25">
      <c r="A81" s="4">
        <v>300</v>
      </c>
      <c r="B81" s="164">
        <v>43490</v>
      </c>
      <c r="C81" s="7">
        <v>300</v>
      </c>
      <c r="D81" s="43">
        <v>29.413</v>
      </c>
      <c r="E81" s="39">
        <v>22.29</v>
      </c>
      <c r="F81" s="39">
        <f t="shared" ref="F81" si="27">C81*(E81-D81)</f>
        <v>-2136.9000000000005</v>
      </c>
      <c r="G81" s="39">
        <f t="shared" ref="G81" si="28">D81*C81</f>
        <v>8823.9</v>
      </c>
      <c r="H81" s="179">
        <f t="shared" ref="H81" si="29">(E81-D81)/D81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5" priority="31">
      <formula>F31&gt;0</formula>
    </cfRule>
    <cfRule type="expression" dxfId="944" priority="32">
      <formula>F31&lt;0</formula>
    </cfRule>
  </conditionalFormatting>
  <conditionalFormatting sqref="Q7">
    <cfRule type="expression" dxfId="943" priority="29">
      <formula>Q7&gt;0</formula>
    </cfRule>
    <cfRule type="expression" dxfId="942" priority="30">
      <formula>Q7&lt;0</formula>
    </cfRule>
  </conditionalFormatting>
  <conditionalFormatting sqref="Q8">
    <cfRule type="expression" dxfId="941" priority="27">
      <formula>Q8&gt;0</formula>
    </cfRule>
    <cfRule type="expression" dxfId="940" priority="28">
      <formula>Q8&lt;0</formula>
    </cfRule>
  </conditionalFormatting>
  <conditionalFormatting sqref="F111:F132">
    <cfRule type="expression" dxfId="939" priority="21">
      <formula>F111&gt;0</formula>
    </cfRule>
    <cfRule type="expression" dxfId="938" priority="22">
      <formula>F111&lt;0</formula>
    </cfRule>
  </conditionalFormatting>
  <conditionalFormatting sqref="H111:H132">
    <cfRule type="expression" dxfId="937" priority="19">
      <formula>H111&gt;0</formula>
    </cfRule>
    <cfRule type="expression" dxfId="936" priority="20">
      <formula>H111&lt;0</formula>
    </cfRule>
  </conditionalFormatting>
  <conditionalFormatting sqref="Q10">
    <cfRule type="expression" dxfId="935" priority="17">
      <formula>Q10&gt;0</formula>
    </cfRule>
    <cfRule type="expression" dxfId="934" priority="18">
      <formula>Q10&lt;0</formula>
    </cfRule>
  </conditionalFormatting>
  <conditionalFormatting sqref="J31:J44">
    <cfRule type="expression" dxfId="933" priority="15">
      <formula>J31&gt;0</formula>
    </cfRule>
    <cfRule type="expression" dxfId="932" priority="16">
      <formula>J31&lt;0</formula>
    </cfRule>
  </conditionalFormatting>
  <conditionalFormatting sqref="K31:K44">
    <cfRule type="expression" dxfId="931" priority="13">
      <formula>K31&gt;0</formula>
    </cfRule>
    <cfRule type="expression" dxfId="930" priority="14">
      <formula>K31&lt;0</formula>
    </cfRule>
  </conditionalFormatting>
  <conditionalFormatting sqref="L31:L44">
    <cfRule type="expression" dxfId="929" priority="11">
      <formula>L31&gt;0</formula>
    </cfRule>
    <cfRule type="expression" dxfId="928" priority="12">
      <formula>L31&lt;0</formula>
    </cfRule>
  </conditionalFormatting>
  <conditionalFormatting sqref="H66:H72 F66:F72">
    <cfRule type="expression" dxfId="927" priority="9">
      <formula>F66&gt;0</formula>
    </cfRule>
    <cfRule type="expression" dxfId="926" priority="10">
      <formula>F66&lt;0</formula>
    </cfRule>
  </conditionalFormatting>
  <conditionalFormatting sqref="H73:H76 F73:F76">
    <cfRule type="expression" dxfId="925" priority="7">
      <formula>F73&gt;0</formula>
    </cfRule>
    <cfRule type="expression" dxfId="924" priority="8">
      <formula>F73&lt;0</formula>
    </cfRule>
  </conditionalFormatting>
  <conditionalFormatting sqref="F83:F84 H83:H84">
    <cfRule type="expression" dxfId="923" priority="5">
      <formula>F83&gt;0</formula>
    </cfRule>
    <cfRule type="expression" dxfId="922" priority="6">
      <formula>F83&lt;0</formula>
    </cfRule>
  </conditionalFormatting>
  <conditionalFormatting sqref="F82 H82">
    <cfRule type="expression" dxfId="921" priority="3">
      <formula>F82&gt;0</formula>
    </cfRule>
    <cfRule type="expression" dxfId="920" priority="4">
      <formula>F82&lt;0</formula>
    </cfRule>
  </conditionalFormatting>
  <conditionalFormatting sqref="F79:F81 H79:H81">
    <cfRule type="expression" dxfId="919" priority="1">
      <formula>F79&gt;0</formula>
    </cfRule>
    <cfRule type="expression" dxfId="91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7" priority="137">
      <formula>F30&gt;0</formula>
    </cfRule>
    <cfRule type="expression" dxfId="916" priority="138">
      <formula>F30&lt;0</formula>
    </cfRule>
  </conditionalFormatting>
  <conditionalFormatting sqref="H47:H58">
    <cfRule type="expression" dxfId="915" priority="129">
      <formula>H47&gt;0</formula>
    </cfRule>
    <cfRule type="expression" dxfId="914" priority="130">
      <formula>H47&lt;0</formula>
    </cfRule>
  </conditionalFormatting>
  <conditionalFormatting sqref="H59">
    <cfRule type="expression" dxfId="913" priority="119">
      <formula>H59&gt;0</formula>
    </cfRule>
    <cfRule type="expression" dxfId="912" priority="120">
      <formula>H59&lt;0</formula>
    </cfRule>
  </conditionalFormatting>
  <conditionalFormatting sqref="H60">
    <cfRule type="expression" dxfId="911" priority="115">
      <formula>H60&gt;0</formula>
    </cfRule>
    <cfRule type="expression" dxfId="910" priority="116">
      <formula>H60&lt;0</formula>
    </cfRule>
  </conditionalFormatting>
  <conditionalFormatting sqref="H61:H66">
    <cfRule type="expression" dxfId="909" priority="111">
      <formula>H61&gt;0</formula>
    </cfRule>
    <cfRule type="expression" dxfId="908" priority="112">
      <formula>H61&lt;0</formula>
    </cfRule>
  </conditionalFormatting>
  <conditionalFormatting sqref="Q8">
    <cfRule type="expression" dxfId="907" priority="95">
      <formula>Q8&gt;0</formula>
    </cfRule>
    <cfRule type="expression" dxfId="906" priority="96">
      <formula>Q8&lt;0</formula>
    </cfRule>
  </conditionalFormatting>
  <conditionalFormatting sqref="Q7">
    <cfRule type="expression" dxfId="905" priority="97">
      <formula>Q7&gt;0</formula>
    </cfRule>
    <cfRule type="expression" dxfId="904" priority="98">
      <formula>Q7&lt;0</formula>
    </cfRule>
  </conditionalFormatting>
  <conditionalFormatting sqref="F178 H178">
    <cfRule type="expression" dxfId="903" priority="93">
      <formula>F178&gt;0</formula>
    </cfRule>
    <cfRule type="expression" dxfId="902" priority="94">
      <formula>F178&lt;0</formula>
    </cfRule>
  </conditionalFormatting>
  <conditionalFormatting sqref="Q10">
    <cfRule type="expression" dxfId="901" priority="87">
      <formula>Q10&gt;0</formula>
    </cfRule>
    <cfRule type="expression" dxfId="900" priority="88">
      <formula>Q10&lt;0</formula>
    </cfRule>
  </conditionalFormatting>
  <conditionalFormatting sqref="Q9">
    <cfRule type="expression" dxfId="899" priority="81">
      <formula>Q9&gt;0</formula>
    </cfRule>
    <cfRule type="expression" dxfId="898" priority="82">
      <formula>Q9&lt;0</formula>
    </cfRule>
  </conditionalFormatting>
  <conditionalFormatting sqref="F201:F248">
    <cfRule type="expression" dxfId="897" priority="41">
      <formula>F201&gt;0</formula>
    </cfRule>
    <cfRule type="expression" dxfId="896" priority="42">
      <formula>F201&lt;0</formula>
    </cfRule>
  </conditionalFormatting>
  <conditionalFormatting sqref="H201:H248">
    <cfRule type="expression" dxfId="895" priority="39">
      <formula>H201&gt;0</formula>
    </cfRule>
    <cfRule type="expression" dxfId="894" priority="40">
      <formula>H201&lt;0</formula>
    </cfRule>
  </conditionalFormatting>
  <conditionalFormatting sqref="J208">
    <cfRule type="expression" dxfId="893" priority="37">
      <formula>J208&gt;0</formula>
    </cfRule>
    <cfRule type="expression" dxfId="892" priority="38">
      <formula>J208&lt;0</formula>
    </cfRule>
  </conditionalFormatting>
  <conditionalFormatting sqref="J214:J215">
    <cfRule type="expression" dxfId="891" priority="35">
      <formula>J214&gt;0</formula>
    </cfRule>
    <cfRule type="expression" dxfId="890" priority="36">
      <formula>J214&lt;0</formula>
    </cfRule>
  </conditionalFormatting>
  <conditionalFormatting sqref="J216">
    <cfRule type="expression" dxfId="889" priority="33">
      <formula>J216&gt;0</formula>
    </cfRule>
    <cfRule type="expression" dxfId="888" priority="34">
      <formula>J216&lt;0</formula>
    </cfRule>
  </conditionalFormatting>
  <conditionalFormatting sqref="J217:J219 J221:J224">
    <cfRule type="expression" dxfId="887" priority="31">
      <formula>J217&gt;0</formula>
    </cfRule>
    <cfRule type="expression" dxfId="886" priority="32">
      <formula>J217&lt;0</formula>
    </cfRule>
  </conditionalFormatting>
  <conditionalFormatting sqref="K208">
    <cfRule type="expression" dxfId="885" priority="29">
      <formula>K208&gt;0</formula>
    </cfRule>
    <cfRule type="expression" dxfId="884" priority="30">
      <formula>K208&lt;0</formula>
    </cfRule>
  </conditionalFormatting>
  <conditionalFormatting sqref="K214:K215">
    <cfRule type="expression" dxfId="883" priority="27">
      <formula>K214&gt;0</formula>
    </cfRule>
    <cfRule type="expression" dxfId="882" priority="28">
      <formula>K214&lt;0</formula>
    </cfRule>
  </conditionalFormatting>
  <conditionalFormatting sqref="K216">
    <cfRule type="expression" dxfId="881" priority="25">
      <formula>K216&gt;0</formula>
    </cfRule>
    <cfRule type="expression" dxfId="880" priority="26">
      <formula>K216&lt;0</formula>
    </cfRule>
  </conditionalFormatting>
  <conditionalFormatting sqref="K217:K224">
    <cfRule type="expression" dxfId="879" priority="23">
      <formula>K217&gt;0</formula>
    </cfRule>
    <cfRule type="expression" dxfId="878" priority="24">
      <formula>K217&lt;0</formula>
    </cfRule>
  </conditionalFormatting>
  <conditionalFormatting sqref="L208">
    <cfRule type="expression" dxfId="877" priority="21">
      <formula>L208&gt;0</formula>
    </cfRule>
    <cfRule type="expression" dxfId="876" priority="22">
      <formula>L208&lt;0</formula>
    </cfRule>
  </conditionalFormatting>
  <conditionalFormatting sqref="L214:L215">
    <cfRule type="expression" dxfId="875" priority="19">
      <formula>L214&gt;0</formula>
    </cfRule>
    <cfRule type="expression" dxfId="874" priority="20">
      <formula>L214&lt;0</formula>
    </cfRule>
  </conditionalFormatting>
  <conditionalFormatting sqref="L216">
    <cfRule type="expression" dxfId="873" priority="17">
      <formula>L216&gt;0</formula>
    </cfRule>
    <cfRule type="expression" dxfId="872" priority="18">
      <formula>L216&lt;0</formula>
    </cfRule>
  </conditionalFormatting>
  <conditionalFormatting sqref="L217:L224">
    <cfRule type="expression" dxfId="871" priority="15">
      <formula>L217&gt;0</formula>
    </cfRule>
    <cfRule type="expression" dxfId="870" priority="16">
      <formula>L217&lt;0</formula>
    </cfRule>
  </conditionalFormatting>
  <conditionalFormatting sqref="K225">
    <cfRule type="expression" dxfId="869" priority="13">
      <formula>K225&gt;0</formula>
    </cfRule>
    <cfRule type="expression" dxfId="868" priority="14">
      <formula>K225&lt;0</formula>
    </cfRule>
  </conditionalFormatting>
  <conditionalFormatting sqref="L225:L232">
    <cfRule type="expression" dxfId="867" priority="11">
      <formula>L225&gt;0</formula>
    </cfRule>
    <cfRule type="expression" dxfId="866" priority="12">
      <formula>L225&lt;0</formula>
    </cfRule>
  </conditionalFormatting>
  <conditionalFormatting sqref="K226">
    <cfRule type="expression" dxfId="865" priority="9">
      <formula>K226&gt;0</formula>
    </cfRule>
    <cfRule type="expression" dxfId="864" priority="10">
      <formula>K226&lt;0</formula>
    </cfRule>
  </conditionalFormatting>
  <conditionalFormatting sqref="K227">
    <cfRule type="expression" dxfId="863" priority="7">
      <formula>K227&gt;0</formula>
    </cfRule>
    <cfRule type="expression" dxfId="862" priority="8">
      <formula>K227&lt;0</formula>
    </cfRule>
  </conditionalFormatting>
  <conditionalFormatting sqref="K228:K248">
    <cfRule type="expression" dxfId="861" priority="5">
      <formula>K228&gt;0</formula>
    </cfRule>
    <cfRule type="expression" dxfId="860" priority="6">
      <formula>K228&lt;0</formula>
    </cfRule>
  </conditionalFormatting>
  <conditionalFormatting sqref="L233:L237">
    <cfRule type="expression" dxfId="859" priority="3">
      <formula>L233&gt;0</formula>
    </cfRule>
    <cfRule type="expression" dxfId="858" priority="4">
      <formula>L233&lt;0</formula>
    </cfRule>
  </conditionalFormatting>
  <conditionalFormatting sqref="L238:L243">
    <cfRule type="expression" dxfId="857" priority="1">
      <formula>L238&gt;0</formula>
    </cfRule>
    <cfRule type="expression" dxfId="85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5" priority="11">
      <formula>F27&gt;0</formula>
    </cfRule>
    <cfRule type="expression" dxfId="854" priority="12">
      <formula>F27&lt;0</formula>
    </cfRule>
  </conditionalFormatting>
  <conditionalFormatting sqref="H27:H29">
    <cfRule type="expression" dxfId="853" priority="9">
      <formula>H27&gt;0</formula>
    </cfRule>
    <cfRule type="expression" dxfId="852" priority="10">
      <formula>H27&lt;0</formula>
    </cfRule>
  </conditionalFormatting>
  <conditionalFormatting sqref="F23:F26">
    <cfRule type="expression" dxfId="851" priority="7">
      <formula>F23&gt;0</formula>
    </cfRule>
    <cfRule type="expression" dxfId="850" priority="8">
      <formula>F23&lt;0</formula>
    </cfRule>
  </conditionalFormatting>
  <conditionalFormatting sqref="H23:H26">
    <cfRule type="expression" dxfId="849" priority="5">
      <formula>H23&gt;0</formula>
    </cfRule>
    <cfRule type="expression" dxfId="848" priority="6">
      <formula>H23&lt;0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3" priority="7">
      <formula>F21&gt;0</formula>
    </cfRule>
    <cfRule type="expression" dxfId="842" priority="8">
      <formula>F21&lt;0</formula>
    </cfRule>
  </conditionalFormatting>
  <conditionalFormatting sqref="F22">
    <cfRule type="expression" dxfId="841" priority="5">
      <formula>F22&gt;0</formula>
    </cfRule>
    <cfRule type="expression" dxfId="840" priority="6">
      <formula>F22&lt;0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5" priority="17">
      <formula>F38&gt;0</formula>
    </cfRule>
    <cfRule type="expression" dxfId="834" priority="18">
      <formula>F38&lt;0</formula>
    </cfRule>
  </conditionalFormatting>
  <conditionalFormatting sqref="H38:H72">
    <cfRule type="expression" dxfId="833" priority="9">
      <formula>H38&gt;0</formula>
    </cfRule>
    <cfRule type="expression" dxfId="832" priority="10">
      <formula>H38&lt;0</formula>
    </cfRule>
  </conditionalFormatting>
  <conditionalFormatting sqref="F21:F37">
    <cfRule type="expression" dxfId="831" priority="7">
      <formula>F21&gt;0</formula>
    </cfRule>
    <cfRule type="expression" dxfId="830" priority="8">
      <formula>F21&lt;0</formula>
    </cfRule>
  </conditionalFormatting>
  <conditionalFormatting sqref="H21:H37">
    <cfRule type="expression" dxfId="829" priority="5">
      <formula>H21&gt;0</formula>
    </cfRule>
    <cfRule type="expression" dxfId="828" priority="6">
      <formula>H21&lt;0</formula>
    </cfRule>
  </conditionalFormatting>
  <conditionalFormatting sqref="Q8">
    <cfRule type="expression" dxfId="827" priority="1">
      <formula>Q8&gt;0</formula>
    </cfRule>
    <cfRule type="expression" dxfId="826" priority="2">
      <formula>Q8&lt;0</formula>
    </cfRule>
  </conditionalFormatting>
  <conditionalFormatting sqref="Q7">
    <cfRule type="expression" dxfId="825" priority="3">
      <formula>Q7&gt;0</formula>
    </cfRule>
    <cfRule type="expression" dxfId="82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3" priority="11">
      <formula>F24&gt;0</formula>
    </cfRule>
    <cfRule type="expression" dxfId="822" priority="12">
      <formula>F24&lt;0</formula>
    </cfRule>
  </conditionalFormatting>
  <conditionalFormatting sqref="H27:H30">
    <cfRule type="expression" dxfId="821" priority="9">
      <formula>H27&gt;0</formula>
    </cfRule>
    <cfRule type="expression" dxfId="820" priority="10">
      <formula>H27&lt;0</formula>
    </cfRule>
  </conditionalFormatting>
  <conditionalFormatting sqref="F25">
    <cfRule type="expression" dxfId="819" priority="7">
      <formula>F25&gt;0</formula>
    </cfRule>
    <cfRule type="expression" dxfId="818" priority="8">
      <formula>F25&lt;0</formula>
    </cfRule>
  </conditionalFormatting>
  <conditionalFormatting sqref="H24:H26">
    <cfRule type="expression" dxfId="817" priority="5">
      <formula>H24&gt;0</formula>
    </cfRule>
    <cfRule type="expression" dxfId="816" priority="6">
      <formula>H24&lt;0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1" priority="17">
      <formula>F28&gt;0</formula>
    </cfRule>
    <cfRule type="expression" dxfId="810" priority="18">
      <formula>F28&lt;0</formula>
    </cfRule>
  </conditionalFormatting>
  <conditionalFormatting sqref="F28 F33:F35">
    <cfRule type="expression" dxfId="809" priority="19">
      <formula>F28&gt;0</formula>
    </cfRule>
    <cfRule type="expression" dxfId="808" priority="20">
      <formula>F28&lt;0</formula>
    </cfRule>
  </conditionalFormatting>
  <conditionalFormatting sqref="H28 H33:H35">
    <cfRule type="expression" dxfId="807" priority="15">
      <formula>H28&gt;0</formula>
    </cfRule>
    <cfRule type="expression" dxfId="806" priority="16">
      <formula>H28&lt;0</formula>
    </cfRule>
  </conditionalFormatting>
  <conditionalFormatting sqref="F21:F27">
    <cfRule type="expression" dxfId="805" priority="13">
      <formula>F21&gt;0</formula>
    </cfRule>
    <cfRule type="expression" dxfId="804" priority="14">
      <formula>F21&lt;0</formula>
    </cfRule>
  </conditionalFormatting>
  <conditionalFormatting sqref="H21:H27">
    <cfRule type="expression" dxfId="803" priority="11">
      <formula>H21&gt;0</formula>
    </cfRule>
    <cfRule type="expression" dxfId="802" priority="12">
      <formula>H21&lt;0</formula>
    </cfRule>
  </conditionalFormatting>
  <conditionalFormatting sqref="Q8">
    <cfRule type="expression" dxfId="801" priority="7">
      <formula>Q8&gt;0</formula>
    </cfRule>
    <cfRule type="expression" dxfId="800" priority="8">
      <formula>Q8&lt;0</formula>
    </cfRule>
  </conditionalFormatting>
  <conditionalFormatting sqref="Q7">
    <cfRule type="expression" dxfId="799" priority="9">
      <formula>Q7&gt;0</formula>
    </cfRule>
    <cfRule type="expression" dxfId="798" priority="10">
      <formula>Q7&lt;0</formula>
    </cfRule>
  </conditionalFormatting>
  <conditionalFormatting sqref="F29:F32">
    <cfRule type="expression" dxfId="797" priority="5">
      <formula>F29&gt;0</formula>
    </cfRule>
    <cfRule type="expression" dxfId="796" priority="6">
      <formula>F29&lt;0</formula>
    </cfRule>
  </conditionalFormatting>
  <conditionalFormatting sqref="H29:H32">
    <cfRule type="expression" dxfId="795" priority="3">
      <formula>H29&gt;0</formula>
    </cfRule>
    <cfRule type="expression" dxfId="794" priority="4">
      <formula>H29&lt;0</formula>
    </cfRule>
  </conditionalFormatting>
  <conditionalFormatting sqref="M37">
    <cfRule type="expression" dxfId="793" priority="1">
      <formula>M37&gt;0</formula>
    </cfRule>
    <cfRule type="expression" dxfId="79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1" priority="51">
      <formula>F26&gt;0</formula>
    </cfRule>
    <cfRule type="expression" dxfId="79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89" priority="39">
      <formula>F22&gt;0</formula>
    </cfRule>
    <cfRule type="expression" dxfId="788" priority="40">
      <formula>F22&lt;0</formula>
    </cfRule>
  </conditionalFormatting>
  <conditionalFormatting sqref="H22:H25">
    <cfRule type="expression" dxfId="787" priority="37">
      <formula>H22&gt;0</formula>
    </cfRule>
    <cfRule type="expression" dxfId="786" priority="38">
      <formula>H22&lt;0</formula>
    </cfRule>
  </conditionalFormatting>
  <conditionalFormatting sqref="Q8">
    <cfRule type="expression" dxfId="785" priority="33">
      <formula>Q8&gt;0</formula>
    </cfRule>
    <cfRule type="expression" dxfId="784" priority="34">
      <formula>Q8&lt;0</formula>
    </cfRule>
  </conditionalFormatting>
  <conditionalFormatting sqref="Q7">
    <cfRule type="expression" dxfId="783" priority="35">
      <formula>Q7&gt;0</formula>
    </cfRule>
    <cfRule type="expression" dxfId="782" priority="36">
      <formula>Q7&lt;0</formula>
    </cfRule>
  </conditionalFormatting>
  <conditionalFormatting sqref="F74:F76">
    <cfRule type="expression" dxfId="781" priority="31">
      <formula>F74&gt;0</formula>
    </cfRule>
    <cfRule type="expression" dxfId="780" priority="32">
      <formula>F74&lt;0</formula>
    </cfRule>
  </conditionalFormatting>
  <conditionalFormatting sqref="F77:F84">
    <cfRule type="expression" dxfId="779" priority="27">
      <formula>F77&gt;0</formula>
    </cfRule>
    <cfRule type="expression" dxfId="778" priority="28">
      <formula>F77&lt;0</formula>
    </cfRule>
  </conditionalFormatting>
  <conditionalFormatting sqref="F77:F84">
    <cfRule type="expression" dxfId="777" priority="29">
      <formula>F77&gt;0</formula>
    </cfRule>
    <cfRule type="expression" dxfId="776" priority="30">
      <formula>F77&lt;0</formula>
    </cfRule>
  </conditionalFormatting>
  <conditionalFormatting sqref="H74:H84">
    <cfRule type="expression" dxfId="775" priority="25">
      <formula>H74&gt;0</formula>
    </cfRule>
    <cfRule type="expression" dxfId="774" priority="26">
      <formula>H74&lt;0</formula>
    </cfRule>
  </conditionalFormatting>
  <conditionalFormatting sqref="F70:F73">
    <cfRule type="expression" dxfId="773" priority="23">
      <formula>F70&gt;0</formula>
    </cfRule>
    <cfRule type="expression" dxfId="772" priority="24">
      <formula>F70&lt;0</formula>
    </cfRule>
  </conditionalFormatting>
  <conditionalFormatting sqref="H70:H73">
    <cfRule type="expression" dxfId="771" priority="21">
      <formula>H70&gt;0</formula>
    </cfRule>
    <cfRule type="expression" dxfId="770" priority="22">
      <formula>H70&lt;0</formula>
    </cfRule>
  </conditionalFormatting>
  <conditionalFormatting sqref="Q10">
    <cfRule type="expression" dxfId="769" priority="19">
      <formula>Q10&gt;0</formula>
    </cfRule>
    <cfRule type="expression" dxfId="768" priority="20">
      <formula>Q10&lt;0</formula>
    </cfRule>
  </conditionalFormatting>
  <conditionalFormatting sqref="H43 F43">
    <cfRule type="expression" dxfId="767" priority="15">
      <formula>F43&gt;0</formula>
    </cfRule>
    <cfRule type="expression" dxfId="766" priority="16">
      <formula>F43&lt;0</formula>
    </cfRule>
  </conditionalFormatting>
  <conditionalFormatting sqref="H37:H39 F37:F39">
    <cfRule type="expression" dxfId="765" priority="13">
      <formula>F37&gt;0</formula>
    </cfRule>
    <cfRule type="expression" dxfId="764" priority="14">
      <formula>F37&lt;0</formula>
    </cfRule>
  </conditionalFormatting>
  <conditionalFormatting sqref="H35:H36 F35:F36">
    <cfRule type="expression" dxfId="763" priority="11">
      <formula>F35&gt;0</formula>
    </cfRule>
    <cfRule type="expression" dxfId="762" priority="12">
      <formula>F35&lt;0</formula>
    </cfRule>
  </conditionalFormatting>
  <conditionalFormatting sqref="H41:H42 F41:F42 J40:J41">
    <cfRule type="expression" dxfId="761" priority="9">
      <formula>F40&gt;0</formula>
    </cfRule>
    <cfRule type="expression" dxfId="760" priority="10">
      <formula>F40&lt;0</formula>
    </cfRule>
  </conditionalFormatting>
  <conditionalFormatting sqref="H40 F40">
    <cfRule type="expression" dxfId="759" priority="7">
      <formula>F40&gt;0</formula>
    </cfRule>
    <cfRule type="expression" dxfId="758" priority="8">
      <formula>F40&lt;0</formula>
    </cfRule>
  </conditionalFormatting>
  <conditionalFormatting sqref="H45 F45 J44:J45">
    <cfRule type="expression" dxfId="757" priority="3">
      <formula>F44&gt;0</formula>
    </cfRule>
    <cfRule type="expression" dxfId="756" priority="4">
      <formula>F44&lt;0</formula>
    </cfRule>
  </conditionalFormatting>
  <conditionalFormatting sqref="H44 F44">
    <cfRule type="expression" dxfId="755" priority="1">
      <formula>F44&gt;0</formula>
    </cfRule>
    <cfRule type="expression" dxfId="75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3" priority="29">
      <formula>F40&gt;0</formula>
    </cfRule>
    <cfRule type="expression" dxfId="752" priority="30">
      <formula>F40&lt;0</formula>
    </cfRule>
  </conditionalFormatting>
  <conditionalFormatting sqref="F40:F45">
    <cfRule type="expression" dxfId="751" priority="31">
      <formula>F40&gt;0</formula>
    </cfRule>
    <cfRule type="expression" dxfId="750" priority="32">
      <formula>F40&lt;0</formula>
    </cfRule>
  </conditionalFormatting>
  <conditionalFormatting sqref="H40:H45">
    <cfRule type="expression" dxfId="749" priority="27">
      <formula>H40&gt;0</formula>
    </cfRule>
    <cfRule type="expression" dxfId="748" priority="28">
      <formula>H40&lt;0</formula>
    </cfRule>
  </conditionalFormatting>
  <conditionalFormatting sqref="F23:F39">
    <cfRule type="expression" dxfId="747" priority="13">
      <formula>F23&gt;0</formula>
    </cfRule>
    <cfRule type="expression" dxfId="746" priority="14">
      <formula>F23&lt;0</formula>
    </cfRule>
  </conditionalFormatting>
  <conditionalFormatting sqref="H23:H39">
    <cfRule type="expression" dxfId="745" priority="11">
      <formula>H23&gt;0</formula>
    </cfRule>
    <cfRule type="expression" dxfId="744" priority="12">
      <formula>H23&lt;0</formula>
    </cfRule>
  </conditionalFormatting>
  <conditionalFormatting sqref="Q7">
    <cfRule type="expression" dxfId="743" priority="9">
      <formula>Q7&gt;0</formula>
    </cfRule>
    <cfRule type="expression" dxfId="742" priority="10">
      <formula>Q7&lt;0</formula>
    </cfRule>
  </conditionalFormatting>
  <conditionalFormatting sqref="Q8">
    <cfRule type="expression" dxfId="741" priority="7">
      <formula>Q8&gt;0</formula>
    </cfRule>
    <cfRule type="expression" dxfId="740" priority="8">
      <formula>Q8&lt;0</formula>
    </cfRule>
  </conditionalFormatting>
  <conditionalFormatting sqref="Q10">
    <cfRule type="expression" dxfId="739" priority="1">
      <formula>Q10&gt;0</formula>
    </cfRule>
    <cfRule type="expression" dxfId="73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7" priority="39">
      <formula>Q12&gt;0</formula>
    </cfRule>
    <cfRule type="expression" dxfId="73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5" priority="33">
      <formula>F25&gt;0</formula>
    </cfRule>
    <cfRule type="expression" dxfId="734" priority="34">
      <formula>F25&lt;0</formula>
    </cfRule>
  </conditionalFormatting>
  <conditionalFormatting sqref="F30">
    <cfRule type="expression" dxfId="733" priority="31">
      <formula>F30&gt;0</formula>
    </cfRule>
    <cfRule type="expression" dxfId="732" priority="32">
      <formula>F30&lt;0</formula>
    </cfRule>
  </conditionalFormatting>
  <conditionalFormatting sqref="F31">
    <cfRule type="expression" dxfId="731" priority="29">
      <formula>F31&gt;0</formula>
    </cfRule>
    <cfRule type="expression" dxfId="730" priority="30">
      <formula>F31&lt;0</formula>
    </cfRule>
  </conditionalFormatting>
  <conditionalFormatting sqref="F32:F34">
    <cfRule type="expression" dxfId="729" priority="27">
      <formula>F32&gt;0</formula>
    </cfRule>
    <cfRule type="expression" dxfId="728" priority="28">
      <formula>F32&lt;0</formula>
    </cfRule>
  </conditionalFormatting>
  <conditionalFormatting sqref="H25:H29">
    <cfRule type="expression" dxfId="727" priority="25">
      <formula>H25&gt;0</formula>
    </cfRule>
    <cfRule type="expression" dxfId="726" priority="26">
      <formula>H25&lt;0</formula>
    </cfRule>
  </conditionalFormatting>
  <conditionalFormatting sqref="H30">
    <cfRule type="expression" dxfId="725" priority="23">
      <formula>H30&gt;0</formula>
    </cfRule>
    <cfRule type="expression" dxfId="724" priority="24">
      <formula>H30&lt;0</formula>
    </cfRule>
  </conditionalFormatting>
  <conditionalFormatting sqref="H31">
    <cfRule type="expression" dxfId="723" priority="21">
      <formula>H31&gt;0</formula>
    </cfRule>
    <cfRule type="expression" dxfId="722" priority="22">
      <formula>H31&lt;0</formula>
    </cfRule>
  </conditionalFormatting>
  <conditionalFormatting sqref="H32:H34">
    <cfRule type="expression" dxfId="721" priority="19">
      <formula>H32&gt;0</formula>
    </cfRule>
    <cfRule type="expression" dxfId="720" priority="20">
      <formula>H32&lt;0</formula>
    </cfRule>
  </conditionalFormatting>
  <conditionalFormatting sqref="F35">
    <cfRule type="expression" dxfId="719" priority="17">
      <formula>F35&gt;0</formula>
    </cfRule>
    <cfRule type="expression" dxfId="718" priority="18">
      <formula>F35&lt;0</formula>
    </cfRule>
  </conditionalFormatting>
  <conditionalFormatting sqref="H35">
    <cfRule type="expression" dxfId="717" priority="15">
      <formula>H35&gt;0</formula>
    </cfRule>
    <cfRule type="expression" dxfId="716" priority="16">
      <formula>H35&lt;0</formula>
    </cfRule>
  </conditionalFormatting>
  <conditionalFormatting sqref="F36">
    <cfRule type="expression" dxfId="715" priority="13">
      <formula>F36&gt;0</formula>
    </cfRule>
    <cfRule type="expression" dxfId="714" priority="14">
      <formula>F36&lt;0</formula>
    </cfRule>
  </conditionalFormatting>
  <conditionalFormatting sqref="H36">
    <cfRule type="expression" dxfId="713" priority="11">
      <formula>H36&gt;0</formula>
    </cfRule>
    <cfRule type="expression" dxfId="712" priority="12">
      <formula>H36&lt;0</formula>
    </cfRule>
  </conditionalFormatting>
  <conditionalFormatting sqref="H23:H24">
    <cfRule type="expression" dxfId="711" priority="5">
      <formula>H23&gt;0</formula>
    </cfRule>
    <cfRule type="expression" dxfId="710" priority="6">
      <formula>H23&lt;0</formula>
    </cfRule>
  </conditionalFormatting>
  <conditionalFormatting sqref="F23:F24">
    <cfRule type="expression" dxfId="709" priority="7">
      <formula>F23&gt;0</formula>
    </cfRule>
    <cfRule type="expression" dxfId="708" priority="8">
      <formula>F23&lt;0</formula>
    </cfRule>
  </conditionalFormatting>
  <conditionalFormatting sqref="Q7">
    <cfRule type="expression" dxfId="707" priority="3">
      <formula>Q7&gt;0</formula>
    </cfRule>
    <cfRule type="expression" dxfId="706" priority="4">
      <formula>Q7&lt;0</formula>
    </cfRule>
  </conditionalFormatting>
  <conditionalFormatting sqref="Q8">
    <cfRule type="expression" dxfId="705" priority="1">
      <formula>Q8&gt;0</formula>
    </cfRule>
    <cfRule type="expression" dxfId="70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44.889000000000038</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49.5899</v>
      </c>
      <c r="R4" s="405">
        <v>-1.4E-3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5950.7880000000005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5386.6800000000048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4"/>
      <c r="M7" s="4"/>
      <c r="O7" s="11" t="s">
        <v>177</v>
      </c>
      <c r="P7"/>
      <c r="Q7" s="2">
        <f>Q10+Q8</f>
        <v>2168.6879999999983</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564.10799999999654</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0.10472276058722553</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3.468448212236766E-2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10.971216814159293</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54.548890000000007</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259.2</v>
      </c>
      <c r="P18" s="81">
        <v>1.0900000000000001</v>
      </c>
      <c r="Q18" s="81">
        <f t="shared" ref="Q18:Q37" si="2">P18*$Q$4</f>
        <v>54.052991000000006</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260</v>
      </c>
      <c r="P19" s="81">
        <v>1.08</v>
      </c>
      <c r="Q19" s="81">
        <f t="shared" si="2"/>
        <v>53.557092000000004</v>
      </c>
      <c r="W19" s="2"/>
      <c r="X19" s="134"/>
      <c r="AD19" s="182"/>
      <c r="AG19" s="182"/>
    </row>
    <row r="20" spans="1:33" x14ac:dyDescent="0.25">
      <c r="P20" s="81">
        <v>1.07</v>
      </c>
      <c r="Q20" s="81">
        <f t="shared" si="2"/>
        <v>53.061193000000003</v>
      </c>
      <c r="W20" s="2"/>
      <c r="X20" s="134"/>
    </row>
    <row r="21" spans="1:33" x14ac:dyDescent="0.25">
      <c r="P21" s="81">
        <v>1.06</v>
      </c>
      <c r="Q21" s="81">
        <f t="shared" si="2"/>
        <v>52.565294000000002</v>
      </c>
      <c r="W21" s="2"/>
      <c r="X21" s="134"/>
      <c r="AD21" s="182"/>
      <c r="AG21" s="182"/>
    </row>
    <row r="22" spans="1:33" x14ac:dyDescent="0.25">
      <c r="P22" s="81">
        <v>1.05</v>
      </c>
      <c r="Q22" s="81">
        <f t="shared" si="2"/>
        <v>52.069395</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51.573495999999999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51.077597000000004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50.581698000000003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50.085799000000002</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49.5899</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49.094000999999999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48.598101999999997</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48.102202999999996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47.606304000000002</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47.110405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46.614505999999999</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46.118607000000004</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45.622708000000003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45.126809000000002</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44.63091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C56*(E56-D56)</f>
        <v>1274.5199999999995</v>
      </c>
      <c r="G56" s="39">
        <f>D56*C56</f>
        <v>5438.2800000000007</v>
      </c>
      <c r="H56" s="179">
        <f>(E56-D56)/D56</f>
        <v>0.23436086409673634</v>
      </c>
      <c r="I56" s="751" t="s">
        <v>1266</v>
      </c>
      <c r="J56" s="39">
        <f>F56+$Q$10</f>
        <v>2879.1000000000013</v>
      </c>
      <c r="K56" s="39"/>
      <c r="L56" s="10">
        <v>12.38</v>
      </c>
      <c r="M56" s="10"/>
      <c r="O56" s="2"/>
      <c r="R56" s="81"/>
      <c r="X56" s="134"/>
    </row>
    <row r="57" spans="1:24" x14ac:dyDescent="0.25">
      <c r="A57" s="10">
        <v>40</v>
      </c>
      <c r="B57" s="164">
        <v>43358</v>
      </c>
      <c r="C57" s="10">
        <v>120</v>
      </c>
      <c r="D57" s="39">
        <v>45.319000000000003</v>
      </c>
      <c r="E57" s="39">
        <v>54.73</v>
      </c>
      <c r="F57" s="39">
        <f>C57*(E57-D57)</f>
        <v>1129.3199999999993</v>
      </c>
      <c r="G57" s="39">
        <f>D57*C57</f>
        <v>5438.2800000000007</v>
      </c>
      <c r="H57" s="179">
        <f>(E57-D57)/D57</f>
        <v>0.20766124583508008</v>
      </c>
      <c r="I57" s="781"/>
      <c r="J57" s="39">
        <f>F57+$Q$10</f>
        <v>2733.900000000001</v>
      </c>
      <c r="K57" s="39"/>
      <c r="L57" s="10">
        <v>12.11</v>
      </c>
      <c r="M57" s="10"/>
      <c r="O57" s="2"/>
      <c r="R57" s="81"/>
      <c r="X57" s="134"/>
    </row>
    <row r="58" spans="1:24" x14ac:dyDescent="0.25">
      <c r="A58" s="10"/>
      <c r="B58" s="164">
        <v>43353</v>
      </c>
      <c r="C58" s="10">
        <v>120</v>
      </c>
      <c r="D58" s="39">
        <v>45.319000000000003</v>
      </c>
      <c r="E58" s="39">
        <v>52.43</v>
      </c>
      <c r="F58" s="39">
        <f>C58*(E58-D58)</f>
        <v>853.31999999999971</v>
      </c>
      <c r="G58" s="39">
        <f>D58*C58</f>
        <v>5438.2800000000007</v>
      </c>
      <c r="H58" s="179">
        <f>(E58-D58)/D58</f>
        <v>0.15690990533771701</v>
      </c>
      <c r="I58" s="781"/>
      <c r="J58" s="39">
        <f>F58+$Q$10</f>
        <v>2457.9000000000015</v>
      </c>
      <c r="K58" s="39"/>
      <c r="L58" s="10">
        <v>11.6</v>
      </c>
      <c r="M58" s="10"/>
      <c r="O58" s="2"/>
      <c r="R58" s="81"/>
      <c r="X58" s="134"/>
    </row>
    <row r="59" spans="1:24" x14ac:dyDescent="0.25">
      <c r="A59" s="10">
        <v>120</v>
      </c>
      <c r="B59" s="164">
        <v>43437</v>
      </c>
      <c r="C59" s="185">
        <v>120</v>
      </c>
      <c r="D59" s="186">
        <v>44.889000000000003</v>
      </c>
      <c r="E59" s="39">
        <v>54.24</v>
      </c>
      <c r="F59" s="39">
        <f>C59*(E59-D59)</f>
        <v>1122.1199999999999</v>
      </c>
      <c r="G59" s="10">
        <f>D59*C59</f>
        <v>5386.68</v>
      </c>
      <c r="H59" s="179">
        <f>(E59-D59)/D59</f>
        <v>0.20831384080732471</v>
      </c>
      <c r="I59" s="39">
        <v>44.5</v>
      </c>
      <c r="J59" s="39">
        <f>F59+$Q$10</f>
        <v>2726.7000000000016</v>
      </c>
      <c r="K59" s="39"/>
      <c r="L59" s="10">
        <v>12.01</v>
      </c>
      <c r="M59" s="10"/>
      <c r="O59" s="2"/>
      <c r="R59" s="81"/>
      <c r="X59" s="134"/>
    </row>
    <row r="60" spans="1:24" x14ac:dyDescent="0.25">
      <c r="A60" s="164">
        <v>43492</v>
      </c>
      <c r="B60" s="164">
        <v>43492</v>
      </c>
      <c r="C60" s="10">
        <v>120</v>
      </c>
      <c r="D60" s="39">
        <v>44.89</v>
      </c>
      <c r="E60" s="39">
        <v>50.13</v>
      </c>
      <c r="F60" s="39">
        <f>C60*(E60-D60)</f>
        <v>628.80000000000018</v>
      </c>
      <c r="G60" s="10">
        <f>D60*C60</f>
        <v>5386.8</v>
      </c>
      <c r="H60" s="10">
        <f>(E60-D60)/D60</f>
        <v>0.11672978391623974</v>
      </c>
      <c r="I60" s="39"/>
      <c r="J60" s="39">
        <f>F60+$Q$10</f>
        <v>2233.3800000000019</v>
      </c>
      <c r="K60" s="39"/>
      <c r="L60" s="10">
        <v>11.09</v>
      </c>
      <c r="M60" s="10"/>
      <c r="O60" s="2"/>
      <c r="R60" s="81"/>
      <c r="X60" s="134"/>
    </row>
    <row r="61" spans="1:24" x14ac:dyDescent="0.25">
      <c r="A61" s="10"/>
      <c r="B61" s="10"/>
      <c r="C61" s="10"/>
      <c r="D61" s="39"/>
      <c r="E61" s="39"/>
      <c r="F61" s="39"/>
      <c r="G61" s="10"/>
      <c r="H61" s="10"/>
      <c r="I61" s="39"/>
      <c r="J61" s="39"/>
      <c r="K61" s="39"/>
      <c r="L61" s="10"/>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0">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0"/>
        <v>1895.2</v>
      </c>
      <c r="G69" s="202">
        <v>42473</v>
      </c>
      <c r="H69" s="203">
        <v>40</v>
      </c>
      <c r="I69" s="198">
        <v>48.91</v>
      </c>
      <c r="J69" s="198">
        <v>0.04</v>
      </c>
      <c r="K69" s="198">
        <f t="shared" ref="K69:K75" si="11">I69*H69-J69</f>
        <v>1956.36</v>
      </c>
      <c r="L69" s="202">
        <v>42522</v>
      </c>
      <c r="M69" s="198">
        <v>30.4</v>
      </c>
      <c r="X69" s="134"/>
    </row>
    <row r="70" spans="1:24" x14ac:dyDescent="0.25">
      <c r="A70" s="197"/>
      <c r="B70" s="202">
        <v>42474</v>
      </c>
      <c r="C70" s="197">
        <v>40</v>
      </c>
      <c r="D70" s="198">
        <v>48.55</v>
      </c>
      <c r="E70" s="198">
        <v>0</v>
      </c>
      <c r="F70" s="198">
        <f t="shared" si="10"/>
        <v>1942</v>
      </c>
      <c r="G70" s="202">
        <v>42487</v>
      </c>
      <c r="H70" s="203">
        <v>40</v>
      </c>
      <c r="I70" s="198">
        <v>50.97</v>
      </c>
      <c r="J70" s="198">
        <v>0.04</v>
      </c>
      <c r="K70" s="198">
        <f t="shared" si="11"/>
        <v>2038.76</v>
      </c>
      <c r="L70" s="202">
        <v>42614</v>
      </c>
      <c r="M70" s="198">
        <v>41.8</v>
      </c>
    </row>
    <row r="71" spans="1:24" x14ac:dyDescent="0.25">
      <c r="A71" s="197"/>
      <c r="B71" s="202">
        <v>42489</v>
      </c>
      <c r="C71" s="197">
        <v>40</v>
      </c>
      <c r="D71" s="198">
        <v>50.01</v>
      </c>
      <c r="E71" s="198">
        <v>0</v>
      </c>
      <c r="F71" s="198">
        <f t="shared" si="10"/>
        <v>2000.3999999999999</v>
      </c>
      <c r="G71" s="202">
        <v>42514</v>
      </c>
      <c r="H71" s="328">
        <v>40</v>
      </c>
      <c r="I71" s="290">
        <v>49.29</v>
      </c>
      <c r="J71" s="290">
        <v>0.04</v>
      </c>
      <c r="K71" s="290">
        <f t="shared" si="11"/>
        <v>1971.56</v>
      </c>
      <c r="L71" s="197"/>
      <c r="M71" s="197"/>
    </row>
    <row r="72" spans="1:24" x14ac:dyDescent="0.25">
      <c r="A72" s="197"/>
      <c r="B72" s="202">
        <v>42503</v>
      </c>
      <c r="C72" s="197">
        <v>10</v>
      </c>
      <c r="D72" s="198">
        <v>48.2</v>
      </c>
      <c r="E72" s="198">
        <v>0</v>
      </c>
      <c r="F72" s="198">
        <f t="shared" si="10"/>
        <v>482</v>
      </c>
      <c r="G72" s="202">
        <v>42517</v>
      </c>
      <c r="H72" s="203">
        <v>20</v>
      </c>
      <c r="I72" s="198">
        <v>50.72</v>
      </c>
      <c r="J72" s="198">
        <v>0.02</v>
      </c>
      <c r="K72" s="290">
        <f t="shared" si="11"/>
        <v>1014.38</v>
      </c>
      <c r="L72" s="197"/>
      <c r="M72" s="197"/>
    </row>
    <row r="73" spans="1:24" x14ac:dyDescent="0.25">
      <c r="A73" s="197"/>
      <c r="B73" s="202">
        <v>42503</v>
      </c>
      <c r="C73" s="197">
        <v>20</v>
      </c>
      <c r="D73" s="198">
        <v>48.2</v>
      </c>
      <c r="E73" s="198">
        <v>0</v>
      </c>
      <c r="F73" s="198">
        <f t="shared" si="10"/>
        <v>964</v>
      </c>
      <c r="G73" s="202">
        <v>42527</v>
      </c>
      <c r="H73" s="203">
        <v>30</v>
      </c>
      <c r="I73" s="198">
        <v>50.59</v>
      </c>
      <c r="J73" s="198">
        <v>0.03</v>
      </c>
      <c r="K73" s="290">
        <f t="shared" si="11"/>
        <v>1517.67</v>
      </c>
      <c r="L73" s="197"/>
      <c r="M73" s="197"/>
    </row>
    <row r="74" spans="1:24" x14ac:dyDescent="0.25">
      <c r="A74" s="197"/>
      <c r="B74" s="202">
        <v>42524</v>
      </c>
      <c r="C74" s="197">
        <v>30</v>
      </c>
      <c r="D74" s="198">
        <v>50.01</v>
      </c>
      <c r="E74" s="198">
        <v>0</v>
      </c>
      <c r="F74" s="198">
        <f t="shared" si="10"/>
        <v>1500.3</v>
      </c>
      <c r="G74" s="202">
        <v>42587</v>
      </c>
      <c r="H74" s="203">
        <v>30</v>
      </c>
      <c r="I74" s="198">
        <v>48.68</v>
      </c>
      <c r="J74" s="198">
        <v>0.03</v>
      </c>
      <c r="K74" s="198">
        <f t="shared" si="11"/>
        <v>1460.3700000000001</v>
      </c>
      <c r="L74" s="197"/>
      <c r="M74" s="197"/>
    </row>
    <row r="75" spans="1:24" x14ac:dyDescent="0.25">
      <c r="A75" s="197"/>
      <c r="B75" s="202">
        <v>42531</v>
      </c>
      <c r="C75" s="197">
        <v>30</v>
      </c>
      <c r="D75" s="198">
        <v>48.51</v>
      </c>
      <c r="E75" s="198">
        <v>0</v>
      </c>
      <c r="F75" s="198">
        <f t="shared" si="10"/>
        <v>1455.3</v>
      </c>
      <c r="G75" s="202">
        <v>42611</v>
      </c>
      <c r="H75" s="203">
        <v>80</v>
      </c>
      <c r="I75" s="198">
        <v>49.71</v>
      </c>
      <c r="J75" s="198">
        <v>0.09</v>
      </c>
      <c r="K75" s="198">
        <f t="shared" si="11"/>
        <v>3976.71</v>
      </c>
      <c r="L75" s="197"/>
      <c r="M75" s="197"/>
    </row>
    <row r="76" spans="1:24" x14ac:dyDescent="0.25">
      <c r="A76" s="197"/>
      <c r="B76" s="202">
        <v>42566</v>
      </c>
      <c r="C76" s="197">
        <v>30</v>
      </c>
      <c r="D76" s="198">
        <v>47.58</v>
      </c>
      <c r="E76" s="198">
        <v>0</v>
      </c>
      <c r="F76" s="198">
        <f t="shared" si="10"/>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2">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2"/>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2"/>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2"/>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2"/>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2"/>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3" priority="77">
      <formula>J8&gt;0</formula>
    </cfRule>
    <cfRule type="expression" dxfId="702" priority="78">
      <formula>J8&lt;0</formula>
    </cfRule>
  </conditionalFormatting>
  <conditionalFormatting sqref="Q7">
    <cfRule type="expression" dxfId="701" priority="79">
      <formula>Q7&gt;0</formula>
    </cfRule>
    <cfRule type="expression" dxfId="700" priority="80">
      <formula>Q7&lt;0</formula>
    </cfRule>
  </conditionalFormatting>
  <conditionalFormatting sqref="M66">
    <cfRule type="expression" dxfId="699" priority="67">
      <formula>M66&gt;0</formula>
    </cfRule>
    <cfRule type="expression" dxfId="698" priority="68">
      <formula>M66&lt;0</formula>
    </cfRule>
  </conditionalFormatting>
  <conditionalFormatting sqref="M66">
    <cfRule type="expression" dxfId="697" priority="69">
      <formula>M66&gt;0</formula>
    </cfRule>
    <cfRule type="expression" dxfId="696" priority="70">
      <formula>M66&lt;0</formula>
    </cfRule>
  </conditionalFormatting>
  <conditionalFormatting sqref="F24:F58">
    <cfRule type="expression" dxfId="695" priority="55">
      <formula>F24&gt;0</formula>
    </cfRule>
    <cfRule type="expression" dxfId="694" priority="56">
      <formula>F24&lt;0</formula>
    </cfRule>
  </conditionalFormatting>
  <conditionalFormatting sqref="F24:F58">
    <cfRule type="expression" dxfId="693" priority="57">
      <formula>F24&gt;0</formula>
    </cfRule>
    <cfRule type="expression" dxfId="692" priority="58">
      <formula>F24&lt;0</formula>
    </cfRule>
  </conditionalFormatting>
  <conditionalFormatting sqref="H24:H58">
    <cfRule type="expression" dxfId="691" priority="53">
      <formula>H24&gt;0</formula>
    </cfRule>
    <cfRule type="expression" dxfId="690"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89" priority="7">
      <formula>J59&gt;0</formula>
    </cfRule>
    <cfRule type="expression" dxfId="688" priority="8">
      <formula>J59&lt;0</formula>
    </cfRule>
  </conditionalFormatting>
  <conditionalFormatting sqref="F59:F61">
    <cfRule type="expression" dxfId="687" priority="3">
      <formula>F59&gt;0</formula>
    </cfRule>
    <cfRule type="expression" dxfId="686" priority="4">
      <formula>F59&lt;0</formula>
    </cfRule>
  </conditionalFormatting>
  <conditionalFormatting sqref="F59:F61">
    <cfRule type="expression" dxfId="685" priority="5">
      <formula>F59&gt;0</formula>
    </cfRule>
    <cfRule type="expression" dxfId="684" priority="6">
      <formula>F59&lt;0</formula>
    </cfRule>
  </conditionalFormatting>
  <conditionalFormatting sqref="H59">
    <cfRule type="expression" dxfId="683" priority="1">
      <formula>H59&gt;0</formula>
    </cfRule>
    <cfRule type="expression" dxfId="682"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1" priority="66">
      <formula>F22&gt;0</formula>
    </cfRule>
    <cfRule type="expression" dxfId="68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79" priority="53">
      <formula>F41&gt;0</formula>
    </cfRule>
    <cfRule type="expression" dxfId="678" priority="54">
      <formula>F41&lt;0</formula>
    </cfRule>
  </conditionalFormatting>
  <conditionalFormatting sqref="F41">
    <cfRule type="expression" dxfId="677" priority="57">
      <formula>F41&gt;0</formula>
    </cfRule>
    <cfRule type="expression" dxfId="676" priority="58">
      <formula>F41&lt;0</formula>
    </cfRule>
  </conditionalFormatting>
  <conditionalFormatting sqref="H41">
    <cfRule type="expression" dxfId="675" priority="35">
      <formula>H41&gt;0</formula>
    </cfRule>
    <cfRule type="expression" dxfId="674" priority="36">
      <formula>H41&lt;0</formula>
    </cfRule>
  </conditionalFormatting>
  <conditionalFormatting sqref="F89:F95">
    <cfRule type="expression" dxfId="673" priority="29">
      <formula>F89&gt;0</formula>
    </cfRule>
    <cfRule type="expression" dxfId="672" priority="30">
      <formula>F89&lt;0</formula>
    </cfRule>
  </conditionalFormatting>
  <conditionalFormatting sqref="F96:F110">
    <cfRule type="expression" dxfId="671" priority="25">
      <formula>F96&gt;0</formula>
    </cfRule>
    <cfRule type="expression" dxfId="670" priority="26">
      <formula>F96&lt;0</formula>
    </cfRule>
  </conditionalFormatting>
  <conditionalFormatting sqref="F96:F110">
    <cfRule type="expression" dxfId="669" priority="27">
      <formula>F96&gt;0</formula>
    </cfRule>
    <cfRule type="expression" dxfId="668" priority="28">
      <formula>F96&lt;0</formula>
    </cfRule>
  </conditionalFormatting>
  <conditionalFormatting sqref="H89:H100">
    <cfRule type="expression" dxfId="667" priority="23">
      <formula>H89&gt;0</formula>
    </cfRule>
    <cfRule type="expression" dxfId="666" priority="24">
      <formula>H89&lt;0</formula>
    </cfRule>
  </conditionalFormatting>
  <conditionalFormatting sqref="H101">
    <cfRule type="expression" dxfId="665" priority="21">
      <formula>H101&gt;0</formula>
    </cfRule>
    <cfRule type="expression" dxfId="664" priority="22">
      <formula>H101&lt;0</formula>
    </cfRule>
  </conditionalFormatting>
  <conditionalFormatting sqref="F111:F116">
    <cfRule type="expression" dxfId="663" priority="19">
      <formula>F111&gt;0</formula>
    </cfRule>
    <cfRule type="expression" dxfId="662" priority="20">
      <formula>F111&lt;0</formula>
    </cfRule>
  </conditionalFormatting>
  <conditionalFormatting sqref="H103:H116">
    <cfRule type="expression" dxfId="661" priority="17">
      <formula>H103&gt;0</formula>
    </cfRule>
    <cfRule type="expression" dxfId="660" priority="18">
      <formula>H103&lt;0</formula>
    </cfRule>
  </conditionalFormatting>
  <conditionalFormatting sqref="H102">
    <cfRule type="expression" dxfId="659" priority="15">
      <formula>H102&gt;0</formula>
    </cfRule>
    <cfRule type="expression" dxfId="658" priority="16">
      <formula>H102&lt;0</formula>
    </cfRule>
  </conditionalFormatting>
  <conditionalFormatting sqref="M42">
    <cfRule type="expression" dxfId="657" priority="13">
      <formula>M42&gt;0</formula>
    </cfRule>
    <cfRule type="expression" dxfId="656" priority="14">
      <formula>M42&lt;0</formula>
    </cfRule>
  </conditionalFormatting>
  <conditionalFormatting sqref="Q7">
    <cfRule type="expression" dxfId="655" priority="9">
      <formula>Q7&gt;0</formula>
    </cfRule>
    <cfRule type="expression" dxfId="654" priority="10">
      <formula>Q7&lt;0</formula>
    </cfRule>
  </conditionalFormatting>
  <conditionalFormatting sqref="Q8">
    <cfRule type="expression" dxfId="653" priority="7">
      <formula>Q8&gt;0</formula>
    </cfRule>
    <cfRule type="expression" dxfId="652" priority="8">
      <formula>Q8&lt;0</formula>
    </cfRule>
  </conditionalFormatting>
  <conditionalFormatting sqref="F117:F130 H117:H130">
    <cfRule type="expression" dxfId="651" priority="1">
      <formula>F117&gt;0</formula>
    </cfRule>
    <cfRule type="expression" dxfId="65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49" priority="84">
      <formula>F7&gt;0</formula>
    </cfRule>
    <cfRule type="expression" dxfId="648" priority="85">
      <formula>F7&lt;0</formula>
    </cfRule>
  </conditionalFormatting>
  <conditionalFormatting sqref="Q8">
    <cfRule type="expression" dxfId="647" priority="82">
      <formula>Q8&gt;0</formula>
    </cfRule>
    <cfRule type="expression" dxfId="646" priority="83">
      <formula>Q8&lt;0</formula>
    </cfRule>
  </conditionalFormatting>
  <conditionalFormatting sqref="F29:F36">
    <cfRule type="expression" dxfId="645" priority="62">
      <formula>F29&gt;0</formula>
    </cfRule>
    <cfRule type="expression" dxfId="644" priority="63">
      <formula>F29&lt;0</formula>
    </cfRule>
  </conditionalFormatting>
  <conditionalFormatting sqref="J32:J38">
    <cfRule type="expression" dxfId="643" priority="57">
      <formula>J32&gt;0</formula>
    </cfRule>
    <cfRule type="expression" dxfId="642" priority="58">
      <formula>J32&lt;0</formula>
    </cfRule>
  </conditionalFormatting>
  <conditionalFormatting sqref="M42">
    <cfRule type="expression" dxfId="641" priority="55">
      <formula>M42&gt;0</formula>
    </cfRule>
    <cfRule type="expression" dxfId="640" priority="56">
      <formula>M42&lt;0</formula>
    </cfRule>
  </conditionalFormatting>
  <conditionalFormatting sqref="F98:F134 H98:H134 H137:H142 F137:F142 F144:F153 H144:H153">
    <cfRule type="expression" dxfId="639" priority="53">
      <formula>F98&gt;0</formula>
    </cfRule>
    <cfRule type="expression" dxfId="638" priority="54">
      <formula>F98&lt;0</formula>
    </cfRule>
  </conditionalFormatting>
  <conditionalFormatting sqref="F90:F97">
    <cfRule type="expression" dxfId="637" priority="51">
      <formula>F90&gt;0</formula>
    </cfRule>
    <cfRule type="expression" dxfId="636" priority="52">
      <formula>F90&lt;0</formula>
    </cfRule>
  </conditionalFormatting>
  <conditionalFormatting sqref="H90:H97">
    <cfRule type="expression" dxfId="635" priority="49">
      <formula>H90&gt;0</formula>
    </cfRule>
    <cfRule type="expression" dxfId="634" priority="50">
      <formula>H90&lt;0</formula>
    </cfRule>
  </conditionalFormatting>
  <conditionalFormatting sqref="F135:F136 H135:H136">
    <cfRule type="expression" dxfId="633" priority="47">
      <formula>F135&gt;0</formula>
    </cfRule>
    <cfRule type="expression" dxfId="632" priority="48">
      <formula>F135&lt;0</formula>
    </cfRule>
  </conditionalFormatting>
  <conditionalFormatting sqref="H143 F143">
    <cfRule type="expression" dxfId="631" priority="45">
      <formula>F143&gt;0</formula>
    </cfRule>
    <cfRule type="expression" dxfId="630" priority="46">
      <formula>F143&lt;0</formula>
    </cfRule>
  </conditionalFormatting>
  <conditionalFormatting sqref="F154:F161">
    <cfRule type="expression" dxfId="629" priority="31">
      <formula>F154&gt;0</formula>
    </cfRule>
    <cfRule type="expression" dxfId="628" priority="32">
      <formula>F154&lt;0</formula>
    </cfRule>
  </conditionalFormatting>
  <conditionalFormatting sqref="H154:H161">
    <cfRule type="expression" dxfId="627" priority="29">
      <formula>H154&gt;0</formula>
    </cfRule>
    <cfRule type="expression" dxfId="626" priority="30">
      <formula>H154&lt;0</formula>
    </cfRule>
  </conditionalFormatting>
  <conditionalFormatting sqref="Q10">
    <cfRule type="expression" dxfId="625" priority="27">
      <formula>Q10&gt;0</formula>
    </cfRule>
    <cfRule type="expression" dxfId="624" priority="28">
      <formula>Q10&lt;0</formula>
    </cfRule>
  </conditionalFormatting>
  <conditionalFormatting sqref="F37:F38">
    <cfRule type="expression" dxfId="623" priority="25">
      <formula>F37&gt;0</formula>
    </cfRule>
    <cfRule type="expression" dxfId="622" priority="26">
      <formula>F37&lt;0</formula>
    </cfRule>
  </conditionalFormatting>
  <conditionalFormatting sqref="H37:H38">
    <cfRule type="expression" dxfId="621" priority="23">
      <formula>H37&gt;0</formula>
    </cfRule>
    <cfRule type="expression" dxfId="620" priority="24">
      <formula>H37&lt;0</formula>
    </cfRule>
  </conditionalFormatting>
  <conditionalFormatting sqref="F167">
    <cfRule type="expression" dxfId="619" priority="21">
      <formula>F167&gt;0</formula>
    </cfRule>
    <cfRule type="expression" dxfId="618" priority="22">
      <formula>F167&lt;0</formula>
    </cfRule>
  </conditionalFormatting>
  <conditionalFormatting sqref="F168:F179">
    <cfRule type="expression" dxfId="617" priority="19">
      <formula>F168&gt;0</formula>
    </cfRule>
    <cfRule type="expression" dxfId="616" priority="20">
      <formula>F168&lt;0</formula>
    </cfRule>
  </conditionalFormatting>
  <conditionalFormatting sqref="H167:H179">
    <cfRule type="expression" dxfId="615" priority="17">
      <formula>H167&gt;0</formula>
    </cfRule>
    <cfRule type="expression" dxfId="614" priority="18">
      <formula>H167&lt;0</formula>
    </cfRule>
  </conditionalFormatting>
  <conditionalFormatting sqref="J175:J197 J201">
    <cfRule type="expression" dxfId="613" priority="15">
      <formula>J175&gt;0</formula>
    </cfRule>
    <cfRule type="expression" dxfId="612" priority="16">
      <formula>J175&lt;0</formula>
    </cfRule>
  </conditionalFormatting>
  <conditionalFormatting sqref="F180:F197 F201">
    <cfRule type="expression" dxfId="611" priority="13">
      <formula>F180&gt;0</formula>
    </cfRule>
    <cfRule type="expression" dxfId="610" priority="14">
      <formula>F180&lt;0</formula>
    </cfRule>
  </conditionalFormatting>
  <conditionalFormatting sqref="H180:H197 H201">
    <cfRule type="expression" dxfId="609" priority="11">
      <formula>H180&gt;0</formula>
    </cfRule>
    <cfRule type="expression" dxfId="608" priority="12">
      <formula>H180&lt;0</formula>
    </cfRule>
  </conditionalFormatting>
  <conditionalFormatting sqref="I32:J35">
    <cfRule type="expression" dxfId="607" priority="9">
      <formula>I32&gt;0</formula>
    </cfRule>
    <cfRule type="expression" dxfId="606" priority="10">
      <formula>I32&lt;0</formula>
    </cfRule>
  </conditionalFormatting>
  <conditionalFormatting sqref="F198:F200">
    <cfRule type="expression" dxfId="605" priority="7">
      <formula>F198&gt;0</formula>
    </cfRule>
    <cfRule type="expression" dxfId="604" priority="8">
      <formula>F198&lt;0</formula>
    </cfRule>
  </conditionalFormatting>
  <conditionalFormatting sqref="H198:H200">
    <cfRule type="expression" dxfId="603" priority="5">
      <formula>H198&gt;0</formula>
    </cfRule>
    <cfRule type="expression" dxfId="602" priority="6">
      <formula>H198&lt;0</formula>
    </cfRule>
  </conditionalFormatting>
  <conditionalFormatting sqref="J198:J200">
    <cfRule type="expression" dxfId="601" priority="3">
      <formula>J198&gt;0</formula>
    </cfRule>
    <cfRule type="expression" dxfId="600" priority="4">
      <formula>J198&lt;0</formula>
    </cfRule>
  </conditionalFormatting>
  <conditionalFormatting sqref="F202:F211 H202:H211 J202:J211">
    <cfRule type="expression" dxfId="599" priority="1">
      <formula>F202&gt;0</formula>
    </cfRule>
    <cfRule type="expression" dxfId="59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7" priority="80">
      <formula>Q7&gt;0</formula>
    </cfRule>
    <cfRule type="expression" dxfId="596" priority="81">
      <formula>Q7&lt;0</formula>
    </cfRule>
  </conditionalFormatting>
  <conditionalFormatting sqref="Q8">
    <cfRule type="expression" dxfId="595" priority="78">
      <formula>Q8&gt;0</formula>
    </cfRule>
    <cfRule type="expression" dxfId="594" priority="79">
      <formula>Q8&lt;0</formula>
    </cfRule>
  </conditionalFormatting>
  <conditionalFormatting sqref="F29:F43">
    <cfRule type="expression" dxfId="593" priority="62">
      <formula>F29&gt;0</formula>
    </cfRule>
    <cfRule type="expression" dxfId="592" priority="63">
      <formula>F29&lt;0</formula>
    </cfRule>
  </conditionalFormatting>
  <conditionalFormatting sqref="H45 H47:H48 H50:H51 H53 H29:H43">
    <cfRule type="expression" dxfId="591" priority="60">
      <formula>H29&gt;0</formula>
    </cfRule>
    <cfRule type="expression" dxfId="590" priority="61">
      <formula>H29&lt;0</formula>
    </cfRule>
  </conditionalFormatting>
  <conditionalFormatting sqref="J35">
    <cfRule type="expression" dxfId="589" priority="56">
      <formula>J35&gt;0</formula>
    </cfRule>
    <cfRule type="expression" dxfId="588" priority="57">
      <formula>J35&lt;0</formula>
    </cfRule>
  </conditionalFormatting>
  <conditionalFormatting sqref="J36:J37">
    <cfRule type="expression" dxfId="587" priority="54">
      <formula>J36&gt;0</formula>
    </cfRule>
    <cfRule type="expression" dxfId="586" priority="55">
      <formula>J36&lt;0</formula>
    </cfRule>
  </conditionalFormatting>
  <conditionalFormatting sqref="J38:J45 J48 J51">
    <cfRule type="expression" dxfId="585" priority="52">
      <formula>J38&gt;0</formula>
    </cfRule>
    <cfRule type="expression" dxfId="58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3" priority="49">
      <formula>M59&gt;0</formula>
    </cfRule>
    <cfRule type="expression" dxfId="582" priority="50">
      <formula>M59&lt;0</formula>
    </cfRule>
  </conditionalFormatting>
  <conditionalFormatting sqref="Q10">
    <cfRule type="expression" dxfId="581" priority="47">
      <formula>Q10&gt;0</formula>
    </cfRule>
    <cfRule type="expression" dxfId="580" priority="48">
      <formula>Q10&lt;0</formula>
    </cfRule>
  </conditionalFormatting>
  <conditionalFormatting sqref="F84:F103">
    <cfRule type="expression" dxfId="579" priority="45">
      <formula>F84&gt;0</formula>
    </cfRule>
    <cfRule type="expression" dxfId="578" priority="46">
      <formula>F84&lt;0</formula>
    </cfRule>
  </conditionalFormatting>
  <conditionalFormatting sqref="H107 H84:H103">
    <cfRule type="expression" dxfId="577" priority="43">
      <formula>H84&gt;0</formula>
    </cfRule>
    <cfRule type="expression" dxfId="576" priority="44">
      <formula>H84&lt;0</formula>
    </cfRule>
  </conditionalFormatting>
  <conditionalFormatting sqref="J89">
    <cfRule type="expression" dxfId="575" priority="41">
      <formula>J89&gt;0</formula>
    </cfRule>
    <cfRule type="expression" dxfId="574" priority="42">
      <formula>J89&lt;0</formula>
    </cfRule>
  </conditionalFormatting>
  <conditionalFormatting sqref="J90:J95">
    <cfRule type="expression" dxfId="573" priority="39">
      <formula>J90&gt;0</formula>
    </cfRule>
    <cfRule type="expression" dxfId="572" priority="40">
      <formula>J90&lt;0</formula>
    </cfRule>
  </conditionalFormatting>
  <conditionalFormatting sqref="J96:J97">
    <cfRule type="expression" dxfId="571" priority="37">
      <formula>J96&gt;0</formula>
    </cfRule>
    <cfRule type="expression" dxfId="570" priority="38">
      <formula>J96&lt;0</formula>
    </cfRule>
  </conditionalFormatting>
  <conditionalFormatting sqref="J98:J104">
    <cfRule type="expression" dxfId="569" priority="35">
      <formula>J98&gt;0</formula>
    </cfRule>
    <cfRule type="expression" dxfId="568" priority="36">
      <formula>J98&lt;0</formula>
    </cfRule>
  </conditionalFormatting>
  <conditionalFormatting sqref="J25">
    <cfRule type="expression" dxfId="567" priority="31">
      <formula>J25&gt;0</formula>
    </cfRule>
    <cfRule type="expression" dxfId="566" priority="32">
      <formula>J25&lt;0</formula>
    </cfRule>
  </conditionalFormatting>
  <conditionalFormatting sqref="F105:F106">
    <cfRule type="expression" dxfId="565" priority="29">
      <formula>F105&gt;0</formula>
    </cfRule>
    <cfRule type="expression" dxfId="564" priority="30">
      <formula>F105&lt;0</formula>
    </cfRule>
  </conditionalFormatting>
  <conditionalFormatting sqref="H105:H106">
    <cfRule type="expression" dxfId="563" priority="27">
      <formula>H105&gt;0</formula>
    </cfRule>
    <cfRule type="expression" dxfId="562" priority="28">
      <formula>H105&lt;0</formula>
    </cfRule>
  </conditionalFormatting>
  <conditionalFormatting sqref="J105">
    <cfRule type="expression" dxfId="561" priority="25">
      <formula>J105&gt;0</formula>
    </cfRule>
    <cfRule type="expression" dxfId="560" priority="26">
      <formula>J105&lt;0</formula>
    </cfRule>
  </conditionalFormatting>
  <conditionalFormatting sqref="J106">
    <cfRule type="expression" dxfId="559" priority="23">
      <formula>J106&gt;0</formula>
    </cfRule>
    <cfRule type="expression" dxfId="558" priority="24">
      <formula>J106&lt;0</formula>
    </cfRule>
  </conditionalFormatting>
  <conditionalFormatting sqref="F24 F27:F28">
    <cfRule type="expression" dxfId="557" priority="21">
      <formula>F24&gt;0</formula>
    </cfRule>
    <cfRule type="expression" dxfId="556" priority="22">
      <formula>F24&lt;0</formula>
    </cfRule>
  </conditionalFormatting>
  <conditionalFormatting sqref="H24:H28">
    <cfRule type="expression" dxfId="555" priority="19">
      <formula>H24&gt;0</formula>
    </cfRule>
    <cfRule type="expression" dxfId="554" priority="20">
      <formula>H24&lt;0</formula>
    </cfRule>
  </conditionalFormatting>
  <conditionalFormatting sqref="J26:J34">
    <cfRule type="expression" dxfId="553" priority="17">
      <formula>J26&gt;0</formula>
    </cfRule>
    <cfRule type="expression" dxfId="552" priority="18">
      <formula>J26&lt;0</formula>
    </cfRule>
  </conditionalFormatting>
  <conditionalFormatting sqref="F113">
    <cfRule type="expression" dxfId="551" priority="15">
      <formula>F113&gt;0</formula>
    </cfRule>
    <cfRule type="expression" dxfId="550" priority="16">
      <formula>F113&lt;0</formula>
    </cfRule>
  </conditionalFormatting>
  <conditionalFormatting sqref="H113">
    <cfRule type="expression" dxfId="549" priority="13">
      <formula>H113&gt;0</formula>
    </cfRule>
    <cfRule type="expression" dxfId="548" priority="14">
      <formula>H113&lt;0</formula>
    </cfRule>
  </conditionalFormatting>
  <conditionalFormatting sqref="J109">
    <cfRule type="expression" dxfId="547" priority="11">
      <formula>J109&gt;0</formula>
    </cfRule>
    <cfRule type="expression" dxfId="546" priority="12">
      <formula>J109&lt;0</formula>
    </cfRule>
  </conditionalFormatting>
  <conditionalFormatting sqref="F108:F112">
    <cfRule type="expression" dxfId="545" priority="9">
      <formula>F108&gt;0</formula>
    </cfRule>
    <cfRule type="expression" dxfId="544" priority="10">
      <formula>F108&lt;0</formula>
    </cfRule>
  </conditionalFormatting>
  <conditionalFormatting sqref="H108:H112">
    <cfRule type="expression" dxfId="543" priority="7">
      <formula>H108&gt;0</formula>
    </cfRule>
    <cfRule type="expression" dxfId="542" priority="8">
      <formula>H108&lt;0</formula>
    </cfRule>
  </conditionalFormatting>
  <conditionalFormatting sqref="J110:J113">
    <cfRule type="expression" dxfId="541" priority="5">
      <formula>J110&gt;0</formula>
    </cfRule>
    <cfRule type="expression" dxfId="540" priority="6">
      <formula>J110&lt;0</formula>
    </cfRule>
  </conditionalFormatting>
  <conditionalFormatting sqref="F25:F26">
    <cfRule type="expression" dxfId="539" priority="3">
      <formula>F25&gt;0</formula>
    </cfRule>
    <cfRule type="expression" dxfId="538" priority="4">
      <formula>F25&lt;0</formula>
    </cfRule>
  </conditionalFormatting>
  <conditionalFormatting sqref="Q9">
    <cfRule type="expression" dxfId="537" priority="1">
      <formula>Q9&gt;0</formula>
    </cfRule>
    <cfRule type="expression" dxfId="53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62"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17.119900000000001</v>
      </c>
      <c r="R4" s="180">
        <v>-5.9999999999999995E-4</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8559.9500000000007</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-4529.5</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-4604.5200000000004</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-0.34976873356846133</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5.3738631650885813E-2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11.045096774193549</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18.831890000000001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18.660691000000003</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18.489492000000002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18.318293000000001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18.147094000000003</v>
      </c>
      <c r="T23" s="1">
        <v>43128</v>
      </c>
      <c r="U23" t="s">
        <v>890</v>
      </c>
    </row>
    <row r="24" spans="1:21" x14ac:dyDescent="0.25">
      <c r="A24" s="887"/>
      <c r="B24" s="368">
        <v>43318</v>
      </c>
      <c r="C24" s="738">
        <v>120</v>
      </c>
      <c r="D24" s="43">
        <v>23.52</v>
      </c>
      <c r="E24" s="43">
        <v>0</v>
      </c>
      <c r="F24" s="43">
        <f t="shared" si="2"/>
        <v>2822.4</v>
      </c>
      <c r="O24" s="81">
        <v>1.05</v>
      </c>
      <c r="P24" s="81">
        <f t="shared" si="3"/>
        <v>17.975895000000001</v>
      </c>
    </row>
    <row r="25" spans="1:21" x14ac:dyDescent="0.25">
      <c r="A25" s="887"/>
      <c r="B25" s="368">
        <v>43318</v>
      </c>
      <c r="C25" s="7">
        <v>80</v>
      </c>
      <c r="D25" s="43">
        <v>23.08</v>
      </c>
      <c r="E25" s="43">
        <v>0</v>
      </c>
      <c r="F25" s="43">
        <f t="shared" si="2"/>
        <v>1846.3999999999999</v>
      </c>
      <c r="O25" s="81">
        <v>1.04</v>
      </c>
      <c r="P25" s="81">
        <f t="shared" si="3"/>
        <v>17.804696000000003</v>
      </c>
    </row>
    <row r="26" spans="1:21" x14ac:dyDescent="0.25">
      <c r="A26" s="887"/>
      <c r="B26" s="368">
        <v>43319</v>
      </c>
      <c r="C26" s="7">
        <v>100</v>
      </c>
      <c r="D26" s="43">
        <v>21.72</v>
      </c>
      <c r="E26" s="43">
        <v>0</v>
      </c>
      <c r="F26" s="43">
        <f t="shared" si="2"/>
        <v>2172</v>
      </c>
      <c r="O26" s="81">
        <v>1.03</v>
      </c>
      <c r="P26" s="81">
        <f t="shared" si="3"/>
        <v>17.633497000000002</v>
      </c>
    </row>
    <row r="27" spans="1:21" x14ac:dyDescent="0.25">
      <c r="A27" s="887"/>
      <c r="B27" s="368">
        <v>43320</v>
      </c>
      <c r="C27" s="7">
        <v>200</v>
      </c>
      <c r="D27" s="43">
        <v>20.399999999999999</v>
      </c>
      <c r="E27" s="43">
        <v>0</v>
      </c>
      <c r="F27" s="43">
        <f t="shared" si="2"/>
        <v>4079.9999999999995</v>
      </c>
      <c r="O27" s="81">
        <v>1.02</v>
      </c>
      <c r="P27" s="81">
        <f t="shared" si="3"/>
        <v>17.462298000000001</v>
      </c>
    </row>
    <row r="28" spans="1:21" x14ac:dyDescent="0.25">
      <c r="B28" s="368">
        <v>43325</v>
      </c>
      <c r="C28" s="7">
        <v>500</v>
      </c>
      <c r="D28" s="43">
        <v>20.48</v>
      </c>
      <c r="E28" s="43">
        <v>0</v>
      </c>
      <c r="F28" s="43">
        <f t="shared" si="2"/>
        <v>10240</v>
      </c>
      <c r="O28" s="81">
        <v>1.01</v>
      </c>
      <c r="P28" s="81">
        <f t="shared" si="3"/>
        <v>17.291099000000003</v>
      </c>
      <c r="T28" s="693">
        <v>43136</v>
      </c>
      <c r="U28" t="s">
        <v>838</v>
      </c>
    </row>
    <row r="29" spans="1:21" x14ac:dyDescent="0.25">
      <c r="B29" s="368">
        <v>43347</v>
      </c>
      <c r="C29" s="7">
        <v>200</v>
      </c>
      <c r="D29" s="43">
        <v>21.28</v>
      </c>
      <c r="E29" s="43">
        <v>0</v>
      </c>
      <c r="F29" s="43">
        <f t="shared" si="2"/>
        <v>4256</v>
      </c>
      <c r="O29" s="81">
        <v>1</v>
      </c>
      <c r="P29" s="81">
        <f t="shared" si="3"/>
        <v>17.119900000000001</v>
      </c>
    </row>
    <row r="30" spans="1:21" ht="15" customHeight="1" x14ac:dyDescent="0.25">
      <c r="A30" s="888" t="s">
        <v>1275</v>
      </c>
      <c r="B30" s="368">
        <v>43367</v>
      </c>
      <c r="C30" s="7">
        <v>200</v>
      </c>
      <c r="D30" s="43">
        <v>20.98</v>
      </c>
      <c r="E30" s="43">
        <v>0</v>
      </c>
      <c r="F30" s="43">
        <f t="shared" si="2"/>
        <v>4196</v>
      </c>
      <c r="O30" s="81">
        <v>0.99</v>
      </c>
      <c r="P30" s="81">
        <f t="shared" si="3"/>
        <v>16.948701</v>
      </c>
      <c r="T30" s="1">
        <v>43175</v>
      </c>
      <c r="U30" t="s">
        <v>1088</v>
      </c>
    </row>
    <row r="31" spans="1:21" x14ac:dyDescent="0.25">
      <c r="A31" s="888"/>
      <c r="B31" s="72">
        <v>43367</v>
      </c>
      <c r="C31" s="7">
        <v>100</v>
      </c>
      <c r="D31" s="43">
        <v>20.315000000000001</v>
      </c>
      <c r="E31" s="43">
        <v>0</v>
      </c>
      <c r="F31" s="43">
        <f t="shared" si="2"/>
        <v>2031.5000000000002</v>
      </c>
      <c r="O31" s="81">
        <v>0.98</v>
      </c>
      <c r="P31" s="81">
        <f t="shared" si="3"/>
        <v>16.777502000000002</v>
      </c>
      <c r="T31" s="1">
        <v>43178</v>
      </c>
      <c r="U31" t="s">
        <v>935</v>
      </c>
    </row>
    <row r="32" spans="1:21" x14ac:dyDescent="0.25">
      <c r="A32" s="888"/>
      <c r="B32" s="72">
        <v>43378</v>
      </c>
      <c r="C32" s="7">
        <v>100</v>
      </c>
      <c r="D32" s="43">
        <v>19.39</v>
      </c>
      <c r="E32" s="43">
        <v>0</v>
      </c>
      <c r="F32" s="43">
        <f t="shared" si="2"/>
        <v>1939</v>
      </c>
      <c r="O32" s="81">
        <v>0.97</v>
      </c>
      <c r="P32" s="81">
        <f t="shared" si="3"/>
        <v>16.606303</v>
      </c>
    </row>
    <row r="33" spans="1:21" x14ac:dyDescent="0.25">
      <c r="A33" s="888"/>
      <c r="B33" s="72">
        <v>43378</v>
      </c>
      <c r="C33" s="7">
        <v>100</v>
      </c>
      <c r="D33" s="43">
        <v>18.75</v>
      </c>
      <c r="E33" s="43">
        <v>0</v>
      </c>
      <c r="F33" s="43">
        <f t="shared" si="2"/>
        <v>1875</v>
      </c>
      <c r="O33" s="81">
        <v>0.96</v>
      </c>
      <c r="P33" s="81">
        <f t="shared" si="3"/>
        <v>16.435103999999999</v>
      </c>
      <c r="T33" s="1">
        <v>43217</v>
      </c>
      <c r="U33" t="s">
        <v>1007</v>
      </c>
    </row>
    <row r="34" spans="1:21" x14ac:dyDescent="0.25">
      <c r="B34" s="404">
        <v>43511</v>
      </c>
      <c r="C34" s="4">
        <v>200</v>
      </c>
      <c r="D34" s="3">
        <v>17.68</v>
      </c>
      <c r="E34" s="3">
        <v>0</v>
      </c>
      <c r="F34" s="3">
        <f t="shared" si="2"/>
        <v>3536</v>
      </c>
      <c r="O34" s="81">
        <v>0.95</v>
      </c>
      <c r="P34" s="81">
        <f t="shared" si="3"/>
        <v>16.263905000000001</v>
      </c>
    </row>
    <row r="35" spans="1:21" x14ac:dyDescent="0.25">
      <c r="O35" s="81">
        <v>0.94</v>
      </c>
      <c r="P35" s="81">
        <f t="shared" si="3"/>
        <v>16.092706</v>
      </c>
      <c r="T35" s="1">
        <v>43224</v>
      </c>
      <c r="U35" t="s">
        <v>82</v>
      </c>
    </row>
    <row r="36" spans="1:21" x14ac:dyDescent="0.25">
      <c r="B36" s="4"/>
      <c r="C36" s="4"/>
      <c r="D36" s="3"/>
      <c r="E36" s="3"/>
      <c r="F36" s="3"/>
      <c r="O36" s="81">
        <v>0.93</v>
      </c>
      <c r="P36" s="81">
        <f t="shared" si="3"/>
        <v>15.921507000000002</v>
      </c>
    </row>
    <row r="37" spans="1:21" x14ac:dyDescent="0.25">
      <c r="O37" s="81">
        <v>0.92</v>
      </c>
      <c r="P37" s="81">
        <f t="shared" si="3"/>
        <v>15.750308000000002</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15.579109000000001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15.407910000000001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5" priority="95">
      <formula>F46&gt;0</formula>
    </cfRule>
    <cfRule type="expression" dxfId="534" priority="96">
      <formula>F46&lt;0</formula>
    </cfRule>
  </conditionalFormatting>
  <conditionalFormatting sqref="H46:H48">
    <cfRule type="expression" dxfId="533" priority="93">
      <formula>H46&gt;0</formula>
    </cfRule>
    <cfRule type="expression" dxfId="532" priority="94">
      <formula>H46&lt;0</formula>
    </cfRule>
  </conditionalFormatting>
  <conditionalFormatting sqref="H49">
    <cfRule type="expression" dxfId="531" priority="91">
      <formula>H49&gt;0</formula>
    </cfRule>
    <cfRule type="expression" dxfId="530" priority="92">
      <formula>H49&lt;0</formula>
    </cfRule>
  </conditionalFormatting>
  <conditionalFormatting sqref="H50">
    <cfRule type="expression" dxfId="529" priority="89">
      <formula>H50&gt;0</formula>
    </cfRule>
    <cfRule type="expression" dxfId="528" priority="90">
      <formula>H50&lt;0</formula>
    </cfRule>
  </conditionalFormatting>
  <conditionalFormatting sqref="F42:F45">
    <cfRule type="expression" dxfId="527" priority="85">
      <formula>F42&gt;0</formula>
    </cfRule>
    <cfRule type="expression" dxfId="526" priority="86">
      <formula>F42&lt;0</formula>
    </cfRule>
  </conditionalFormatting>
  <conditionalFormatting sqref="H42:H45">
    <cfRule type="expression" dxfId="525" priority="83">
      <formula>H42&gt;0</formula>
    </cfRule>
    <cfRule type="expression" dxfId="524" priority="84">
      <formula>H42&lt;0</formula>
    </cfRule>
  </conditionalFormatting>
  <conditionalFormatting sqref="F51:F52">
    <cfRule type="expression" dxfId="523" priority="79">
      <formula>F51&gt;0</formula>
    </cfRule>
    <cfRule type="expression" dxfId="522" priority="80">
      <formula>F51&lt;0</formula>
    </cfRule>
  </conditionalFormatting>
  <conditionalFormatting sqref="I46:L48">
    <cfRule type="expression" dxfId="521" priority="77">
      <formula>I46&gt;0</formula>
    </cfRule>
    <cfRule type="expression" dxfId="520" priority="78">
      <formula>I46&lt;0</formula>
    </cfRule>
  </conditionalFormatting>
  <conditionalFormatting sqref="I55:I60 I52:L53">
    <cfRule type="expression" dxfId="519" priority="71">
      <formula>I52&gt;0</formula>
    </cfRule>
    <cfRule type="expression" dxfId="518" priority="72">
      <formula>I52&lt;0</formula>
    </cfRule>
  </conditionalFormatting>
  <conditionalFormatting sqref="I42:L45">
    <cfRule type="expression" dxfId="517" priority="69">
      <formula>I42&gt;0</formula>
    </cfRule>
    <cfRule type="expression" dxfId="516" priority="70">
      <formula>I42&lt;0</formula>
    </cfRule>
  </conditionalFormatting>
  <conditionalFormatting sqref="F53:F64">
    <cfRule type="expression" dxfId="515" priority="67">
      <formula>F53&gt;0</formula>
    </cfRule>
    <cfRule type="expression" dxfId="514" priority="68">
      <formula>F53&lt;0</formula>
    </cfRule>
  </conditionalFormatting>
  <conditionalFormatting sqref="Q8">
    <cfRule type="expression" dxfId="513" priority="63">
      <formula>Q8&gt;0</formula>
    </cfRule>
    <cfRule type="expression" dxfId="512" priority="64">
      <formula>Q8&lt;0</formula>
    </cfRule>
  </conditionalFormatting>
  <conditionalFormatting sqref="Q7">
    <cfRule type="expression" dxfId="511" priority="65">
      <formula>Q7&gt;0</formula>
    </cfRule>
    <cfRule type="expression" dxfId="510" priority="66">
      <formula>Q7&lt;0</formula>
    </cfRule>
  </conditionalFormatting>
  <conditionalFormatting sqref="F142:F146">
    <cfRule type="expression" dxfId="509" priority="61">
      <formula>F142&gt;0</formula>
    </cfRule>
    <cfRule type="expression" dxfId="508" priority="62">
      <formula>F142&lt;0</formula>
    </cfRule>
  </conditionalFormatting>
  <conditionalFormatting sqref="H142:H144">
    <cfRule type="expression" dxfId="507" priority="59">
      <formula>H142&gt;0</formula>
    </cfRule>
    <cfRule type="expression" dxfId="506" priority="60">
      <formula>H142&lt;0</formula>
    </cfRule>
  </conditionalFormatting>
  <conditionalFormatting sqref="H145">
    <cfRule type="expression" dxfId="505" priority="57">
      <formula>H145&gt;0</formula>
    </cfRule>
    <cfRule type="expression" dxfId="504" priority="58">
      <formula>H145&lt;0</formula>
    </cfRule>
  </conditionalFormatting>
  <conditionalFormatting sqref="H146">
    <cfRule type="expression" dxfId="503" priority="55">
      <formula>H146&gt;0</formula>
    </cfRule>
    <cfRule type="expression" dxfId="502" priority="56">
      <formula>H146&lt;0</formula>
    </cfRule>
  </conditionalFormatting>
  <conditionalFormatting sqref="H147:H156">
    <cfRule type="expression" dxfId="501" priority="53">
      <formula>H147&gt;0</formula>
    </cfRule>
    <cfRule type="expression" dxfId="500" priority="54">
      <formula>H147&lt;0</formula>
    </cfRule>
  </conditionalFormatting>
  <conditionalFormatting sqref="F138:F141">
    <cfRule type="expression" dxfId="499" priority="51">
      <formula>F138&gt;0</formula>
    </cfRule>
    <cfRule type="expression" dxfId="498" priority="52">
      <formula>F138&lt;0</formula>
    </cfRule>
  </conditionalFormatting>
  <conditionalFormatting sqref="H138:H141">
    <cfRule type="expression" dxfId="497" priority="49">
      <formula>H138&gt;0</formula>
    </cfRule>
    <cfRule type="expression" dxfId="496" priority="50">
      <formula>H138&lt;0</formula>
    </cfRule>
  </conditionalFormatting>
  <conditionalFormatting sqref="F147:F148">
    <cfRule type="expression" dxfId="495" priority="47">
      <formula>F147&gt;0</formula>
    </cfRule>
    <cfRule type="expression" dxfId="494" priority="48">
      <formula>F147&lt;0</formula>
    </cfRule>
  </conditionalFormatting>
  <conditionalFormatting sqref="I142:I144">
    <cfRule type="expression" dxfId="493" priority="45">
      <formula>I142&gt;0</formula>
    </cfRule>
    <cfRule type="expression" dxfId="492" priority="46">
      <formula>I142&lt;0</formula>
    </cfRule>
  </conditionalFormatting>
  <conditionalFormatting sqref="I145">
    <cfRule type="expression" dxfId="491" priority="43">
      <formula>I145&gt;0</formula>
    </cfRule>
    <cfRule type="expression" dxfId="490" priority="44">
      <formula>I145&lt;0</formula>
    </cfRule>
  </conditionalFormatting>
  <conditionalFormatting sqref="I146">
    <cfRule type="expression" dxfId="489" priority="41">
      <formula>I146&gt;0</formula>
    </cfRule>
    <cfRule type="expression" dxfId="488" priority="42">
      <formula>I146&lt;0</formula>
    </cfRule>
  </conditionalFormatting>
  <conditionalFormatting sqref="I147:I156">
    <cfRule type="expression" dxfId="487" priority="39">
      <formula>I147&gt;0</formula>
    </cfRule>
    <cfRule type="expression" dxfId="486" priority="40">
      <formula>I147&lt;0</formula>
    </cfRule>
  </conditionalFormatting>
  <conditionalFormatting sqref="I138:I141">
    <cfRule type="expression" dxfId="485" priority="37">
      <formula>I138&gt;0</formula>
    </cfRule>
    <cfRule type="expression" dxfId="484" priority="38">
      <formula>I138&lt;0</formula>
    </cfRule>
  </conditionalFormatting>
  <conditionalFormatting sqref="F149">
    <cfRule type="expression" dxfId="483" priority="35">
      <formula>F149&gt;0</formula>
    </cfRule>
    <cfRule type="expression" dxfId="482" priority="36">
      <formula>F149&lt;0</formula>
    </cfRule>
  </conditionalFormatting>
  <conditionalFormatting sqref="F67:F69 H68:H69 H67:L67">
    <cfRule type="expression" dxfId="481" priority="33">
      <formula>F67&gt;0</formula>
    </cfRule>
    <cfRule type="expression" dxfId="480" priority="34">
      <formula>F67&lt;0</formula>
    </cfRule>
  </conditionalFormatting>
  <conditionalFormatting sqref="R4">
    <cfRule type="expression" dxfId="479" priority="31">
      <formula>R4&gt;0</formula>
    </cfRule>
    <cfRule type="expression" dxfId="478" priority="32">
      <formula>R4&lt;0</formula>
    </cfRule>
  </conditionalFormatting>
  <conditionalFormatting sqref="F73:F76 H73:K74 H75:J76">
    <cfRule type="expression" dxfId="477" priority="29">
      <formula>F73&gt;0</formula>
    </cfRule>
    <cfRule type="expression" dxfId="476" priority="30">
      <formula>F73&lt;0</formula>
    </cfRule>
  </conditionalFormatting>
  <conditionalFormatting sqref="H81:H85 F80:F85 H80:J80 J81:J85">
    <cfRule type="expression" dxfId="475" priority="25">
      <formula>F80&gt;0</formula>
    </cfRule>
    <cfRule type="expression" dxfId="474" priority="26">
      <formula>F80&lt;0</formula>
    </cfRule>
  </conditionalFormatting>
  <conditionalFormatting sqref="I93:J93">
    <cfRule type="expression" dxfId="473" priority="23">
      <formula>I93&gt;0</formula>
    </cfRule>
    <cfRule type="expression" dxfId="472" priority="24">
      <formula>I93&lt;0</formula>
    </cfRule>
  </conditionalFormatting>
  <conditionalFormatting sqref="H89:J90 J92:K92 J91 K75:K91 F89:F93 H91:H93 K93">
    <cfRule type="expression" dxfId="471" priority="21">
      <formula>F75&gt;0</formula>
    </cfRule>
    <cfRule type="expression" dxfId="470" priority="22">
      <formula>F75&lt;0</formula>
    </cfRule>
  </conditionalFormatting>
  <conditionalFormatting sqref="H87:J88 F86:F88 H86 J86">
    <cfRule type="expression" dxfId="469" priority="19">
      <formula>F86&gt;0</formula>
    </cfRule>
    <cfRule type="expression" dxfId="468" priority="20">
      <formula>F86&lt;0</formula>
    </cfRule>
  </conditionalFormatting>
  <conditionalFormatting sqref="H94:K98 F94:F98">
    <cfRule type="expression" dxfId="467" priority="15">
      <formula>F94&gt;0</formula>
    </cfRule>
    <cfRule type="expression" dxfId="466" priority="16">
      <formula>F94&lt;0</formula>
    </cfRule>
  </conditionalFormatting>
  <conditionalFormatting sqref="H107:K107 F107">
    <cfRule type="expression" dxfId="465" priority="13">
      <formula>F107&gt;0</formula>
    </cfRule>
    <cfRule type="expression" dxfId="464" priority="14">
      <formula>F107&lt;0</formula>
    </cfRule>
  </conditionalFormatting>
  <conditionalFormatting sqref="H102:K106 F102:F106">
    <cfRule type="expression" dxfId="463" priority="11">
      <formula>F102&gt;0</formula>
    </cfRule>
    <cfRule type="expression" dxfId="462" priority="12">
      <formula>F102&lt;0</formula>
    </cfRule>
  </conditionalFormatting>
  <conditionalFormatting sqref="H101:K101 F99:F101 H99:H100 J99:K100">
    <cfRule type="expression" dxfId="461" priority="9">
      <formula>F99&gt;0</formula>
    </cfRule>
    <cfRule type="expression" dxfId="460" priority="10">
      <formula>F99&lt;0</formula>
    </cfRule>
  </conditionalFormatting>
  <conditionalFormatting sqref="H108:K110 F108:F110">
    <cfRule type="expression" dxfId="459" priority="7">
      <formula>F108&gt;0</formula>
    </cfRule>
    <cfRule type="expression" dxfId="458" priority="8">
      <formula>F108&lt;0</formula>
    </cfRule>
  </conditionalFormatting>
  <conditionalFormatting sqref="H111:K113 F111:F113">
    <cfRule type="expression" dxfId="457" priority="5">
      <formula>F111&gt;0</formula>
    </cfRule>
    <cfRule type="expression" dxfId="456" priority="6">
      <formula>F111&lt;0</formula>
    </cfRule>
  </conditionalFormatting>
  <conditionalFormatting sqref="Q10">
    <cfRule type="expression" dxfId="455" priority="3">
      <formula>Q10&gt;0</formula>
    </cfRule>
    <cfRule type="expression" dxfId="454" priority="4">
      <formula>Q10&lt;0</formula>
    </cfRule>
  </conditionalFormatting>
  <conditionalFormatting sqref="F115:F116 H115:K116">
    <cfRule type="expression" dxfId="453" priority="1">
      <formula>F115&gt;0</formula>
    </cfRule>
    <cfRule type="expression" dxfId="452"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1" priority="11">
      <formula>Q8&gt;0</formula>
    </cfRule>
    <cfRule type="expression" dxfId="450" priority="12">
      <formula>Q8&lt;0</formula>
    </cfRule>
  </conditionalFormatting>
  <conditionalFormatting sqref="Q7">
    <cfRule type="expression" dxfId="449" priority="13">
      <formula>Q7&gt;0</formula>
    </cfRule>
    <cfRule type="expression" dxfId="448" priority="14">
      <formula>Q7&lt;0</formula>
    </cfRule>
  </conditionalFormatting>
  <conditionalFormatting sqref="F22">
    <cfRule type="expression" dxfId="447" priority="9">
      <formula>F22&gt;0</formula>
    </cfRule>
    <cfRule type="expression" dxfId="446" priority="10">
      <formula>F22&lt;0</formula>
    </cfRule>
  </conditionalFormatting>
  <conditionalFormatting sqref="H22">
    <cfRule type="expression" dxfId="445" priority="7">
      <formula>H22&gt;0</formula>
    </cfRule>
    <cfRule type="expression" dxfId="444" priority="8">
      <formula>H22&lt;0</formula>
    </cfRule>
  </conditionalFormatting>
  <conditionalFormatting sqref="F59">
    <cfRule type="expression" dxfId="443" priority="5">
      <formula>F59&gt;0</formula>
    </cfRule>
    <cfRule type="expression" dxfId="442" priority="6">
      <formula>F59&lt;0</formula>
    </cfRule>
  </conditionalFormatting>
  <conditionalFormatting sqref="H59">
    <cfRule type="expression" dxfId="441" priority="3">
      <formula>H59&gt;0</formula>
    </cfRule>
    <cfRule type="expression" dxfId="440" priority="4">
      <formula>H59&lt;0</formula>
    </cfRule>
  </conditionalFormatting>
  <conditionalFormatting sqref="M30">
    <cfRule type="expression" dxfId="439" priority="1">
      <formula>M30&gt;0</formula>
    </cfRule>
    <cfRule type="expression" dxfId="4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7" priority="19">
      <formula>F27&gt;0</formula>
    </cfRule>
    <cfRule type="expression" dxfId="436" priority="20">
      <formula>F27&lt;0</formula>
    </cfRule>
  </conditionalFormatting>
  <conditionalFormatting sqref="F37:F38">
    <cfRule type="expression" dxfId="435" priority="17">
      <formula>F37&gt;0</formula>
    </cfRule>
    <cfRule type="expression" dxfId="434" priority="18">
      <formula>F37&lt;0</formula>
    </cfRule>
  </conditionalFormatting>
  <conditionalFormatting sqref="H27:H32">
    <cfRule type="expression" dxfId="433" priority="15">
      <formula>H27&gt;0</formula>
    </cfRule>
    <cfRule type="expression" dxfId="432" priority="16">
      <formula>H27&lt;0</formula>
    </cfRule>
  </conditionalFormatting>
  <conditionalFormatting sqref="Q7">
    <cfRule type="expression" dxfId="431" priority="3">
      <formula>Q7&gt;0</formula>
    </cfRule>
    <cfRule type="expression" dxfId="430" priority="4">
      <formula>Q7&lt;0</formula>
    </cfRule>
  </conditionalFormatting>
  <conditionalFormatting sqref="Q8">
    <cfRule type="expression" dxfId="429" priority="1">
      <formula>Q8&gt;0</formula>
    </cfRule>
    <cfRule type="expression" dxfId="4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7" priority="25">
      <formula>F24&gt;0</formula>
    </cfRule>
    <cfRule type="expression" dxfId="426" priority="26">
      <formula>F24&lt;0</formula>
    </cfRule>
  </conditionalFormatting>
  <conditionalFormatting sqref="H21:H27">
    <cfRule type="expression" dxfId="425" priority="19">
      <formula>H21&gt;0</formula>
    </cfRule>
    <cfRule type="expression" dxfId="424" priority="20">
      <formula>H21&lt;0</formula>
    </cfRule>
  </conditionalFormatting>
  <conditionalFormatting sqref="F21:F23">
    <cfRule type="expression" dxfId="423" priority="5">
      <formula>F21&gt;0</formula>
    </cfRule>
    <cfRule type="expression" dxfId="422" priority="6">
      <formula>F21&lt;0</formula>
    </cfRule>
  </conditionalFormatting>
  <conditionalFormatting sqref="Q8">
    <cfRule type="expression" dxfId="421" priority="1">
      <formula>Q8&gt;0</formula>
    </cfRule>
    <cfRule type="expression" dxfId="420" priority="2">
      <formula>Q8&lt;0</formula>
    </cfRule>
  </conditionalFormatting>
  <conditionalFormatting sqref="Q7">
    <cfRule type="expression" dxfId="419" priority="3">
      <formula>Q7&gt;0</formula>
    </cfRule>
    <cfRule type="expression" dxfId="4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7" priority="11">
      <formula>F21&gt;0</formula>
    </cfRule>
    <cfRule type="expression" dxfId="416" priority="12">
      <formula>F21&lt;0</formula>
    </cfRule>
  </conditionalFormatting>
  <conditionalFormatting sqref="H21:H23">
    <cfRule type="expression" dxfId="415" priority="9">
      <formula>H21&gt;0</formula>
    </cfRule>
    <cfRule type="expression" dxfId="414" priority="10">
      <formula>H21&lt;0</formula>
    </cfRule>
  </conditionalFormatting>
  <conditionalFormatting sqref="Q8">
    <cfRule type="expression" dxfId="413" priority="1">
      <formula>Q8&gt;0</formula>
    </cfRule>
    <cfRule type="expression" dxfId="412" priority="2">
      <formula>Q8&lt;0</formula>
    </cfRule>
  </conditionalFormatting>
  <conditionalFormatting sqref="Q7">
    <cfRule type="expression" dxfId="411" priority="3">
      <formula>Q7&gt;0</formula>
    </cfRule>
    <cfRule type="expression" dxfId="4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09" priority="15">
      <formula>F29&gt;0</formula>
    </cfRule>
    <cfRule type="expression" dxfId="408" priority="16">
      <formula>F29&lt;0</formula>
    </cfRule>
  </conditionalFormatting>
  <conditionalFormatting sqref="F34:F62">
    <cfRule type="expression" dxfId="407" priority="11">
      <formula>F34&gt;0</formula>
    </cfRule>
    <cfRule type="expression" dxfId="406" priority="12">
      <formula>F34&lt;0</formula>
    </cfRule>
  </conditionalFormatting>
  <conditionalFormatting sqref="F34:F62">
    <cfRule type="expression" dxfId="405" priority="13">
      <formula>F34&gt;0</formula>
    </cfRule>
    <cfRule type="expression" dxfId="404" priority="14">
      <formula>F34&lt;0</formula>
    </cfRule>
  </conditionalFormatting>
  <conditionalFormatting sqref="H29:H62">
    <cfRule type="expression" dxfId="403" priority="9">
      <formula>H29&gt;0</formula>
    </cfRule>
    <cfRule type="expression" dxfId="402" priority="10">
      <formula>H29&lt;0</formula>
    </cfRule>
  </conditionalFormatting>
  <conditionalFormatting sqref="F25:F28">
    <cfRule type="expression" dxfId="401" priority="7">
      <formula>F25&gt;0</formula>
    </cfRule>
    <cfRule type="expression" dxfId="400" priority="8">
      <formula>F25&lt;0</formula>
    </cfRule>
  </conditionalFormatting>
  <conditionalFormatting sqref="H25:H28">
    <cfRule type="expression" dxfId="399" priority="5">
      <formula>H25&gt;0</formula>
    </cfRule>
    <cfRule type="expression" dxfId="398" priority="6">
      <formula>H25&lt;0</formula>
    </cfRule>
  </conditionalFormatting>
  <conditionalFormatting sqref="Q7">
    <cfRule type="expression" dxfId="397" priority="3">
      <formula>Q7&gt;0</formula>
    </cfRule>
    <cfRule type="expression" dxfId="396" priority="4">
      <formula>Q7&lt;0</formula>
    </cfRule>
  </conditionalFormatting>
  <conditionalFormatting sqref="Q8">
    <cfRule type="expression" dxfId="395" priority="1">
      <formula>Q8&gt;0</formula>
    </cfRule>
    <cfRule type="expression" dxfId="3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3" priority="87">
      <formula>F29&gt;0</formula>
    </cfRule>
    <cfRule type="expression" dxfId="392" priority="88">
      <formula>F29&lt;0</formula>
    </cfRule>
  </conditionalFormatting>
  <conditionalFormatting sqref="F57:F64 F66">
    <cfRule type="expression" dxfId="391" priority="83">
      <formula>F57&gt;0</formula>
    </cfRule>
    <cfRule type="expression" dxfId="390" priority="84">
      <formula>F57&lt;0</formula>
    </cfRule>
  </conditionalFormatting>
  <conditionalFormatting sqref="F57:F64 F66">
    <cfRule type="expression" dxfId="389" priority="85">
      <formula>F57&gt;0</formula>
    </cfRule>
    <cfRule type="expression" dxfId="388" priority="86">
      <formula>F57&lt;0</formula>
    </cfRule>
  </conditionalFormatting>
  <conditionalFormatting sqref="H57:H64 H66">
    <cfRule type="expression" dxfId="387" priority="81">
      <formula>H57&gt;0</formula>
    </cfRule>
    <cfRule type="expression" dxfId="386" priority="82">
      <formula>H57&lt;0</formula>
    </cfRule>
  </conditionalFormatting>
  <conditionalFormatting sqref="Q7">
    <cfRule type="expression" dxfId="385" priority="63">
      <formula>Q7&gt;0</formula>
    </cfRule>
    <cfRule type="expression" dxfId="384" priority="64">
      <formula>Q7&lt;0</formula>
    </cfRule>
  </conditionalFormatting>
  <conditionalFormatting sqref="Q8">
    <cfRule type="expression" dxfId="383" priority="61">
      <formula>Q8&gt;0</formula>
    </cfRule>
    <cfRule type="expression" dxfId="382" priority="62">
      <formula>Q8&lt;0</formula>
    </cfRule>
  </conditionalFormatting>
  <conditionalFormatting sqref="F93:F97 H93:H97 H99:H124 F99:F124">
    <cfRule type="expression" dxfId="381" priority="33">
      <formula>F93&gt;0</formula>
    </cfRule>
    <cfRule type="expression" dxfId="380" priority="34">
      <formula>F93&lt;0</formula>
    </cfRule>
  </conditionalFormatting>
  <conditionalFormatting sqref="F125:F132 F134">
    <cfRule type="expression" dxfId="379" priority="31">
      <formula>F125&gt;0</formula>
    </cfRule>
    <cfRule type="expression" dxfId="378" priority="32">
      <formula>F125&lt;0</formula>
    </cfRule>
  </conditionalFormatting>
  <conditionalFormatting sqref="M67">
    <cfRule type="expression" dxfId="377" priority="43">
      <formula>M67&gt;0</formula>
    </cfRule>
    <cfRule type="expression" dxfId="376" priority="44">
      <formula>M67&lt;0</formula>
    </cfRule>
  </conditionalFormatting>
  <conditionalFormatting sqref="F65">
    <cfRule type="expression" dxfId="375" priority="39">
      <formula>F65&gt;0</formula>
    </cfRule>
    <cfRule type="expression" dxfId="374" priority="40">
      <formula>F65&lt;0</formula>
    </cfRule>
  </conditionalFormatting>
  <conditionalFormatting sqref="F65">
    <cfRule type="expression" dxfId="373" priority="41">
      <formula>F65&gt;0</formula>
    </cfRule>
    <cfRule type="expression" dxfId="372" priority="42">
      <formula>F65&lt;0</formula>
    </cfRule>
  </conditionalFormatting>
  <conditionalFormatting sqref="H65">
    <cfRule type="expression" dxfId="371" priority="37">
      <formula>H65&gt;0</formula>
    </cfRule>
    <cfRule type="expression" dxfId="370" priority="38">
      <formula>H65&lt;0</formula>
    </cfRule>
  </conditionalFormatting>
  <conditionalFormatting sqref="F125:F132 F134">
    <cfRule type="expression" dxfId="369" priority="29">
      <formula>F125&gt;0</formula>
    </cfRule>
    <cfRule type="expression" dxfId="368" priority="30">
      <formula>F125&lt;0</formula>
    </cfRule>
  </conditionalFormatting>
  <conditionalFormatting sqref="H125:H132 H134">
    <cfRule type="expression" dxfId="367" priority="27">
      <formula>H125&gt;0</formula>
    </cfRule>
    <cfRule type="expression" dxfId="366" priority="28">
      <formula>H125&lt;0</formula>
    </cfRule>
  </conditionalFormatting>
  <conditionalFormatting sqref="F92">
    <cfRule type="expression" dxfId="365" priority="25">
      <formula>F92&gt;0</formula>
    </cfRule>
    <cfRule type="expression" dxfId="364" priority="26">
      <formula>F92&lt;0</formula>
    </cfRule>
  </conditionalFormatting>
  <conditionalFormatting sqref="H92">
    <cfRule type="expression" dxfId="363" priority="23">
      <formula>H92&gt;0</formula>
    </cfRule>
    <cfRule type="expression" dxfId="362" priority="24">
      <formula>H92&lt;0</formula>
    </cfRule>
  </conditionalFormatting>
  <conditionalFormatting sqref="F133">
    <cfRule type="expression" dxfId="361" priority="19">
      <formula>F133&gt;0</formula>
    </cfRule>
    <cfRule type="expression" dxfId="360" priority="20">
      <formula>F133&lt;0</formula>
    </cfRule>
  </conditionalFormatting>
  <conditionalFormatting sqref="F133">
    <cfRule type="expression" dxfId="359" priority="21">
      <formula>F133&gt;0</formula>
    </cfRule>
    <cfRule type="expression" dxfId="358" priority="22">
      <formula>F133&lt;0</formula>
    </cfRule>
  </conditionalFormatting>
  <conditionalFormatting sqref="H133">
    <cfRule type="expression" dxfId="357" priority="17">
      <formula>H133&gt;0</formula>
    </cfRule>
    <cfRule type="expression" dxfId="356" priority="18">
      <formula>H133&lt;0</formula>
    </cfRule>
  </conditionalFormatting>
  <conditionalFormatting sqref="F98 H98">
    <cfRule type="expression" dxfId="355" priority="15">
      <formula>F98&gt;0</formula>
    </cfRule>
    <cfRule type="expression" dxfId="354" priority="16">
      <formula>F98&lt;0</formula>
    </cfRule>
  </conditionalFormatting>
  <conditionalFormatting sqref="J25:J66">
    <cfRule type="expression" dxfId="353" priority="13">
      <formula>J25&gt;0</formula>
    </cfRule>
    <cfRule type="expression" dxfId="352" priority="14">
      <formula>J25&lt;0</formula>
    </cfRule>
  </conditionalFormatting>
  <conditionalFormatting sqref="K41 K45:K66">
    <cfRule type="expression" dxfId="351" priority="11">
      <formula>K41&gt;0</formula>
    </cfRule>
    <cfRule type="expression" dxfId="350" priority="12">
      <formula>K41&lt;0</formula>
    </cfRule>
  </conditionalFormatting>
  <conditionalFormatting sqref="L25">
    <cfRule type="expression" dxfId="349" priority="9">
      <formula>L25&gt;0</formula>
    </cfRule>
    <cfRule type="expression" dxfId="348" priority="10">
      <formula>L25&lt;0</formula>
    </cfRule>
  </conditionalFormatting>
  <conditionalFormatting sqref="F25:F28">
    <cfRule type="expression" dxfId="347" priority="7">
      <formula>F25&gt;0</formula>
    </cfRule>
    <cfRule type="expression" dxfId="346" priority="8">
      <formula>F25&lt;0</formula>
    </cfRule>
  </conditionalFormatting>
  <conditionalFormatting sqref="H25:H28">
    <cfRule type="expression" dxfId="345" priority="5">
      <formula>H25&gt;0</formula>
    </cfRule>
    <cfRule type="expression" dxfId="3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3" priority="65">
      <formula>F45&gt;0</formula>
    </cfRule>
    <cfRule type="expression" dxfId="3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1" priority="67">
      <formula>F44&gt;0</formula>
    </cfRule>
    <cfRule type="expression" dxfId="340" priority="68">
      <formula>F44&lt;0</formula>
    </cfRule>
  </conditionalFormatting>
  <conditionalFormatting sqref="F61:F91 F93:F102 F45:F59">
    <cfRule type="expression" dxfId="339" priority="63">
      <formula>F45&gt;0</formula>
    </cfRule>
    <cfRule type="expression" dxfId="338" priority="64">
      <formula>F45&lt;0</formula>
    </cfRule>
  </conditionalFormatting>
  <conditionalFormatting sqref="H61:H91 H93:H102 H43:H59">
    <cfRule type="expression" dxfId="337" priority="61">
      <formula>H43&gt;0</formula>
    </cfRule>
    <cfRule type="expression" dxfId="336" priority="62">
      <formula>H43&lt;0</formula>
    </cfRule>
  </conditionalFormatting>
  <conditionalFormatting sqref="F36:F43">
    <cfRule type="expression" dxfId="335" priority="59">
      <formula>F36&gt;0</formula>
    </cfRule>
    <cfRule type="expression" dxfId="334" priority="60">
      <formula>F36&lt;0</formula>
    </cfRule>
  </conditionalFormatting>
  <conditionalFormatting sqref="H36:H42">
    <cfRule type="expression" dxfId="333" priority="57">
      <formula>H36&gt;0</formula>
    </cfRule>
    <cfRule type="expression" dxfId="332" priority="58">
      <formula>H36&lt;0</formula>
    </cfRule>
  </conditionalFormatting>
  <conditionalFormatting sqref="Q7">
    <cfRule type="expression" dxfId="331" priority="51">
      <formula>Q7&gt;0</formula>
    </cfRule>
    <cfRule type="expression" dxfId="330" priority="52">
      <formula>Q7&lt;0</formula>
    </cfRule>
  </conditionalFormatting>
  <conditionalFormatting sqref="Q8">
    <cfRule type="expression" dxfId="329" priority="49">
      <formula>Q8&gt;0</formula>
    </cfRule>
    <cfRule type="expression" dxfId="328" priority="50">
      <formula>Q8&lt;0</formula>
    </cfRule>
  </conditionalFormatting>
  <conditionalFormatting sqref="Q10">
    <cfRule type="expression" dxfId="327" priority="47">
      <formula>Q10&gt;0</formula>
    </cfRule>
    <cfRule type="expression" dxfId="326" priority="48">
      <formula>Q10&lt;0</formula>
    </cfRule>
  </conditionalFormatting>
  <conditionalFormatting sqref="F60">
    <cfRule type="expression" dxfId="325" priority="45">
      <formula>F60&gt;0</formula>
    </cfRule>
    <cfRule type="expression" dxfId="324" priority="46">
      <formula>F60&lt;0</formula>
    </cfRule>
  </conditionalFormatting>
  <conditionalFormatting sqref="F60">
    <cfRule type="expression" dxfId="323" priority="43">
      <formula>F60&gt;0</formula>
    </cfRule>
    <cfRule type="expression" dxfId="322" priority="44">
      <formula>F60&lt;0</formula>
    </cfRule>
  </conditionalFormatting>
  <conditionalFormatting sqref="H60">
    <cfRule type="expression" dxfId="321" priority="41">
      <formula>H60&gt;0</formula>
    </cfRule>
    <cfRule type="expression" dxfId="320" priority="42">
      <formula>H60&lt;0</formula>
    </cfRule>
  </conditionalFormatting>
  <conditionalFormatting sqref="F92">
    <cfRule type="expression" dxfId="319" priority="39">
      <formula>F92&gt;0</formula>
    </cfRule>
    <cfRule type="expression" dxfId="318" priority="40">
      <formula>F92&lt;0</formula>
    </cfRule>
  </conditionalFormatting>
  <conditionalFormatting sqref="F92">
    <cfRule type="expression" dxfId="317" priority="37">
      <formula>F92&gt;0</formula>
    </cfRule>
    <cfRule type="expression" dxfId="316" priority="38">
      <formula>F92&lt;0</formula>
    </cfRule>
  </conditionalFormatting>
  <conditionalFormatting sqref="H92">
    <cfRule type="expression" dxfId="315" priority="35">
      <formula>H92&gt;0</formula>
    </cfRule>
    <cfRule type="expression" dxfId="314" priority="36">
      <formula>H92&lt;0</formula>
    </cfRule>
  </conditionalFormatting>
  <conditionalFormatting sqref="F169:F183 F185:F215 F217:F226">
    <cfRule type="expression" dxfId="313" priority="31">
      <formula>F169&gt;0</formula>
    </cfRule>
    <cfRule type="expression" dxfId="312" priority="32">
      <formula>F169&lt;0</formula>
    </cfRule>
  </conditionalFormatting>
  <conditionalFormatting sqref="F164:F168">
    <cfRule type="expression" dxfId="311" priority="33">
      <formula>F164&gt;0</formula>
    </cfRule>
    <cfRule type="expression" dxfId="310" priority="34">
      <formula>F164&lt;0</formula>
    </cfRule>
  </conditionalFormatting>
  <conditionalFormatting sqref="F169:F183 F185:F215 F217:F226">
    <cfRule type="expression" dxfId="309" priority="29">
      <formula>F169&gt;0</formula>
    </cfRule>
    <cfRule type="expression" dxfId="308" priority="30">
      <formula>F169&lt;0</formula>
    </cfRule>
  </conditionalFormatting>
  <conditionalFormatting sqref="H164:H183 H185:H215 H217:H226">
    <cfRule type="expression" dxfId="307" priority="27">
      <formula>H164&gt;0</formula>
    </cfRule>
    <cfRule type="expression" dxfId="306" priority="28">
      <formula>H164&lt;0</formula>
    </cfRule>
  </conditionalFormatting>
  <conditionalFormatting sqref="F160:F163">
    <cfRule type="expression" dxfId="305" priority="25">
      <formula>F160&gt;0</formula>
    </cfRule>
    <cfRule type="expression" dxfId="304" priority="26">
      <formula>F160&lt;0</formula>
    </cfRule>
  </conditionalFormatting>
  <conditionalFormatting sqref="H160:H163">
    <cfRule type="expression" dxfId="303" priority="23">
      <formula>H160&gt;0</formula>
    </cfRule>
    <cfRule type="expression" dxfId="302" priority="24">
      <formula>H160&lt;0</formula>
    </cfRule>
  </conditionalFormatting>
  <conditionalFormatting sqref="F184">
    <cfRule type="expression" dxfId="301" priority="21">
      <formula>F184&gt;0</formula>
    </cfRule>
    <cfRule type="expression" dxfId="300" priority="22">
      <formula>F184&lt;0</formula>
    </cfRule>
  </conditionalFormatting>
  <conditionalFormatting sqref="F184">
    <cfRule type="expression" dxfId="299" priority="19">
      <formula>F184&gt;0</formula>
    </cfRule>
    <cfRule type="expression" dxfId="298" priority="20">
      <formula>F184&lt;0</formula>
    </cfRule>
  </conditionalFormatting>
  <conditionalFormatting sqref="H184">
    <cfRule type="expression" dxfId="297" priority="17">
      <formula>H184&gt;0</formula>
    </cfRule>
    <cfRule type="expression" dxfId="296" priority="18">
      <formula>H184&lt;0</formula>
    </cfRule>
  </conditionalFormatting>
  <conditionalFormatting sqref="F216">
    <cfRule type="expression" dxfId="295" priority="15">
      <formula>F216&gt;0</formula>
    </cfRule>
    <cfRule type="expression" dxfId="294" priority="16">
      <formula>F216&lt;0</formula>
    </cfRule>
  </conditionalFormatting>
  <conditionalFormatting sqref="F216">
    <cfRule type="expression" dxfId="293" priority="13">
      <formula>F216&gt;0</formula>
    </cfRule>
    <cfRule type="expression" dxfId="292" priority="14">
      <formula>F216&lt;0</formula>
    </cfRule>
  </conditionalFormatting>
  <conditionalFormatting sqref="H216">
    <cfRule type="expression" dxfId="291" priority="11">
      <formula>H216&gt;0</formula>
    </cfRule>
    <cfRule type="expression" dxfId="290" priority="12">
      <formula>H216&lt;0</formula>
    </cfRule>
  </conditionalFormatting>
  <conditionalFormatting sqref="J38:J39">
    <cfRule type="expression" dxfId="289" priority="9">
      <formula>J38&gt;0</formula>
    </cfRule>
    <cfRule type="expression" dxfId="288" priority="10">
      <formula>J38&lt;0</formula>
    </cfRule>
  </conditionalFormatting>
  <conditionalFormatting sqref="J41:J54">
    <cfRule type="expression" dxfId="287" priority="7">
      <formula>J41&gt;0</formula>
    </cfRule>
    <cfRule type="expression" dxfId="286" priority="8">
      <formula>J41&lt;0</formula>
    </cfRule>
  </conditionalFormatting>
  <conditionalFormatting sqref="J55">
    <cfRule type="expression" dxfId="285" priority="3">
      <formula>J55&gt;0</formula>
    </cfRule>
    <cfRule type="expression" dxfId="284" priority="4">
      <formula>J55&lt;0</formula>
    </cfRule>
  </conditionalFormatting>
  <conditionalFormatting sqref="J56">
    <cfRule type="expression" dxfId="283" priority="1">
      <formula>J56&gt;0</formula>
    </cfRule>
    <cfRule type="expression" dxfId="2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16.940000000000001</v>
      </c>
      <c r="R4" s="424">
        <v>-3.7499999999999999E-2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6776.0000000000009</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337.57999999999902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52.609999999994216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7.8249216541051714E-3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M61</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6.9142857142857146</v>
      </c>
      <c r="U13" t="s">
        <v>1023</v>
      </c>
    </row>
    <row r="14" spans="1:29" x14ac:dyDescent="0.25">
      <c r="C14" s="4"/>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18.634000000000004</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18.464600000000004</v>
      </c>
      <c r="U18" t="s">
        <v>1052</v>
      </c>
    </row>
    <row r="19" spans="1:21" x14ac:dyDescent="0.25">
      <c r="O19" s="81">
        <v>1.08</v>
      </c>
      <c r="P19" s="81">
        <f t="shared" si="2"/>
        <v>18.295200000000001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18.125800000000002</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17.956400000000002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17.787000000000003</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17.617600000000003</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17.448200000000003</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17.2788</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17.109400000000001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16.940000000000001</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16.770600000000002</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16.601200000000002</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16.431799999999999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16.2624</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16.093</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15.9236</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15.754200000000003</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15.584800000000001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15.415400000000002</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15.246000000000002</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 t="shared" ref="F57" si="14">C57*(E57-D57)</f>
        <v>1100</v>
      </c>
      <c r="G57" s="39">
        <f t="shared" ref="G57" si="15">D57*C57</f>
        <v>6723.9999999999991</v>
      </c>
      <c r="H57" s="180">
        <f t="shared" ref="H57" si="16">(E57-D57)/D57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Q60" s="81"/>
    </row>
    <row r="61" spans="1:18" x14ac:dyDescent="0.25">
      <c r="L61" t="s">
        <v>205</v>
      </c>
      <c r="M61" s="2">
        <f>M80+K80-F80</f>
        <v>284.9700000000048</v>
      </c>
      <c r="Q61" s="81"/>
    </row>
    <row r="62" spans="1:18" x14ac:dyDescent="0.25">
      <c r="A62" s="304" t="s">
        <v>1</v>
      </c>
      <c r="B62" s="304" t="s">
        <v>2</v>
      </c>
      <c r="C62" s="304" t="s">
        <v>4</v>
      </c>
      <c r="D62" s="306" t="s">
        <v>5</v>
      </c>
      <c r="E62" s="306" t="s">
        <v>94</v>
      </c>
      <c r="F62" s="306" t="s">
        <v>60</v>
      </c>
      <c r="G62" s="304" t="s">
        <v>3</v>
      </c>
      <c r="H62" s="304" t="s">
        <v>6</v>
      </c>
      <c r="I62" s="306" t="s">
        <v>7</v>
      </c>
      <c r="J62" s="306" t="s">
        <v>95</v>
      </c>
      <c r="K62" s="306" t="s">
        <v>61</v>
      </c>
      <c r="L62" s="304" t="s">
        <v>77</v>
      </c>
      <c r="M62" s="304" t="s">
        <v>38</v>
      </c>
      <c r="Q62" s="81"/>
    </row>
    <row r="63" spans="1:18" x14ac:dyDescent="0.25">
      <c r="A63" s="307" t="s">
        <v>321</v>
      </c>
      <c r="B63" s="368">
        <v>42746</v>
      </c>
      <c r="C63" s="7">
        <v>80</v>
      </c>
      <c r="D63" s="43">
        <v>34.020000000000003</v>
      </c>
      <c r="E63" s="43">
        <v>0</v>
      </c>
      <c r="F63" s="43">
        <f t="shared" ref="F63:F71" si="17">C63*D63+E63</f>
        <v>2721.6000000000004</v>
      </c>
      <c r="G63" s="368">
        <v>42760</v>
      </c>
      <c r="H63" s="80">
        <v>80</v>
      </c>
      <c r="I63" s="43">
        <v>33.68</v>
      </c>
      <c r="J63" s="43">
        <v>0.06</v>
      </c>
      <c r="K63" s="43">
        <f t="shared" ref="K63:K71" si="18">H63*I63-J63</f>
        <v>2694.34</v>
      </c>
      <c r="L63" s="72">
        <v>42908</v>
      </c>
      <c r="M63" s="43">
        <v>54.4</v>
      </c>
      <c r="Q63" s="81"/>
    </row>
    <row r="64" spans="1:18" x14ac:dyDescent="0.25">
      <c r="A64" s="308" t="s">
        <v>71</v>
      </c>
      <c r="B64" s="368">
        <v>42758</v>
      </c>
      <c r="C64" s="7">
        <v>40</v>
      </c>
      <c r="D64" s="43">
        <v>32.28</v>
      </c>
      <c r="E64" s="43">
        <v>0</v>
      </c>
      <c r="F64" s="43">
        <f t="shared" si="17"/>
        <v>1291.2</v>
      </c>
      <c r="G64" s="368">
        <v>42766</v>
      </c>
      <c r="H64" s="80">
        <v>40</v>
      </c>
      <c r="I64" s="43">
        <v>31.8</v>
      </c>
      <c r="J64" s="43">
        <v>0.03</v>
      </c>
      <c r="K64" s="43">
        <f t="shared" si="18"/>
        <v>1271.97</v>
      </c>
      <c r="L64" s="72">
        <v>42908</v>
      </c>
      <c r="M64" s="43">
        <v>-8.16</v>
      </c>
      <c r="O64" s="33"/>
    </row>
    <row r="65" spans="1:15" x14ac:dyDescent="0.25">
      <c r="A65" s="298"/>
      <c r="B65" s="368">
        <v>42843</v>
      </c>
      <c r="C65" s="7">
        <v>80</v>
      </c>
      <c r="D65" s="43">
        <v>31.08</v>
      </c>
      <c r="E65" s="43">
        <v>0</v>
      </c>
      <c r="F65" s="43">
        <f t="shared" si="17"/>
        <v>2486.3999999999996</v>
      </c>
      <c r="G65" s="368">
        <v>42901</v>
      </c>
      <c r="H65" s="80">
        <v>80</v>
      </c>
      <c r="I65" s="43">
        <v>31.3</v>
      </c>
      <c r="J65" s="43">
        <v>0.05</v>
      </c>
      <c r="K65" s="43">
        <f t="shared" si="18"/>
        <v>2503.9499999999998</v>
      </c>
      <c r="L65" s="72">
        <v>42992</v>
      </c>
      <c r="M65" s="43">
        <v>15.3</v>
      </c>
    </row>
    <row r="66" spans="1:15" x14ac:dyDescent="0.25">
      <c r="A66" s="298"/>
      <c r="B66" s="368">
        <v>42873</v>
      </c>
      <c r="C66" s="7">
        <v>80</v>
      </c>
      <c r="D66" s="43">
        <v>29.68</v>
      </c>
      <c r="E66" s="43">
        <v>0</v>
      </c>
      <c r="F66" s="43">
        <f t="shared" si="17"/>
        <v>2374.4</v>
      </c>
      <c r="G66" s="368">
        <v>42989</v>
      </c>
      <c r="H66" s="80">
        <v>100</v>
      </c>
      <c r="I66" s="43">
        <v>18.559999999999999</v>
      </c>
      <c r="J66" s="43">
        <v>0.04</v>
      </c>
      <c r="K66" s="43">
        <f t="shared" si="18"/>
        <v>1855.9599999999998</v>
      </c>
      <c r="L66" s="72">
        <v>42992</v>
      </c>
      <c r="M66" s="43">
        <v>-2.2999999999999998</v>
      </c>
    </row>
    <row r="67" spans="1:15" x14ac:dyDescent="0.25">
      <c r="A67" s="298"/>
      <c r="B67" s="368">
        <v>42957</v>
      </c>
      <c r="C67" s="7">
        <v>100</v>
      </c>
      <c r="D67" s="43">
        <v>17.28</v>
      </c>
      <c r="E67" s="43">
        <v>0</v>
      </c>
      <c r="F67" s="43">
        <f t="shared" si="17"/>
        <v>1728</v>
      </c>
      <c r="G67" s="368">
        <v>43010</v>
      </c>
      <c r="H67" s="80">
        <v>80</v>
      </c>
      <c r="I67" s="43">
        <v>18.68</v>
      </c>
      <c r="J67" s="43">
        <v>0.03</v>
      </c>
      <c r="K67" s="43">
        <f t="shared" si="18"/>
        <v>1494.3700000000001</v>
      </c>
      <c r="L67" s="72">
        <v>43082</v>
      </c>
      <c r="M67" s="7">
        <f>23.8-3.57</f>
        <v>20.23</v>
      </c>
    </row>
    <row r="68" spans="1:15" x14ac:dyDescent="0.25">
      <c r="A68" s="298"/>
      <c r="B68" s="368">
        <v>42996</v>
      </c>
      <c r="C68" s="7">
        <v>100</v>
      </c>
      <c r="D68" s="43">
        <v>17.68</v>
      </c>
      <c r="E68" s="43">
        <v>0</v>
      </c>
      <c r="F68" s="43">
        <f t="shared" si="17"/>
        <v>1768</v>
      </c>
      <c r="G68" s="368">
        <v>43045</v>
      </c>
      <c r="H68" s="80">
        <v>200</v>
      </c>
      <c r="I68" s="43">
        <v>12.08</v>
      </c>
      <c r="J68" s="43">
        <v>0.06</v>
      </c>
      <c r="K68" s="43">
        <f t="shared" si="18"/>
        <v>2415.94</v>
      </c>
      <c r="L68" s="4"/>
      <c r="M68" s="4"/>
    </row>
    <row r="69" spans="1:15" x14ac:dyDescent="0.25">
      <c r="A69" s="298"/>
      <c r="B69" s="368">
        <v>43011</v>
      </c>
      <c r="C69" s="7">
        <v>80</v>
      </c>
      <c r="D69" s="43">
        <v>17.95</v>
      </c>
      <c r="E69" s="43">
        <v>0</v>
      </c>
      <c r="F69" s="43">
        <f t="shared" si="17"/>
        <v>1436</v>
      </c>
      <c r="G69" s="368">
        <v>43070</v>
      </c>
      <c r="H69" s="80">
        <v>80</v>
      </c>
      <c r="I69" s="43">
        <v>15.27</v>
      </c>
      <c r="J69" s="43">
        <v>0.03</v>
      </c>
      <c r="K69" s="43">
        <f t="shared" si="18"/>
        <v>1221.57</v>
      </c>
      <c r="O69" s="33"/>
    </row>
    <row r="70" spans="1:15" x14ac:dyDescent="0.25">
      <c r="A70" s="298"/>
      <c r="B70" s="368">
        <v>43013</v>
      </c>
      <c r="C70" s="7">
        <v>100</v>
      </c>
      <c r="D70" s="43">
        <v>15.8</v>
      </c>
      <c r="E70" s="43">
        <v>0</v>
      </c>
      <c r="F70" s="43">
        <f t="shared" si="17"/>
        <v>1580</v>
      </c>
      <c r="G70" s="368">
        <v>43111</v>
      </c>
      <c r="H70" s="80">
        <v>100</v>
      </c>
      <c r="I70" s="43">
        <v>21.31</v>
      </c>
      <c r="J70" s="43">
        <v>-0.05</v>
      </c>
      <c r="K70" s="43">
        <f t="shared" si="18"/>
        <v>2131.0500000000002</v>
      </c>
    </row>
    <row r="71" spans="1:15" x14ac:dyDescent="0.25">
      <c r="A71" s="298"/>
      <c r="B71" s="368">
        <v>43041</v>
      </c>
      <c r="C71" s="7">
        <v>200</v>
      </c>
      <c r="D71" s="43">
        <v>11.28</v>
      </c>
      <c r="E71" s="43">
        <v>0</v>
      </c>
      <c r="F71" s="43">
        <f t="shared" si="17"/>
        <v>2256</v>
      </c>
      <c r="G71" s="368">
        <v>43112</v>
      </c>
      <c r="H71" s="80">
        <v>100</v>
      </c>
      <c r="I71" s="43">
        <v>22.58</v>
      </c>
      <c r="J71" s="43">
        <v>0.05</v>
      </c>
      <c r="K71" s="43">
        <f t="shared" si="18"/>
        <v>2257.9499999999998</v>
      </c>
    </row>
    <row r="72" spans="1:15" x14ac:dyDescent="0.25">
      <c r="A72" s="298"/>
      <c r="B72" s="298"/>
      <c r="C72" s="298"/>
      <c r="D72" s="299"/>
      <c r="E72" s="299"/>
      <c r="F72" s="299"/>
      <c r="G72" s="298"/>
      <c r="H72" s="298"/>
      <c r="I72" s="299"/>
      <c r="J72" s="299"/>
      <c r="K72" s="299"/>
      <c r="L72" s="298"/>
      <c r="M72" s="298"/>
    </row>
    <row r="73" spans="1:15" x14ac:dyDescent="0.25">
      <c r="A73" s="298"/>
      <c r="B73" s="298"/>
      <c r="C73" s="298"/>
      <c r="D73" s="299"/>
      <c r="E73" s="299"/>
      <c r="F73" s="299"/>
      <c r="G73" s="298"/>
      <c r="H73" s="298"/>
      <c r="I73" s="299"/>
      <c r="J73" s="299"/>
      <c r="K73" s="299"/>
      <c r="L73" s="298"/>
      <c r="M73" s="298"/>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35" t="s">
        <v>81</v>
      </c>
      <c r="B80" s="36"/>
      <c r="C80" s="36">
        <f>SUM(C63:C79)</f>
        <v>860</v>
      </c>
      <c r="D80" s="37"/>
      <c r="E80" s="37"/>
      <c r="F80" s="37">
        <f>SUM(F63:F79)</f>
        <v>17641.599999999999</v>
      </c>
      <c r="G80" s="36"/>
      <c r="H80" s="160">
        <f>SUM(H63:H79)</f>
        <v>860</v>
      </c>
      <c r="I80" s="37"/>
      <c r="J80" s="37"/>
      <c r="K80" s="37">
        <f>SUM(K63:K79)</f>
        <v>17847.100000000002</v>
      </c>
      <c r="L80" s="37"/>
      <c r="M80" s="37">
        <f>SUM(M63:M79)</f>
        <v>79.47</v>
      </c>
    </row>
    <row r="81" spans="1:9" x14ac:dyDescent="0.25">
      <c r="G81" s="2"/>
    </row>
    <row r="85" spans="1:9" x14ac:dyDescent="0.25">
      <c r="A85" s="675" t="s">
        <v>224</v>
      </c>
      <c r="B85" s="675" t="s">
        <v>113</v>
      </c>
      <c r="C85" s="675" t="s">
        <v>145</v>
      </c>
      <c r="D85" s="676" t="s">
        <v>144</v>
      </c>
      <c r="E85" s="677" t="s">
        <v>146</v>
      </c>
      <c r="F85" s="678" t="s">
        <v>65</v>
      </c>
      <c r="G85" s="679" t="s">
        <v>150</v>
      </c>
      <c r="H85" s="678" t="s">
        <v>88</v>
      </c>
      <c r="I85" s="678" t="s">
        <v>153</v>
      </c>
    </row>
    <row r="86" spans="1:9" x14ac:dyDescent="0.25">
      <c r="A86" s="680"/>
      <c r="B86" s="681"/>
      <c r="C86" s="680"/>
      <c r="D86" s="682"/>
      <c r="E86" s="682"/>
      <c r="F86" s="682"/>
      <c r="G86" s="682"/>
      <c r="H86" s="683"/>
      <c r="I86" s="683"/>
    </row>
    <row r="87" spans="1:9" x14ac:dyDescent="0.25">
      <c r="A87" s="680"/>
      <c r="B87" s="681">
        <v>42746</v>
      </c>
      <c r="C87" s="680">
        <v>80</v>
      </c>
      <c r="D87" s="682">
        <v>34.020000000000003</v>
      </c>
      <c r="E87" s="682">
        <v>34.28</v>
      </c>
      <c r="F87" s="682">
        <f>C87*(E87-D87)</f>
        <v>20.799999999999841</v>
      </c>
      <c r="G87" s="682">
        <f>D87*C87</f>
        <v>2721.6000000000004</v>
      </c>
      <c r="H87" s="683">
        <f>(E87-D87)/D87</f>
        <v>7.6425631981186948E-3</v>
      </c>
      <c r="I87" s="683"/>
    </row>
    <row r="88" spans="1:9" x14ac:dyDescent="0.25">
      <c r="A88" s="680"/>
      <c r="B88" s="681">
        <v>42758</v>
      </c>
      <c r="C88" s="680">
        <v>120</v>
      </c>
      <c r="D88" s="682">
        <v>33.44</v>
      </c>
      <c r="E88" s="682">
        <v>32.71</v>
      </c>
      <c r="F88" s="682">
        <f>C88*(E88-D88)</f>
        <v>-87.599999999999625</v>
      </c>
      <c r="G88" s="682">
        <f>D88*C88</f>
        <v>4012.7999999999997</v>
      </c>
      <c r="H88" s="683">
        <f>(E88-D88)/D88</f>
        <v>-2.1830143540669766E-2</v>
      </c>
      <c r="I88" s="683"/>
    </row>
    <row r="89" spans="1:9" x14ac:dyDescent="0.25">
      <c r="A89" s="680" t="s">
        <v>352</v>
      </c>
      <c r="B89" s="681">
        <v>42760</v>
      </c>
      <c r="C89" s="680">
        <v>40</v>
      </c>
      <c r="D89" s="682">
        <v>32.961500000000001</v>
      </c>
      <c r="E89" s="682">
        <v>33.68</v>
      </c>
      <c r="F89" s="682">
        <f>C89*(E89-D89)</f>
        <v>28.739999999999952</v>
      </c>
      <c r="G89" s="682">
        <f>D89*C89</f>
        <v>1318.46</v>
      </c>
      <c r="H89" s="683">
        <f>(E89-D89)/D89</f>
        <v>2.1798158457594429E-2</v>
      </c>
      <c r="I89" s="683"/>
    </row>
    <row r="90" spans="1:9" x14ac:dyDescent="0.25">
      <c r="A90" s="680"/>
      <c r="B90" s="681">
        <v>42766</v>
      </c>
      <c r="C90" s="680">
        <v>0</v>
      </c>
      <c r="D90" s="682"/>
      <c r="E90" s="682"/>
      <c r="F90" s="682">
        <v>-46.49</v>
      </c>
      <c r="G90" s="682"/>
      <c r="H90" s="683"/>
      <c r="I90" s="683"/>
    </row>
    <row r="91" spans="1:9" x14ac:dyDescent="0.25">
      <c r="A91" s="680">
        <v>0</v>
      </c>
      <c r="B91" s="681">
        <v>42843</v>
      </c>
      <c r="C91" s="680">
        <v>80</v>
      </c>
      <c r="D91" s="682">
        <v>31.661100000000001</v>
      </c>
      <c r="E91" s="682">
        <v>30.99</v>
      </c>
      <c r="F91" s="682">
        <f t="shared" ref="F91:F110" si="19">C91*(E91-D91)</f>
        <v>-53.688000000000216</v>
      </c>
      <c r="G91" s="682">
        <f t="shared" ref="G91:G110" si="20">D91*C91</f>
        <v>2532.8879999999999</v>
      </c>
      <c r="H91" s="683">
        <f t="shared" ref="H91:H110" si="21">(E91-D91)/D91</f>
        <v>-2.1196357675507253E-2</v>
      </c>
      <c r="I91" s="684"/>
    </row>
    <row r="92" spans="1:9" x14ac:dyDescent="0.25">
      <c r="A92" s="680">
        <v>0</v>
      </c>
      <c r="B92" s="681">
        <v>42873</v>
      </c>
      <c r="C92" s="680">
        <v>160</v>
      </c>
      <c r="D92" s="682">
        <v>30.6706</v>
      </c>
      <c r="E92" s="682">
        <v>29.73</v>
      </c>
      <c r="F92" s="682">
        <f t="shared" si="19"/>
        <v>-150.49599999999998</v>
      </c>
      <c r="G92" s="682">
        <f t="shared" si="20"/>
        <v>4907.2960000000003</v>
      </c>
      <c r="H92" s="684">
        <f t="shared" si="21"/>
        <v>-3.0667805651014322E-2</v>
      </c>
      <c r="I92" s="684"/>
    </row>
    <row r="93" spans="1:9" x14ac:dyDescent="0.25">
      <c r="A93" s="680"/>
      <c r="B93" s="681">
        <v>42901</v>
      </c>
      <c r="C93" s="680">
        <v>80</v>
      </c>
      <c r="D93" s="682">
        <v>30.041799999999999</v>
      </c>
      <c r="E93" s="682">
        <v>30.43</v>
      </c>
      <c r="F93" s="682">
        <f t="shared" si="19"/>
        <v>31.056000000000097</v>
      </c>
      <c r="G93" s="682">
        <f t="shared" si="20"/>
        <v>2403.3440000000001</v>
      </c>
      <c r="H93" s="684">
        <f t="shared" si="21"/>
        <v>1.2921995353141331E-2</v>
      </c>
      <c r="I93" s="684"/>
    </row>
    <row r="94" spans="1:9" x14ac:dyDescent="0.25">
      <c r="A94" s="680">
        <v>80</v>
      </c>
      <c r="B94" s="681">
        <v>42917</v>
      </c>
      <c r="C94" s="680">
        <v>80</v>
      </c>
      <c r="D94" s="682">
        <v>29.463799999999999</v>
      </c>
      <c r="E94" s="682">
        <v>33.22</v>
      </c>
      <c r="F94" s="682">
        <f t="shared" si="19"/>
        <v>300.49599999999998</v>
      </c>
      <c r="G94" s="682">
        <f t="shared" si="20"/>
        <v>2357.1039999999998</v>
      </c>
      <c r="H94" s="684">
        <f t="shared" si="21"/>
        <v>0.12748525309023276</v>
      </c>
      <c r="I94" s="684"/>
    </row>
    <row r="95" spans="1:9" x14ac:dyDescent="0.25">
      <c r="A95" s="680">
        <v>80</v>
      </c>
      <c r="B95" s="681">
        <v>42957</v>
      </c>
      <c r="C95" s="680">
        <v>180</v>
      </c>
      <c r="D95" s="682">
        <v>22.695</v>
      </c>
      <c r="E95" s="682">
        <v>17.190000000000001</v>
      </c>
      <c r="F95" s="682">
        <f t="shared" si="19"/>
        <v>-990.89999999999986</v>
      </c>
      <c r="G95" s="682">
        <f t="shared" si="20"/>
        <v>4085.1</v>
      </c>
      <c r="H95" s="684">
        <f t="shared" si="21"/>
        <v>-0.24256444150693982</v>
      </c>
      <c r="I95" s="684"/>
    </row>
    <row r="96" spans="1:9" x14ac:dyDescent="0.25">
      <c r="A96" s="680">
        <v>80</v>
      </c>
      <c r="B96" s="681">
        <v>42983</v>
      </c>
      <c r="C96" s="680">
        <v>180</v>
      </c>
      <c r="D96" s="682">
        <v>22.695</v>
      </c>
      <c r="E96" s="682">
        <v>15.41</v>
      </c>
      <c r="F96" s="682">
        <f t="shared" si="19"/>
        <v>-1311.3</v>
      </c>
      <c r="G96" s="682">
        <f t="shared" si="20"/>
        <v>4085.1</v>
      </c>
      <c r="H96" s="684">
        <f t="shared" si="21"/>
        <v>-0.32099581405595945</v>
      </c>
      <c r="I96" s="684"/>
    </row>
    <row r="97" spans="1:9" x14ac:dyDescent="0.25">
      <c r="A97" s="680">
        <v>80</v>
      </c>
      <c r="B97" s="681">
        <v>42989</v>
      </c>
      <c r="C97" s="680">
        <v>80</v>
      </c>
      <c r="D97" s="682">
        <v>27.8643</v>
      </c>
      <c r="E97" s="682">
        <v>18.5</v>
      </c>
      <c r="F97" s="682">
        <f t="shared" si="19"/>
        <v>-749.14400000000001</v>
      </c>
      <c r="G97" s="682">
        <f t="shared" si="20"/>
        <v>2229.1440000000002</v>
      </c>
      <c r="H97" s="684">
        <f t="shared" si="21"/>
        <v>-0.33606801534580089</v>
      </c>
      <c r="I97" s="684"/>
    </row>
    <row r="98" spans="1:9" x14ac:dyDescent="0.25">
      <c r="A98" s="680">
        <v>80</v>
      </c>
      <c r="B98" s="681">
        <v>42996</v>
      </c>
      <c r="C98" s="680">
        <v>180</v>
      </c>
      <c r="D98" s="682">
        <v>22.1341</v>
      </c>
      <c r="E98" s="682">
        <v>16.989999999999998</v>
      </c>
      <c r="F98" s="682">
        <f t="shared" si="19"/>
        <v>-925.93800000000033</v>
      </c>
      <c r="G98" s="682">
        <f t="shared" si="20"/>
        <v>3984.1379999999999</v>
      </c>
      <c r="H98" s="684">
        <f t="shared" si="21"/>
        <v>-0.23240610641498871</v>
      </c>
      <c r="I98" s="684"/>
    </row>
    <row r="99" spans="1:9" x14ac:dyDescent="0.25">
      <c r="A99" s="680">
        <v>0</v>
      </c>
      <c r="B99" s="681">
        <v>43010</v>
      </c>
      <c r="C99" s="680">
        <v>100</v>
      </c>
      <c r="D99" s="682">
        <v>24.8977</v>
      </c>
      <c r="E99" s="682">
        <v>18.47</v>
      </c>
      <c r="F99" s="682">
        <f t="shared" si="19"/>
        <v>-642.77000000000021</v>
      </c>
      <c r="G99" s="682">
        <f t="shared" si="20"/>
        <v>2489.77</v>
      </c>
      <c r="H99" s="684">
        <f t="shared" si="21"/>
        <v>-0.25816440876064861</v>
      </c>
      <c r="I99" s="684"/>
    </row>
    <row r="100" spans="1:9" x14ac:dyDescent="0.25">
      <c r="A100" s="680">
        <v>0</v>
      </c>
      <c r="B100" s="681">
        <v>43011</v>
      </c>
      <c r="C100" s="680">
        <v>180</v>
      </c>
      <c r="D100" s="682">
        <v>21.809799999999999</v>
      </c>
      <c r="E100" s="682">
        <v>18.82</v>
      </c>
      <c r="F100" s="682">
        <f t="shared" si="19"/>
        <v>-538.16399999999976</v>
      </c>
      <c r="G100" s="682">
        <f t="shared" si="20"/>
        <v>3925.7639999999997</v>
      </c>
      <c r="H100" s="684">
        <f t="shared" si="21"/>
        <v>-0.13708516355033054</v>
      </c>
      <c r="I100" s="682">
        <v>21.5</v>
      </c>
    </row>
    <row r="101" spans="1:9" x14ac:dyDescent="0.25">
      <c r="A101" s="680">
        <v>0</v>
      </c>
      <c r="B101" s="681">
        <v>43012</v>
      </c>
      <c r="C101" s="680">
        <v>180</v>
      </c>
      <c r="D101" s="682">
        <v>21.81</v>
      </c>
      <c r="E101" s="682">
        <v>16.079999999999998</v>
      </c>
      <c r="F101" s="682">
        <f t="shared" si="19"/>
        <v>-1031.4000000000001</v>
      </c>
      <c r="G101" s="682">
        <f t="shared" si="20"/>
        <v>3925.7999999999997</v>
      </c>
      <c r="H101" s="684">
        <f t="shared" si="21"/>
        <v>-0.2627235213204952</v>
      </c>
      <c r="I101" s="684"/>
    </row>
    <row r="102" spans="1:9" x14ac:dyDescent="0.25">
      <c r="A102" s="680">
        <v>0</v>
      </c>
      <c r="B102" s="681">
        <v>43013</v>
      </c>
      <c r="C102" s="680">
        <v>280</v>
      </c>
      <c r="D102" s="682">
        <v>19.663499999999999</v>
      </c>
      <c r="E102" s="682">
        <v>15.68</v>
      </c>
      <c r="F102" s="682">
        <f t="shared" si="19"/>
        <v>-1115.3799999999999</v>
      </c>
      <c r="G102" s="682">
        <f t="shared" si="20"/>
        <v>5505.78</v>
      </c>
      <c r="H102" s="684">
        <f t="shared" si="21"/>
        <v>-0.2025834668294047</v>
      </c>
      <c r="I102" s="682">
        <v>19.5</v>
      </c>
    </row>
    <row r="103" spans="1:9" x14ac:dyDescent="0.25">
      <c r="A103" s="680">
        <v>100</v>
      </c>
      <c r="B103" s="681">
        <v>43031</v>
      </c>
      <c r="C103" s="680">
        <v>280</v>
      </c>
      <c r="D103" s="682">
        <v>19.663499999999999</v>
      </c>
      <c r="E103" s="682">
        <v>14.54</v>
      </c>
      <c r="F103" s="682">
        <f t="shared" si="19"/>
        <v>-1434.58</v>
      </c>
      <c r="G103" s="682">
        <f t="shared" si="20"/>
        <v>5505.78</v>
      </c>
      <c r="H103" s="684">
        <f t="shared" si="21"/>
        <v>-0.26055890355226691</v>
      </c>
      <c r="I103" s="682"/>
    </row>
    <row r="104" spans="1:9" x14ac:dyDescent="0.25">
      <c r="A104" s="680"/>
      <c r="B104" s="681">
        <v>43044</v>
      </c>
      <c r="C104" s="680">
        <v>480</v>
      </c>
      <c r="D104" s="682">
        <v>16.170000000000002</v>
      </c>
      <c r="E104" s="682">
        <v>11.4</v>
      </c>
      <c r="F104" s="682">
        <f t="shared" si="19"/>
        <v>-2289.6000000000008</v>
      </c>
      <c r="G104" s="682">
        <f t="shared" si="20"/>
        <v>7761.6</v>
      </c>
      <c r="H104" s="684">
        <f t="shared" si="21"/>
        <v>-0.29499072356215217</v>
      </c>
      <c r="I104" s="684"/>
    </row>
    <row r="105" spans="1:9" x14ac:dyDescent="0.25">
      <c r="A105" s="680">
        <v>80</v>
      </c>
      <c r="B105" s="681">
        <v>43045</v>
      </c>
      <c r="C105" s="680">
        <v>280</v>
      </c>
      <c r="D105" s="682">
        <v>19.092300000000002</v>
      </c>
      <c r="E105" s="682">
        <v>12.41</v>
      </c>
      <c r="F105" s="682">
        <f t="shared" si="19"/>
        <v>-1871.0440000000003</v>
      </c>
      <c r="G105" s="682">
        <f t="shared" si="20"/>
        <v>5345.8440000000001</v>
      </c>
      <c r="H105" s="684">
        <f t="shared" si="21"/>
        <v>-0.34999973811431839</v>
      </c>
      <c r="I105" s="685" t="s">
        <v>739</v>
      </c>
    </row>
    <row r="106" spans="1:9" x14ac:dyDescent="0.25">
      <c r="A106" s="680">
        <v>0</v>
      </c>
      <c r="B106" s="681">
        <v>43070</v>
      </c>
      <c r="C106" s="680">
        <v>200</v>
      </c>
      <c r="D106" s="682">
        <v>20.621300000000002</v>
      </c>
      <c r="E106" s="682">
        <v>15.26</v>
      </c>
      <c r="F106" s="682">
        <f t="shared" si="19"/>
        <v>-1072.2600000000004</v>
      </c>
      <c r="G106" s="682">
        <f t="shared" si="20"/>
        <v>4124.26</v>
      </c>
      <c r="H106" s="684">
        <f t="shared" si="21"/>
        <v>-0.25998845853559188</v>
      </c>
      <c r="I106" s="684"/>
    </row>
    <row r="107" spans="1:9" x14ac:dyDescent="0.25">
      <c r="A107" s="680">
        <v>200</v>
      </c>
      <c r="B107" s="681">
        <v>43077</v>
      </c>
      <c r="C107" s="680">
        <v>200</v>
      </c>
      <c r="D107" s="682">
        <v>20.62</v>
      </c>
      <c r="E107" s="682">
        <v>16.059999999999999</v>
      </c>
      <c r="F107" s="682">
        <f t="shared" si="19"/>
        <v>-912.00000000000045</v>
      </c>
      <c r="G107" s="682">
        <f t="shared" si="20"/>
        <v>4124</v>
      </c>
      <c r="H107" s="684">
        <f t="shared" si="21"/>
        <v>-0.22114451988360825</v>
      </c>
      <c r="I107" s="684"/>
    </row>
    <row r="108" spans="1:9" x14ac:dyDescent="0.25">
      <c r="A108" s="680">
        <v>200</v>
      </c>
      <c r="B108" s="681">
        <v>43082</v>
      </c>
      <c r="C108" s="680">
        <v>200</v>
      </c>
      <c r="D108" s="682">
        <v>20.52</v>
      </c>
      <c r="E108" s="682">
        <v>15.7</v>
      </c>
      <c r="F108" s="682">
        <f t="shared" si="19"/>
        <v>-964</v>
      </c>
      <c r="G108" s="682">
        <f t="shared" si="20"/>
        <v>4104</v>
      </c>
      <c r="H108" s="684">
        <f t="shared" si="21"/>
        <v>-0.23489278752436649</v>
      </c>
      <c r="I108" s="684" t="s">
        <v>184</v>
      </c>
    </row>
    <row r="109" spans="1:9" x14ac:dyDescent="0.25">
      <c r="A109" s="680">
        <v>200</v>
      </c>
      <c r="B109" s="681">
        <v>43083</v>
      </c>
      <c r="C109" s="680">
        <v>200</v>
      </c>
      <c r="D109" s="682">
        <v>20.520199999999999</v>
      </c>
      <c r="E109" s="682">
        <v>19.22</v>
      </c>
      <c r="F109" s="682">
        <f t="shared" si="19"/>
        <v>-260.04000000000008</v>
      </c>
      <c r="G109" s="682">
        <f t="shared" si="20"/>
        <v>4104.04</v>
      </c>
      <c r="H109" s="684">
        <f t="shared" si="21"/>
        <v>-6.3361955536495762E-2</v>
      </c>
      <c r="I109" s="684"/>
    </row>
    <row r="110" spans="1:9" x14ac:dyDescent="0.25">
      <c r="A110" s="680">
        <v>100</v>
      </c>
      <c r="B110" s="681">
        <v>43111</v>
      </c>
      <c r="C110" s="680">
        <v>100</v>
      </c>
      <c r="D110" s="682">
        <v>19.73</v>
      </c>
      <c r="E110" s="682">
        <v>21.74</v>
      </c>
      <c r="F110" s="682">
        <f t="shared" si="19"/>
        <v>200.9999999999998</v>
      </c>
      <c r="G110" s="682">
        <f t="shared" si="20"/>
        <v>1973</v>
      </c>
      <c r="H110" s="684">
        <f t="shared" si="21"/>
        <v>0.10187531677648241</v>
      </c>
      <c r="I110" s="684"/>
    </row>
    <row r="111" spans="1:9" x14ac:dyDescent="0.25">
      <c r="A111" s="680"/>
      <c r="B111" s="681">
        <v>43112</v>
      </c>
      <c r="C111" s="680">
        <v>0</v>
      </c>
      <c r="D111" s="682"/>
      <c r="E111" s="682">
        <v>22.07</v>
      </c>
      <c r="F111" s="682">
        <v>284.97000000000003</v>
      </c>
      <c r="G111" s="682"/>
      <c r="H111" s="684"/>
      <c r="I111" s="684"/>
    </row>
    <row r="112" spans="1:9" x14ac:dyDescent="0.25">
      <c r="A112" s="680"/>
      <c r="B112" s="681"/>
      <c r="C112" s="680"/>
      <c r="D112" s="682"/>
      <c r="E112" s="682"/>
      <c r="F112" s="682"/>
      <c r="G112" s="682"/>
      <c r="H112" s="684"/>
      <c r="I112" s="684"/>
    </row>
    <row r="113" spans="1:9" x14ac:dyDescent="0.25">
      <c r="A113" s="680"/>
      <c r="B113" s="681"/>
      <c r="C113" s="680"/>
      <c r="D113" s="682"/>
      <c r="E113" s="682"/>
      <c r="F113" s="682"/>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sheetData>
  <conditionalFormatting sqref="O17:O37">
    <cfRule type="colorScale" priority="133">
      <colorScale>
        <cfvo type="min"/>
        <cfvo type="percentile" val="50"/>
        <cfvo type="max"/>
        <color rgb="FFF8696B"/>
        <color rgb="FFFFEB84"/>
        <color rgb="FF63BE7B"/>
      </colorScale>
    </cfRule>
  </conditionalFormatting>
  <conditionalFormatting sqref="P17:P37">
    <cfRule type="colorScale" priority="132">
      <colorScale>
        <cfvo type="min"/>
        <cfvo type="percentile" val="50"/>
        <cfvo type="max"/>
        <color rgb="FFF8696B"/>
        <color rgb="FFFFEB84"/>
        <color rgb="FF63BE7B"/>
      </colorScale>
    </cfRule>
  </conditionalFormatting>
  <conditionalFormatting sqref="Q46:Q63">
    <cfRule type="colorScale" priority="131">
      <colorScale>
        <cfvo type="min"/>
        <cfvo type="percentile" val="50"/>
        <cfvo type="max"/>
        <color rgb="FFF8696B"/>
        <color rgb="FFFFEB84"/>
        <color rgb="FF63BE7B"/>
      </colorScale>
    </cfRule>
  </conditionalFormatting>
  <conditionalFormatting sqref="F27:F30 H38:H53 I43:K53 F38:F53 L53 H59:L59 F58:F59 H58:K58 J54:J57">
    <cfRule type="expression" dxfId="281" priority="127">
      <formula>F27&gt;0</formula>
    </cfRule>
    <cfRule type="expression" dxfId="280" priority="128">
      <formula>F27&lt;0</formula>
    </cfRule>
  </conditionalFormatting>
  <conditionalFormatting sqref="H27:H29">
    <cfRule type="expression" dxfId="279" priority="125">
      <formula>H27&gt;0</formula>
    </cfRule>
    <cfRule type="expression" dxfId="278" priority="126">
      <formula>H27&lt;0</formula>
    </cfRule>
  </conditionalFormatting>
  <conditionalFormatting sqref="H30">
    <cfRule type="expression" dxfId="277" priority="121">
      <formula>H30&gt;0</formula>
    </cfRule>
    <cfRule type="expression" dxfId="276" priority="122">
      <formula>H30&lt;0</formula>
    </cfRule>
  </conditionalFormatting>
  <conditionalFormatting sqref="H31:H35">
    <cfRule type="expression" dxfId="275" priority="119">
      <formula>H31&gt;0</formula>
    </cfRule>
    <cfRule type="expression" dxfId="274" priority="120">
      <formula>H31&lt;0</formula>
    </cfRule>
  </conditionalFormatting>
  <conditionalFormatting sqref="F31">
    <cfRule type="expression" dxfId="273" priority="113">
      <formula>F31&gt;0</formula>
    </cfRule>
    <cfRule type="expression" dxfId="272" priority="114">
      <formula>F31&lt;0</formula>
    </cfRule>
  </conditionalFormatting>
  <conditionalFormatting sqref="I25:I29">
    <cfRule type="expression" dxfId="271" priority="111">
      <formula>I25&gt;0</formula>
    </cfRule>
    <cfRule type="expression" dxfId="270" priority="112">
      <formula>I25&lt;0</formula>
    </cfRule>
  </conditionalFormatting>
  <conditionalFormatting sqref="I30:I33 I35 I38 K38 J21:J39 I40:K41 J42:K42">
    <cfRule type="expression" dxfId="269" priority="105">
      <formula>I21&gt;0</formula>
    </cfRule>
    <cfRule type="expression" dxfId="268" priority="106">
      <formula>I21&lt;0</formula>
    </cfRule>
  </conditionalFormatting>
  <conditionalFormatting sqref="I21:I24 K21:K24">
    <cfRule type="expression" dxfId="267" priority="103">
      <formula>I21&gt;0</formula>
    </cfRule>
    <cfRule type="expression" dxfId="266" priority="104">
      <formula>I21&lt;0</formula>
    </cfRule>
  </conditionalFormatting>
  <conditionalFormatting sqref="F32:F35">
    <cfRule type="expression" dxfId="265" priority="101">
      <formula>F32&gt;0</formula>
    </cfRule>
    <cfRule type="expression" dxfId="264" priority="102">
      <formula>F32&lt;0</formula>
    </cfRule>
  </conditionalFormatting>
  <conditionalFormatting sqref="Q8">
    <cfRule type="expression" dxfId="263" priority="97">
      <formula>Q8&gt;0</formula>
    </cfRule>
    <cfRule type="expression" dxfId="262" priority="98">
      <formula>Q8&lt;0</formula>
    </cfRule>
  </conditionalFormatting>
  <conditionalFormatting sqref="Q7">
    <cfRule type="expression" dxfId="261" priority="99">
      <formula>Q7&gt;0</formula>
    </cfRule>
    <cfRule type="expression" dxfId="260" priority="100">
      <formula>Q7&lt;0</formula>
    </cfRule>
  </conditionalFormatting>
  <conditionalFormatting sqref="F86">
    <cfRule type="expression" dxfId="259" priority="85">
      <formula>F86&gt;0</formula>
    </cfRule>
    <cfRule type="expression" dxfId="258" priority="86">
      <formula>F86&lt;0</formula>
    </cfRule>
  </conditionalFormatting>
  <conditionalFormatting sqref="H86">
    <cfRule type="expression" dxfId="257" priority="83">
      <formula>H86&gt;0</formula>
    </cfRule>
    <cfRule type="expression" dxfId="256" priority="84">
      <formula>H86&lt;0</formula>
    </cfRule>
  </conditionalFormatting>
  <conditionalFormatting sqref="I86">
    <cfRule type="expression" dxfId="255" priority="71">
      <formula>I86&gt;0</formula>
    </cfRule>
    <cfRule type="expression" dxfId="254" priority="72">
      <formula>I86&lt;0</formula>
    </cfRule>
  </conditionalFormatting>
  <conditionalFormatting sqref="F25:F26">
    <cfRule type="expression" dxfId="253" priority="67">
      <formula>F25&gt;0</formula>
    </cfRule>
    <cfRule type="expression" dxfId="252" priority="68">
      <formula>F25&lt;0</formula>
    </cfRule>
  </conditionalFormatting>
  <conditionalFormatting sqref="H25:H26">
    <cfRule type="expression" dxfId="251" priority="65">
      <formula>H25&gt;0</formula>
    </cfRule>
    <cfRule type="expression" dxfId="250" priority="66">
      <formula>H25&lt;0</formula>
    </cfRule>
  </conditionalFormatting>
  <conditionalFormatting sqref="F92:F96">
    <cfRule type="expression" dxfId="249" priority="63">
      <formula>F92&gt;0</formula>
    </cfRule>
    <cfRule type="expression" dxfId="248" priority="64">
      <formula>F92&lt;0</formula>
    </cfRule>
  </conditionalFormatting>
  <conditionalFormatting sqref="H92:H94">
    <cfRule type="expression" dxfId="247" priority="61">
      <formula>H92&gt;0</formula>
    </cfRule>
    <cfRule type="expression" dxfId="246" priority="62">
      <formula>H92&lt;0</formula>
    </cfRule>
  </conditionalFormatting>
  <conditionalFormatting sqref="H95:H96">
    <cfRule type="expression" dxfId="245" priority="59">
      <formula>H95&gt;0</formula>
    </cfRule>
    <cfRule type="expression" dxfId="244" priority="60">
      <formula>H95&lt;0</formula>
    </cfRule>
  </conditionalFormatting>
  <conditionalFormatting sqref="H97:H122">
    <cfRule type="expression" dxfId="243" priority="57">
      <formula>H97&gt;0</formula>
    </cfRule>
    <cfRule type="expression" dxfId="242" priority="58">
      <formula>H97&lt;0</formula>
    </cfRule>
  </conditionalFormatting>
  <conditionalFormatting sqref="F87:F90">
    <cfRule type="expression" dxfId="241" priority="55">
      <formula>F87&gt;0</formula>
    </cfRule>
    <cfRule type="expression" dxfId="240" priority="56">
      <formula>F87&lt;0</formula>
    </cfRule>
  </conditionalFormatting>
  <conditionalFormatting sqref="H87:H90">
    <cfRule type="expression" dxfId="239" priority="53">
      <formula>H87&gt;0</formula>
    </cfRule>
    <cfRule type="expression" dxfId="238" priority="54">
      <formula>H87&lt;0</formula>
    </cfRule>
  </conditionalFormatting>
  <conditionalFormatting sqref="F97">
    <cfRule type="expression" dxfId="237" priority="51">
      <formula>F97&gt;0</formula>
    </cfRule>
    <cfRule type="expression" dxfId="236" priority="52">
      <formula>F97&lt;0</formula>
    </cfRule>
  </conditionalFormatting>
  <conditionalFormatting sqref="I91:I93">
    <cfRule type="expression" dxfId="235" priority="49">
      <formula>I91&gt;0</formula>
    </cfRule>
    <cfRule type="expression" dxfId="234" priority="50">
      <formula>I91&lt;0</formula>
    </cfRule>
  </conditionalFormatting>
  <conditionalFormatting sqref="I94">
    <cfRule type="expression" dxfId="233" priority="47">
      <formula>I94&gt;0</formula>
    </cfRule>
    <cfRule type="expression" dxfId="232" priority="48">
      <formula>I94&lt;0</formula>
    </cfRule>
  </conditionalFormatting>
  <conditionalFormatting sqref="I95">
    <cfRule type="expression" dxfId="231" priority="45">
      <formula>I95&gt;0</formula>
    </cfRule>
    <cfRule type="expression" dxfId="230" priority="46">
      <formula>I95&lt;0</formula>
    </cfRule>
  </conditionalFormatting>
  <conditionalFormatting sqref="I96:I99 I101 I104 I106:I122">
    <cfRule type="expression" dxfId="229" priority="43">
      <formula>I96&gt;0</formula>
    </cfRule>
    <cfRule type="expression" dxfId="228" priority="44">
      <formula>I96&lt;0</formula>
    </cfRule>
  </conditionalFormatting>
  <conditionalFormatting sqref="I87:I90">
    <cfRule type="expression" dxfId="227" priority="41">
      <formula>I87&gt;0</formula>
    </cfRule>
    <cfRule type="expression" dxfId="226" priority="42">
      <formula>I87&lt;0</formula>
    </cfRule>
  </conditionalFormatting>
  <conditionalFormatting sqref="F98:F122">
    <cfRule type="expression" dxfId="225" priority="39">
      <formula>F98&gt;0</formula>
    </cfRule>
    <cfRule type="expression" dxfId="224" priority="40">
      <formula>F98&lt;0</formula>
    </cfRule>
  </conditionalFormatting>
  <conditionalFormatting sqref="F91">
    <cfRule type="expression" dxfId="223" priority="37">
      <formula>F91&gt;0</formula>
    </cfRule>
    <cfRule type="expression" dxfId="222" priority="38">
      <formula>F91&lt;0</formula>
    </cfRule>
  </conditionalFormatting>
  <conditionalFormatting sqref="H91">
    <cfRule type="expression" dxfId="221" priority="35">
      <formula>H91&gt;0</formula>
    </cfRule>
    <cfRule type="expression" dxfId="220" priority="36">
      <formula>H91&lt;0</formula>
    </cfRule>
  </conditionalFormatting>
  <conditionalFormatting sqref="F21:F24">
    <cfRule type="expression" dxfId="219" priority="33">
      <formula>F21&gt;0</formula>
    </cfRule>
    <cfRule type="expression" dxfId="218" priority="34">
      <formula>F21&lt;0</formula>
    </cfRule>
  </conditionalFormatting>
  <conditionalFormatting sqref="H21:H24">
    <cfRule type="expression" dxfId="217" priority="31">
      <formula>H21&gt;0</formula>
    </cfRule>
    <cfRule type="expression" dxfId="216" priority="32">
      <formula>H21&lt;0</formula>
    </cfRule>
  </conditionalFormatting>
  <conditionalFormatting sqref="K25:K27 K30:K37">
    <cfRule type="expression" dxfId="215" priority="29">
      <formula>K25&gt;0</formula>
    </cfRule>
    <cfRule type="expression" dxfId="214" priority="30">
      <formula>K25&lt;0</formula>
    </cfRule>
  </conditionalFormatting>
  <conditionalFormatting sqref="H37">
    <cfRule type="expression" dxfId="213" priority="27">
      <formula>H37&gt;0</formula>
    </cfRule>
    <cfRule type="expression" dxfId="212" priority="28">
      <formula>H37&lt;0</formula>
    </cfRule>
  </conditionalFormatting>
  <conditionalFormatting sqref="F37">
    <cfRule type="expression" dxfId="211" priority="25">
      <formula>F37&gt;0</formula>
    </cfRule>
    <cfRule type="expression" dxfId="210" priority="26">
      <formula>F37&lt;0</formula>
    </cfRule>
  </conditionalFormatting>
  <conditionalFormatting sqref="H36">
    <cfRule type="expression" dxfId="209" priority="21">
      <formula>H36&gt;0</formula>
    </cfRule>
    <cfRule type="expression" dxfId="208" priority="22">
      <formula>H36&lt;0</formula>
    </cfRule>
  </conditionalFormatting>
  <conditionalFormatting sqref="F36">
    <cfRule type="expression" dxfId="207" priority="19">
      <formula>F36&gt;0</formula>
    </cfRule>
    <cfRule type="expression" dxfId="206" priority="20">
      <formula>F36&lt;0</formula>
    </cfRule>
  </conditionalFormatting>
  <conditionalFormatting sqref="L38 L51">
    <cfRule type="expression" dxfId="205" priority="15">
      <formula>L38&gt;0</formula>
    </cfRule>
    <cfRule type="expression" dxfId="204" priority="16">
      <formula>L38&lt;0</formula>
    </cfRule>
  </conditionalFormatting>
  <conditionalFormatting sqref="L21:L24">
    <cfRule type="expression" dxfId="203" priority="13">
      <formula>L21&gt;0</formula>
    </cfRule>
    <cfRule type="expression" dxfId="202" priority="14">
      <formula>L21&lt;0</formula>
    </cfRule>
  </conditionalFormatting>
  <conditionalFormatting sqref="L25:L27 L30:L37">
    <cfRule type="expression" dxfId="201" priority="11">
      <formula>L25&gt;0</formula>
    </cfRule>
    <cfRule type="expression" dxfId="200" priority="12">
      <formula>L25&lt;0</formula>
    </cfRule>
  </conditionalFormatting>
  <conditionalFormatting sqref="F54:F55 H54:I55 K54:K55">
    <cfRule type="expression" dxfId="199" priority="9">
      <formula>F54&gt;0</formula>
    </cfRule>
    <cfRule type="expression" dxfId="198" priority="10">
      <formula>F54&lt;0</formula>
    </cfRule>
  </conditionalFormatting>
  <conditionalFormatting sqref="F56:F57 H56:I57 K56:K57">
    <cfRule type="expression" dxfId="197" priority="5">
      <formula>F56&gt;0</formula>
    </cfRule>
    <cfRule type="expression" dxfId="196" priority="6">
      <formula>F56&lt;0</formula>
    </cfRule>
  </conditionalFormatting>
  <hyperlinks>
    <hyperlink ref="A3" location="ACTIVE!A1" display="Back"/>
    <hyperlink ref="A64"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 t="shared" ref="J93:J96" si="27">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 t="shared" si="27"/>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 t="shared" si="27"/>
        <v>-142.24999999999989</v>
      </c>
      <c r="K95" s="39"/>
      <c r="L95" s="39">
        <v>14.65</v>
      </c>
    </row>
    <row r="96" spans="1:12" x14ac:dyDescent="0.25">
      <c r="B96" s="164">
        <v>43516</v>
      </c>
      <c r="C96" s="10">
        <v>0</v>
      </c>
      <c r="D96" s="39">
        <v>45.2</v>
      </c>
      <c r="E96" s="39">
        <v>46.88</v>
      </c>
      <c r="F96" s="39">
        <v>335.65</v>
      </c>
      <c r="G96" s="39"/>
      <c r="H96" s="179">
        <f t="shared" si="26"/>
        <v>3.7168141592920347E-2</v>
      </c>
      <c r="I96" s="39"/>
      <c r="J96" s="39">
        <f t="shared" si="27"/>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2019-02-27T06:14:43Z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