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SKX" sheetId="115" state="hidden" r:id="rId27"/>
    <sheet name="XLB" sheetId="110" state="hidden" r:id="rId28"/>
    <sheet name="EOG" sheetId="117" state="hidden" r:id="rId29"/>
    <sheet name="TCEHY" sheetId="111" state="hidden" r:id="rId30"/>
    <sheet name="DVN" sheetId="116" state="hidden" r:id="rId31"/>
    <sheet name="MRO" sheetId="25" state="hidden" r:id="rId32"/>
    <sheet name="GE" sheetId="86" state="hidden" r:id="rId33"/>
    <sheet name="XRAY" sheetId="103" state="hidden" r:id="rId34"/>
    <sheet name="CRI" sheetId="114" state="hidden" r:id="rId35"/>
    <sheet name="XLP" sheetId="104" r:id="rId36"/>
    <sheet name="KR" sheetId="51" state="hidden" r:id="rId37"/>
    <sheet name="F" sheetId="54" state="hidden" r:id="rId38"/>
    <sheet name="JNJ" sheetId="68" state="hidden" r:id="rId39"/>
    <sheet name="ULTA" sheetId="81" state="hidden" r:id="rId40"/>
    <sheet name="FRC" sheetId="89" state="hidden" r:id="rId41"/>
    <sheet name="AAP" sheetId="77" state="hidden" r:id="rId42"/>
    <sheet name="CMCSA" sheetId="99" state="hidden" r:id="rId43"/>
    <sheet name="XEC" sheetId="100" state="hidden" r:id="rId44"/>
    <sheet name="WRK" sheetId="108" state="hidden" r:id="rId45"/>
    <sheet name="MO" sheetId="102" state="hidden" r:id="rId46"/>
    <sheet name="T" sheetId="93" r:id="rId47"/>
    <sheet name="COST" sheetId="78" r:id="rId48"/>
    <sheet name="CPN" sheetId="7" state="hidden" r:id="rId49"/>
    <sheet name="EW" sheetId="72" state="hidden" r:id="rId50"/>
    <sheet name="TJX" sheetId="79" state="hidden" r:id="rId51"/>
    <sheet name="QQQ" sheetId="101" state="hidden" r:id="rId52"/>
    <sheet name="WBA" sheetId="84" state="hidden" r:id="rId53"/>
    <sheet name="AZO" sheetId="83" state="hidden" r:id="rId54"/>
    <sheet name="FL" sheetId="98" r:id="rId55"/>
    <sheet name="MLM" sheetId="97" state="hidden" r:id="rId56"/>
    <sheet name="KHC" sheetId="96" state="hidden" r:id="rId57"/>
    <sheet name="KBWY" sheetId="94" state="hidden" r:id="rId58"/>
    <sheet name="AYI" sheetId="92" state="hidden" r:id="rId59"/>
    <sheet name="DIA" sheetId="91" r:id="rId60"/>
    <sheet name="ICE" sheetId="95" r:id="rId61"/>
    <sheet name="NKE" sheetId="50" state="hidden" r:id="rId62"/>
    <sheet name="MOS" sheetId="58" state="hidden" r:id="rId63"/>
    <sheet name="VGK" sheetId="59" state="hidden" r:id="rId64"/>
    <sheet name="CMG" sheetId="87" state="hidden" r:id="rId65"/>
    <sheet name="HAS" sheetId="90" state="hidden" r:id="rId66"/>
    <sheet name="HSIC" sheetId="82" state="hidden" r:id="rId67"/>
    <sheet name="PDCO" sheetId="88" state="hidden" r:id="rId68"/>
    <sheet name="MU" sheetId="17" state="hidden" r:id="rId69"/>
    <sheet name="IP" sheetId="44" state="hidden" r:id="rId70"/>
    <sheet name="INTC" sheetId="13" state="hidden" r:id="rId71"/>
    <sheet name="HES" sheetId="10" state="hidden" r:id="rId72"/>
    <sheet name="UNP" sheetId="20" state="hidden" r:id="rId73"/>
    <sheet name="NCLH" sheetId="67" state="hidden" r:id="rId74"/>
    <sheet name="SPY" sheetId="47" state="hidden" r:id="rId75"/>
    <sheet name="SWKS" sheetId="41" state="hidden" r:id="rId76"/>
    <sheet name="CNI" sheetId="42" state="hidden" r:id="rId77"/>
    <sheet name="WFC" sheetId="45" r:id="rId78"/>
    <sheet name="AA" sheetId="3" state="hidden" r:id="rId79"/>
    <sheet name="CF" sheetId="61" state="hidden" r:id="rId80"/>
    <sheet name="TGT" sheetId="75" state="hidden" r:id="rId81"/>
    <sheet name="NWL" sheetId="46" state="hidden" r:id="rId82"/>
    <sheet name="KORS" sheetId="16" state="hidden" r:id="rId83"/>
    <sheet name="ALL" sheetId="22" state="hidden" r:id="rId84"/>
    <sheet name="NSC" sheetId="24" state="hidden" r:id="rId85"/>
    <sheet name="AVGO" sheetId="15" state="hidden" r:id="rId86"/>
    <sheet name="UAL" sheetId="52" state="hidden" r:id="rId87"/>
    <sheet name="CAH" sheetId="53" state="hidden" r:id="rId88"/>
    <sheet name="DAL" sheetId="49" state="hidden" r:id="rId89"/>
    <sheet name="TEVA" sheetId="74" state="hidden" r:id="rId90"/>
    <sheet name="DIS" sheetId="34" state="hidden" r:id="rId91"/>
    <sheet name="FTR" sheetId="40" state="hidden" r:id="rId92"/>
    <sheet name="GILD" sheetId="31" r:id="rId93"/>
    <sheet name="WWD" sheetId="28" state="hidden" r:id="rId94"/>
    <sheet name="GIS" sheetId="43" r:id="rId95"/>
    <sheet name="GM" sheetId="29" state="hidden" r:id="rId96"/>
    <sheet name="TMO" sheetId="48" state="hidden" r:id="rId97"/>
    <sheet name="TKR" sheetId="32" state="hidden" r:id="rId98"/>
    <sheet name="UTX" sheetId="30" state="hidden" r:id="rId99"/>
    <sheet name="UNH" sheetId="26" state="hidden" r:id="rId100"/>
  </sheets>
  <functionGroups builtInGroupCount="18"/>
  <definedNames>
    <definedName name="_xlnm._FilterDatabase" localSheetId="0" hidden="1">ACTIVE!$E$1:$M$26</definedName>
    <definedName name="hp?s_AA_Historical_Prices_1" localSheetId="78">AA!$W$1:$AC$68</definedName>
    <definedName name="hp?s_AAPL" localSheetId="8">AAPL!#REF!</definedName>
    <definedName name="hp?s_AKAM_Historical_Prices" localSheetId="16">BMY!$W$1:$AC$70</definedName>
    <definedName name="hp?s_ALL_Historical_Prices" localSheetId="83">ALL!$X$1:$AD$69</definedName>
    <definedName name="hp?s_AVGO" localSheetId="85">AVGO!$W$1:$AC$69</definedName>
    <definedName name="hp?s_AXP_Historical_Prices" localSheetId="9">AXP!$W$1:$AC$70</definedName>
    <definedName name="hp?s_BIIB" localSheetId="3">BIIB!#REF!</definedName>
    <definedName name="hp?s_CAH" localSheetId="87">CAH!#REF!</definedName>
    <definedName name="hp?s_cce" localSheetId="15">CCE!#REF!</definedName>
    <definedName name="hp?s_CNI" localSheetId="76">CNI!$W$1:$AC$69</definedName>
    <definedName name="hp?s_CPN_Historical_Prices" localSheetId="48">CPN!$W$1:$AC$68</definedName>
    <definedName name="hp?s_DIS" localSheetId="15">CCE!#REF!</definedName>
    <definedName name="hp?s_DIS" localSheetId="90">DIS!$W$1:$AC$68</definedName>
    <definedName name="hp?s_DIS" localSheetId="91">FTR!#REF!</definedName>
    <definedName name="hp?s_ew_Historical_Prices" localSheetId="49">EW!$W$1:$AC$68</definedName>
    <definedName name="hp?s_foxa" localSheetId="12">FOXA!$W$1:$AC$69</definedName>
    <definedName name="hp?s_GILD" localSheetId="92">GILD!#REF!</definedName>
    <definedName name="hp?s_GIS" localSheetId="94">GIS!#REF!</definedName>
    <definedName name="hp?s_GM" localSheetId="95">GM!$W$1:$AC$69</definedName>
    <definedName name="hp?s_HES" localSheetId="71">HES!$W$1:$AC$69</definedName>
    <definedName name="hp?s_INTC_Historical_Prices" localSheetId="70">INTC!$W$1:$AC$69</definedName>
    <definedName name="hp?s_IP" localSheetId="69">IP!$W$1:$AC$69</definedName>
    <definedName name="hp?s_KORS" localSheetId="82">KORS!$W$1:$AC$68</definedName>
    <definedName name="hp?s_MYL" localSheetId="4">MYL!$W$1:$AC$68</definedName>
    <definedName name="hp?s_nclh" localSheetId="73">NCLH!$W$1:$AC$68</definedName>
    <definedName name="hp?s_nke" localSheetId="61">NKE!$W$1:$AC$69</definedName>
    <definedName name="hp?s_NWL" localSheetId="81">NWL!#REF!</definedName>
    <definedName name="hp?s_pinc" localSheetId="11">PINC!$W$1:$AC$68</definedName>
    <definedName name="hp?s_SWKS" localSheetId="75">SWKS!$W$1:$AC$69</definedName>
    <definedName name="hp?s_TKR" localSheetId="97">TKR!$W$1:$AC$69</definedName>
    <definedName name="hp?s_tmo" localSheetId="96">TMO!$W$1:$AC$69</definedName>
    <definedName name="hp?s_ual" localSheetId="86">UAL!$W$1:$AC$68</definedName>
    <definedName name="hp?s_UNH" localSheetId="99">UNH!$W$1:$AC$69</definedName>
    <definedName name="hp?s_UTX" localSheetId="98">UTX!$W$1:$AC$69</definedName>
    <definedName name="hp?s_vgk" localSheetId="63">VGK!$W$1:$AC$69</definedName>
    <definedName name="hp?s_WFC" localSheetId="77">WFC!#REF!</definedName>
    <definedName name="hp?s_WWD" localSheetId="93">WWD!$W$1:$AC$69</definedName>
    <definedName name="PL" localSheetId="78">AA!$Q$7</definedName>
    <definedName name="PL" localSheetId="41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8">#REF!</definedName>
    <definedName name="PL" localSheetId="53">#REF!</definedName>
    <definedName name="PL" localSheetId="16">#REF!</definedName>
    <definedName name="PL" localSheetId="87">#REF!</definedName>
    <definedName name="PL" localSheetId="79">#REF!</definedName>
    <definedName name="PL" localSheetId="42">#REF!</definedName>
    <definedName name="PL" localSheetId="64">#REF!</definedName>
    <definedName name="PL" localSheetId="47">#REF!</definedName>
    <definedName name="PL" localSheetId="34">#REF!</definedName>
    <definedName name="PL" localSheetId="22">#REF!</definedName>
    <definedName name="PL" localSheetId="10">#REF!</definedName>
    <definedName name="PL" localSheetId="59">#REF!</definedName>
    <definedName name="PL" localSheetId="30">#REF!</definedName>
    <definedName name="PL" localSheetId="17">#REF!</definedName>
    <definedName name="PL" localSheetId="28">#REF!</definedName>
    <definedName name="PL" localSheetId="49">#REF!</definedName>
    <definedName name="PL" localSheetId="37">#REF!</definedName>
    <definedName name="PL" localSheetId="24">#REF!</definedName>
    <definedName name="PL" localSheetId="54">#REF!</definedName>
    <definedName name="PL" localSheetId="12">#REF!</definedName>
    <definedName name="PL" localSheetId="40">#REF!</definedName>
    <definedName name="PL" localSheetId="32">#REF!</definedName>
    <definedName name="PL" localSheetId="18">#REF!</definedName>
    <definedName name="PL" localSheetId="65">#REF!</definedName>
    <definedName name="PL" localSheetId="66">#REF!</definedName>
    <definedName name="PL" localSheetId="60">#REF!</definedName>
    <definedName name="PL" localSheetId="21">#REF!</definedName>
    <definedName name="PL" localSheetId="38">#REF!</definedName>
    <definedName name="PL" localSheetId="57">#REF!</definedName>
    <definedName name="PL" localSheetId="56">#REF!</definedName>
    <definedName name="PL" localSheetId="36">#REF!</definedName>
    <definedName name="PL" localSheetId="14">#REF!</definedName>
    <definedName name="PL" localSheetId="55">#REF!</definedName>
    <definedName name="PL" localSheetId="45">#REF!</definedName>
    <definedName name="PL" localSheetId="62">#REF!</definedName>
    <definedName name="PL" localSheetId="4">#REF!</definedName>
    <definedName name="PL" localSheetId="73">NCLH!$Q$7</definedName>
    <definedName name="PL" localSheetId="61">#REF!</definedName>
    <definedName name="PL" localSheetId="7">#REF!</definedName>
    <definedName name="PL" localSheetId="67">#REF!</definedName>
    <definedName name="PL" localSheetId="11">PINC!$Q$7</definedName>
    <definedName name="PL" localSheetId="25">#REF!</definedName>
    <definedName name="PL" localSheetId="51">#REF!</definedName>
    <definedName name="PL" localSheetId="26">#REF!</definedName>
    <definedName name="PL" localSheetId="74">SPY!$Q$7</definedName>
    <definedName name="PL" localSheetId="75">SWKS!$Q$7</definedName>
    <definedName name="PL" localSheetId="46">#REF!</definedName>
    <definedName name="PL" localSheetId="29">#REF!</definedName>
    <definedName name="PL" localSheetId="80">#REF!</definedName>
    <definedName name="PL" localSheetId="50">#REF!</definedName>
    <definedName name="PL" localSheetId="86">#REF!</definedName>
    <definedName name="PL" localSheetId="39">#REF!</definedName>
    <definedName name="PL" localSheetId="63">#REF!</definedName>
    <definedName name="PL" localSheetId="52">#REF!</definedName>
    <definedName name="PL" localSheetId="77">WFC!$Q$7</definedName>
    <definedName name="PL" localSheetId="44">#REF!</definedName>
    <definedName name="PL" localSheetId="43">#REF!</definedName>
    <definedName name="PL" localSheetId="27">#REF!</definedName>
    <definedName name="PL" localSheetId="35">#REF!</definedName>
    <definedName name="PL" localSheetId="33">#REF!</definedName>
    <definedName name="q?s_aa_ql_1" localSheetId="78">AA!$T$40:$U$55</definedName>
    <definedName name="q?s_AKAM" localSheetId="19">AKAM!$T$43:$U$58</definedName>
    <definedName name="q?s_ALL" localSheetId="83">ALL!$T$40:$U$55</definedName>
    <definedName name="q?s_AVGO" localSheetId="85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9">CF!$T$56:$U$71</definedName>
    <definedName name="q?s_CNI" localSheetId="76">CNI!$T$43:$U$58</definedName>
    <definedName name="q?s_CPN" localSheetId="48">CPN!$T$43:$U$58</definedName>
    <definedName name="q?s_dg" localSheetId="10">DG!$T$43:$U$58</definedName>
    <definedName name="q?s_DIS" localSheetId="90">DIS!$T$43:$U$58</definedName>
    <definedName name="q?s_ew" localSheetId="49">EW!$T$43:$U$58</definedName>
    <definedName name="q?s_F" localSheetId="37">F!$T$43:$U$58</definedName>
    <definedName name="q?s_foxa" localSheetId="12">FOXA!$T$43:$U$58</definedName>
    <definedName name="q?s_FTR" localSheetId="91">FTR!$T$43:$U$58</definedName>
    <definedName name="q?s_GILD" localSheetId="92">GILD!$T$43:$U$58</definedName>
    <definedName name="q?s_GM" localSheetId="95">GM!$T$43:$U$58</definedName>
    <definedName name="q?s_HES" localSheetId="71">HES!$T$43:$U$58</definedName>
    <definedName name="q?s_INTC" localSheetId="70">INTC!$T$43:$U$58</definedName>
    <definedName name="q?s_IP" localSheetId="69">IP!$T$43:$U$58</definedName>
    <definedName name="q?s_JNJ" localSheetId="38">JNJ!$T$43:$U$58</definedName>
    <definedName name="q?s_KORS" localSheetId="82">KORS!$T$43:$U$58</definedName>
    <definedName name="q?s_MU" localSheetId="68">MU!#REF!</definedName>
    <definedName name="q?s_MYL" localSheetId="4">MYL!$T$43:$U$58</definedName>
    <definedName name="q?s_nclh" localSheetId="73">NCLH!$T$40:$U$55</definedName>
    <definedName name="q?s_NKE" localSheetId="61">NKE!$T$43:$U$58</definedName>
    <definedName name="q?s_NSC" localSheetId="72">UNP!$T$43:$U$58</definedName>
    <definedName name="q?s_pinc" localSheetId="11">PINC!$T$40:$U$55</definedName>
    <definedName name="q?s_SIG" localSheetId="5">SIG!#REF!</definedName>
    <definedName name="q?s_SWKS" localSheetId="75">SWKS!$T$40:$U$55</definedName>
    <definedName name="q?s_tgt" localSheetId="80">TGT!$T$43:$U$58</definedName>
    <definedName name="q?s_TKR" localSheetId="97">TKR!$T$43:$U$58</definedName>
    <definedName name="q?s_tmo" localSheetId="96">TMO!$T$43:$U$58</definedName>
    <definedName name="q?s_UAL" localSheetId="86">UAL!$T$43:$U$58</definedName>
    <definedName name="q?s_UNH" localSheetId="99">UNH!$T$43:$U$58</definedName>
    <definedName name="q?s_UTX" localSheetId="98">UTX!$T$43:$U$58</definedName>
    <definedName name="q?s_vgk" localSheetId="63">VGK!$T$43:$U$56</definedName>
    <definedName name="q?s_WWD" localSheetId="9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1" i="110" l="1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F18" i="117"/>
  <c r="C18" i="117"/>
  <c r="Q2" i="117" s="1"/>
  <c r="P17" i="117"/>
  <c r="Q13" i="117"/>
  <c r="F2" i="117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Q13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18" i="25"/>
  <c r="G318" i="25"/>
  <c r="H318" i="25"/>
  <c r="K85" i="25"/>
  <c r="F109" i="25"/>
  <c r="F85" i="116"/>
  <c r="H19" i="117"/>
  <c r="K85" i="117"/>
  <c r="H19" i="116"/>
  <c r="C19" i="116"/>
  <c r="M19" i="116"/>
  <c r="H85" i="117"/>
  <c r="M19" i="117"/>
  <c r="M85" i="116"/>
  <c r="F19" i="117"/>
  <c r="H85" i="116"/>
  <c r="M85" i="117"/>
  <c r="F85" i="117"/>
  <c r="F19" i="116"/>
  <c r="K19" i="117"/>
  <c r="C85" i="116"/>
  <c r="C19" i="117"/>
  <c r="K19" i="116"/>
  <c r="K85" i="116"/>
  <c r="C85" i="117"/>
  <c r="M66" i="117" l="1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Q8" i="116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7" i="25"/>
  <c r="G317" i="25"/>
  <c r="H317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C19" i="115"/>
  <c r="H85" i="115"/>
  <c r="C85" i="115"/>
  <c r="K19" i="115"/>
  <c r="M19" i="115"/>
  <c r="K85" i="115"/>
  <c r="F19" i="115"/>
  <c r="F85" i="115"/>
  <c r="M85" i="115"/>
  <c r="H19" i="115"/>
  <c r="Q3" i="116" l="1"/>
  <c r="Q6" i="116" s="1"/>
  <c r="Q9" i="117"/>
  <c r="Q9" i="116"/>
  <c r="Q7" i="116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7" i="115" l="1"/>
  <c r="Q5" i="115"/>
  <c r="Q3" i="115"/>
  <c r="Q6" i="115" s="1"/>
  <c r="Q9" i="115" s="1"/>
  <c r="P777" i="38"/>
  <c r="O777" i="38"/>
  <c r="Z777" i="38"/>
  <c r="U777" i="38"/>
  <c r="H26" i="113"/>
  <c r="H21" i="101" l="1"/>
  <c r="F316" i="25" l="1"/>
  <c r="H316" i="25"/>
  <c r="G316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5" i="25"/>
  <c r="H315" i="25"/>
  <c r="G315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C25" i="92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4" i="25"/>
  <c r="H314" i="25"/>
  <c r="G314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3" i="25"/>
  <c r="G313" i="25"/>
  <c r="H313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F85" i="114"/>
  <c r="H19" i="114"/>
  <c r="F19" i="114"/>
  <c r="K85" i="114"/>
  <c r="M19" i="114"/>
  <c r="C85" i="114"/>
  <c r="M85" i="114"/>
  <c r="C19" i="114"/>
  <c r="H85" i="114"/>
  <c r="O772" i="38" l="1"/>
  <c r="U772" i="38"/>
  <c r="Q2" i="114"/>
  <c r="M66" i="114"/>
  <c r="Q10" i="114" s="1"/>
  <c r="Z772" i="38"/>
  <c r="Q3" i="114"/>
  <c r="Q6" i="114" s="1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C18" i="86" l="1"/>
  <c r="F54" i="101"/>
  <c r="H54" i="101"/>
  <c r="G54" i="101"/>
  <c r="K11" i="101"/>
  <c r="F43" i="69"/>
  <c r="H43" i="69"/>
  <c r="G43" i="69"/>
  <c r="K6" i="69"/>
  <c r="H18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P769" i="38" s="1"/>
  <c r="M769" i="38"/>
  <c r="N769" i="38" s="1"/>
  <c r="S769" i="38"/>
  <c r="F180" i="51"/>
  <c r="G180" i="51"/>
  <c r="H180" i="51"/>
  <c r="K40" i="51"/>
  <c r="O769" i="38" l="1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F85" i="112"/>
  <c r="F19" i="113"/>
  <c r="M19" i="113"/>
  <c r="F19" i="112"/>
  <c r="C85" i="112"/>
  <c r="H19" i="113"/>
  <c r="H85" i="112"/>
  <c r="H19" i="112"/>
  <c r="K19" i="112"/>
  <c r="M85" i="112"/>
  <c r="F85" i="113"/>
  <c r="M19" i="112"/>
  <c r="K85" i="112"/>
  <c r="H85" i="113"/>
  <c r="C19" i="112"/>
  <c r="C85" i="113"/>
  <c r="M85" i="113"/>
  <c r="K85" i="113"/>
  <c r="K19" i="113"/>
  <c r="C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19" i="110"/>
  <c r="M19" i="110"/>
  <c r="C19" i="111"/>
  <c r="C85" i="111"/>
  <c r="M85" i="110"/>
  <c r="M19" i="111"/>
  <c r="H85" i="111"/>
  <c r="H85" i="110"/>
  <c r="F85" i="110"/>
  <c r="K19" i="111"/>
  <c r="M85" i="111"/>
  <c r="F85" i="111"/>
  <c r="H19" i="111"/>
  <c r="K85" i="110"/>
  <c r="C85" i="110"/>
  <c r="F19" i="110"/>
  <c r="K85" i="111"/>
  <c r="H19" i="110"/>
  <c r="K19" i="110"/>
  <c r="F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C85" i="109"/>
  <c r="F19" i="109"/>
  <c r="F85" i="109"/>
  <c r="K19" i="109"/>
  <c r="C19" i="109"/>
  <c r="M85" i="109"/>
  <c r="K85" i="109"/>
  <c r="H85" i="109"/>
  <c r="M19" i="109"/>
  <c r="H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79" i="25"/>
  <c r="G279" i="25"/>
  <c r="H279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85" i="108"/>
  <c r="C85" i="108"/>
  <c r="M85" i="108"/>
  <c r="H19" i="108"/>
  <c r="K19" i="108"/>
  <c r="F85" i="108"/>
  <c r="M19" i="108"/>
  <c r="C19" i="108"/>
  <c r="K85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85" i="107"/>
  <c r="K19" i="107"/>
  <c r="F85" i="107"/>
  <c r="M85" i="107"/>
  <c r="H85" i="107"/>
  <c r="C19" i="107"/>
  <c r="F19" i="107"/>
  <c r="H19" i="107"/>
  <c r="C85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F85" i="106"/>
  <c r="C85" i="106"/>
  <c r="H85" i="106"/>
  <c r="C19" i="106"/>
  <c r="M19" i="106"/>
  <c r="H19" i="106"/>
  <c r="M85" i="106"/>
  <c r="F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9" i="46"/>
  <c r="H79" i="46"/>
  <c r="G79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H19" i="47"/>
  <c r="H39" i="46"/>
  <c r="M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F85" i="105"/>
  <c r="K19" i="105"/>
  <c r="H19" i="105"/>
  <c r="C19" i="105"/>
  <c r="M19" i="105"/>
  <c r="F19" i="105"/>
  <c r="H85" i="105"/>
  <c r="K85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H19" i="104"/>
  <c r="C85" i="104"/>
  <c r="M19" i="104"/>
  <c r="F19" i="104"/>
  <c r="F85" i="104"/>
  <c r="K85" i="104"/>
  <c r="K19" i="104"/>
  <c r="M85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0" i="25"/>
  <c r="H220" i="25"/>
  <c r="G220" i="25"/>
  <c r="F69" i="25"/>
  <c r="H85" i="103"/>
  <c r="H19" i="103"/>
  <c r="K85" i="103"/>
  <c r="M19" i="103"/>
  <c r="K19" i="103"/>
  <c r="F19" i="103"/>
  <c r="K19" i="89"/>
  <c r="F85" i="103"/>
  <c r="C19" i="103"/>
  <c r="M85" i="103"/>
  <c r="C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M85" i="102"/>
  <c r="K19" i="102"/>
  <c r="K85" i="102"/>
  <c r="C19" i="102"/>
  <c r="C85" i="102"/>
  <c r="F19" i="102"/>
  <c r="F85" i="102"/>
  <c r="H19" i="102"/>
  <c r="H85" i="102"/>
  <c r="M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C19" i="100"/>
  <c r="K88" i="101"/>
  <c r="H85" i="99"/>
  <c r="C85" i="100"/>
  <c r="M22" i="101"/>
  <c r="F85" i="99"/>
  <c r="F19" i="99"/>
  <c r="M85" i="100"/>
  <c r="K22" i="101"/>
  <c r="C22" i="101"/>
  <c r="M19" i="100"/>
  <c r="F19" i="100"/>
  <c r="H85" i="100"/>
  <c r="H19" i="99"/>
  <c r="C85" i="99"/>
  <c r="K85" i="99"/>
  <c r="K85" i="100"/>
  <c r="M85" i="99"/>
  <c r="H19" i="100"/>
  <c r="F85" i="100"/>
  <c r="F22" i="101"/>
  <c r="M19" i="99"/>
  <c r="K19" i="99"/>
  <c r="C19" i="99"/>
  <c r="H88" i="101"/>
  <c r="C88" i="101"/>
  <c r="F88" i="101"/>
  <c r="H22" i="101"/>
  <c r="M88" i="101"/>
  <c r="K19" i="100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85" i="98"/>
  <c r="K85" i="98"/>
  <c r="H19" i="97"/>
  <c r="M85" i="98"/>
  <c r="H85" i="97"/>
  <c r="M19" i="97"/>
  <c r="F85" i="97"/>
  <c r="C19" i="97"/>
  <c r="F85" i="98"/>
  <c r="K19" i="98"/>
  <c r="F19" i="98"/>
  <c r="K25" i="88"/>
  <c r="C85" i="97"/>
  <c r="C19" i="98"/>
  <c r="M19" i="98"/>
  <c r="M85" i="97"/>
  <c r="F19" i="97"/>
  <c r="H19" i="98"/>
  <c r="K85" i="97"/>
  <c r="C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M19" i="96"/>
  <c r="H84" i="96"/>
  <c r="K19" i="96"/>
  <c r="C84" i="96"/>
  <c r="F19" i="96"/>
  <c r="K84" i="96"/>
  <c r="C19" i="96"/>
  <c r="H19" i="96"/>
  <c r="M84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K19" i="95"/>
  <c r="M85" i="95"/>
  <c r="H85" i="95"/>
  <c r="C19" i="95"/>
  <c r="C85" i="95"/>
  <c r="H19" i="95"/>
  <c r="F85" i="95"/>
  <c r="M19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85" i="94"/>
  <c r="C85" i="94"/>
  <c r="K19" i="94"/>
  <c r="H19" i="94"/>
  <c r="C19" i="94"/>
  <c r="K85" i="94"/>
  <c r="M19" i="94"/>
  <c r="F19" i="94"/>
  <c r="H85" i="94"/>
  <c r="M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97" i="93"/>
  <c r="K97" i="93"/>
  <c r="H97" i="93"/>
  <c r="F97" i="93"/>
  <c r="C9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98" i="93"/>
  <c r="M26" i="93"/>
  <c r="H26" i="93"/>
  <c r="F26" i="93"/>
  <c r="H98" i="93"/>
  <c r="M98" i="93"/>
  <c r="F98" i="93"/>
  <c r="K98" i="93"/>
  <c r="Q8" i="94" l="1"/>
  <c r="Q7" i="94" s="1"/>
  <c r="Q3" i="94"/>
  <c r="Q6" i="94" s="1"/>
  <c r="Z578" i="38"/>
  <c r="O578" i="38"/>
  <c r="P578" i="38"/>
  <c r="M7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9" i="91"/>
  <c r="H26" i="92"/>
  <c r="C19" i="91"/>
  <c r="K98" i="92"/>
  <c r="K19" i="91"/>
  <c r="F85" i="91"/>
  <c r="K26" i="92"/>
  <c r="K85" i="91"/>
  <c r="M26" i="92"/>
  <c r="H98" i="92"/>
  <c r="M85" i="91"/>
  <c r="C85" i="91"/>
  <c r="H19" i="91"/>
  <c r="C98" i="92"/>
  <c r="F26" i="92"/>
  <c r="M98" i="92"/>
  <c r="F98" i="92"/>
  <c r="H85" i="91"/>
  <c r="C26" i="92"/>
  <c r="F19" i="91"/>
  <c r="F19" i="47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19" i="90"/>
  <c r="C85" i="90"/>
  <c r="F19" i="90"/>
  <c r="M19" i="90"/>
  <c r="C19" i="90"/>
  <c r="K19" i="90"/>
  <c r="M85" i="90"/>
  <c r="K85" i="90"/>
  <c r="F85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19" i="89"/>
  <c r="C85" i="89"/>
  <c r="H19" i="89"/>
  <c r="M85" i="89"/>
  <c r="H60" i="51"/>
  <c r="K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K85" i="87"/>
  <c r="M25" i="88"/>
  <c r="H19" i="87"/>
  <c r="K101" i="88"/>
  <c r="F25" i="88"/>
  <c r="M85" i="87"/>
  <c r="F85" i="87"/>
  <c r="C101" i="88"/>
  <c r="H101" i="88"/>
  <c r="F101" i="88"/>
  <c r="C19" i="87"/>
  <c r="C85" i="87"/>
  <c r="M101" i="88"/>
  <c r="F19" i="87"/>
  <c r="H85" i="87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85" i="86"/>
  <c r="H85" i="86"/>
  <c r="F19" i="86"/>
  <c r="M19" i="86"/>
  <c r="M85" i="86"/>
  <c r="H19" i="86"/>
  <c r="K85" i="86"/>
  <c r="C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85" i="85"/>
  <c r="H85" i="85"/>
  <c r="C19" i="85"/>
  <c r="K19" i="85"/>
  <c r="K85" i="85"/>
  <c r="M19" i="85"/>
  <c r="F19" i="85"/>
  <c r="C85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85" i="83"/>
  <c r="H25" i="84"/>
  <c r="K110" i="84"/>
  <c r="F19" i="83"/>
  <c r="H85" i="83"/>
  <c r="M19" i="83"/>
  <c r="C110" i="84"/>
  <c r="H110" i="84"/>
  <c r="H19" i="83"/>
  <c r="M85" i="83"/>
  <c r="C25" i="84"/>
  <c r="F110" i="84"/>
  <c r="K19" i="83"/>
  <c r="C19" i="83"/>
  <c r="F85" i="83"/>
  <c r="M25" i="84"/>
  <c r="M110" i="84"/>
  <c r="K85" i="83"/>
  <c r="F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H19" i="82"/>
  <c r="M18" i="74"/>
  <c r="H60" i="82"/>
  <c r="F60" i="82"/>
  <c r="C60" i="82"/>
  <c r="C19" i="82"/>
  <c r="H18" i="74"/>
  <c r="K60" i="82"/>
  <c r="M60" i="82"/>
  <c r="F19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C96" i="31"/>
  <c r="M96" i="31"/>
  <c r="K96" i="31"/>
  <c r="C78" i="75"/>
  <c r="F78" i="75"/>
  <c r="H96" i="31"/>
  <c r="F96" i="31"/>
  <c r="K78" i="75"/>
  <c r="H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85" i="64"/>
  <c r="H85" i="64"/>
  <c r="K19" i="64"/>
  <c r="H19" i="64"/>
  <c r="M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H110" i="81"/>
  <c r="K110" i="81"/>
  <c r="M110" i="81"/>
  <c r="C110" i="81"/>
  <c r="F30" i="81"/>
  <c r="H3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19" i="80"/>
  <c r="F85" i="80"/>
  <c r="H85" i="80"/>
  <c r="M85" i="80"/>
  <c r="M19" i="80"/>
  <c r="F19" i="80"/>
  <c r="K85" i="80"/>
  <c r="C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C19" i="79"/>
  <c r="M65" i="79"/>
  <c r="K65" i="79"/>
  <c r="H65" i="79"/>
  <c r="H19" i="79"/>
  <c r="F65" i="79"/>
  <c r="K19" i="79"/>
  <c r="M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M19" i="78"/>
  <c r="M85" i="78"/>
  <c r="F85" i="78"/>
  <c r="K19" i="78"/>
  <c r="C85" i="78"/>
  <c r="H19" i="78"/>
  <c r="F19" i="78"/>
  <c r="K85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F19" i="77"/>
  <c r="M89" i="77"/>
  <c r="C19" i="77"/>
  <c r="C89" i="77"/>
  <c r="F89" i="77"/>
  <c r="H89" i="77"/>
  <c r="M1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H77" i="69"/>
  <c r="F77" i="69"/>
  <c r="K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M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C93" i="68"/>
  <c r="H93" i="68"/>
  <c r="F93" i="68"/>
  <c r="K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6" i="25"/>
  <c r="H846" i="25"/>
  <c r="C846" i="25"/>
  <c r="F822" i="25"/>
  <c r="F821" i="25"/>
  <c r="F820" i="25"/>
  <c r="F819" i="25"/>
  <c r="F818" i="25"/>
  <c r="F817" i="25"/>
  <c r="F816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F728" i="25"/>
  <c r="F727" i="25"/>
  <c r="F726" i="25"/>
  <c r="K725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47" i="25"/>
  <c r="H847" i="25"/>
  <c r="C847" i="25"/>
  <c r="F847" i="25"/>
  <c r="K847" i="25"/>
  <c r="O364" i="38" l="1"/>
  <c r="Z364" i="38"/>
  <c r="N363" i="38"/>
  <c r="F846" i="25"/>
  <c r="K846" i="25"/>
  <c r="P363" i="38"/>
  <c r="O363" i="38" l="1"/>
  <c r="Z363" i="38"/>
  <c r="M583" i="25"/>
  <c r="Q10" i="25" s="1"/>
  <c r="E362" i="38"/>
  <c r="H362" i="38"/>
  <c r="K362" i="38"/>
  <c r="M362" i="38"/>
  <c r="U362" i="38" s="1"/>
  <c r="S362" i="38"/>
  <c r="K317" i="25" l="1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H329" i="25"/>
  <c r="G329" i="25"/>
  <c r="H328" i="25"/>
  <c r="G328" i="25"/>
  <c r="H327" i="25"/>
  <c r="G327" i="25"/>
  <c r="H326" i="25"/>
  <c r="G326" i="25"/>
  <c r="H325" i="25"/>
  <c r="G325" i="25"/>
  <c r="H324" i="25"/>
  <c r="G324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77" i="70"/>
  <c r="H451" i="17"/>
  <c r="K451" i="17"/>
  <c r="K18" i="74"/>
  <c r="C51" i="54"/>
  <c r="C19" i="63"/>
  <c r="C108" i="45"/>
  <c r="H72" i="59"/>
  <c r="F19" i="63"/>
  <c r="M30" i="49"/>
  <c r="C19" i="60"/>
  <c r="H108" i="45"/>
  <c r="C30" i="40"/>
  <c r="F19" i="73"/>
  <c r="C94" i="52"/>
  <c r="M23" i="57"/>
  <c r="H19" i="75"/>
  <c r="H19" i="66"/>
  <c r="M19" i="52"/>
  <c r="M213" i="58"/>
  <c r="H19" i="62"/>
  <c r="K19" i="70"/>
  <c r="C19" i="66"/>
  <c r="C156" i="49"/>
  <c r="F19" i="60"/>
  <c r="H65" i="63"/>
  <c r="H25" i="31"/>
  <c r="F72" i="59"/>
  <c r="H19" i="61"/>
  <c r="C65" i="71"/>
  <c r="K75" i="41"/>
  <c r="H23" i="17"/>
  <c r="F19" i="61"/>
  <c r="F19" i="55"/>
  <c r="F23" i="57"/>
  <c r="M451" i="17"/>
  <c r="H86" i="53"/>
  <c r="M51" i="54"/>
  <c r="F19" i="41"/>
  <c r="F30" i="49"/>
  <c r="K63" i="66"/>
  <c r="M30" i="40"/>
  <c r="H63" i="66"/>
  <c r="K19" i="3"/>
  <c r="F25" i="31"/>
  <c r="M81" i="61"/>
  <c r="M65" i="63"/>
  <c r="F77" i="70"/>
  <c r="F19" i="3"/>
  <c r="C75" i="41"/>
  <c r="F75" i="41"/>
  <c r="H90" i="72"/>
  <c r="H19" i="63"/>
  <c r="K19" i="54"/>
  <c r="C19" i="75"/>
  <c r="M19" i="63"/>
  <c r="F19" i="75"/>
  <c r="F28" i="43"/>
  <c r="K19" i="60"/>
  <c r="M100" i="34"/>
  <c r="F19" i="54"/>
  <c r="K30" i="40"/>
  <c r="H94" i="52"/>
  <c r="F108" i="45"/>
  <c r="H43" i="58"/>
  <c r="H19" i="69"/>
  <c r="K90" i="72"/>
  <c r="H19" i="55"/>
  <c r="M19" i="62"/>
  <c r="C19" i="68"/>
  <c r="C63" i="66"/>
  <c r="K213" i="57"/>
  <c r="F19" i="72"/>
  <c r="K19" i="53"/>
  <c r="F30" i="40"/>
  <c r="F43" i="58"/>
  <c r="C65" i="63"/>
  <c r="M19" i="41"/>
  <c r="K19" i="34"/>
  <c r="K19" i="52"/>
  <c r="F86" i="53"/>
  <c r="M86" i="53"/>
  <c r="M72" i="59"/>
  <c r="M65" i="71"/>
  <c r="F60" i="51"/>
  <c r="M19" i="71"/>
  <c r="C19" i="69"/>
  <c r="K19" i="50"/>
  <c r="F81" i="61"/>
  <c r="F18" i="74"/>
  <c r="M25" i="31"/>
  <c r="F19" i="59"/>
  <c r="C23" i="57"/>
  <c r="M213" i="57"/>
  <c r="F23" i="17"/>
  <c r="M19" i="59"/>
  <c r="K19" i="72"/>
  <c r="F113" i="25"/>
  <c r="K19" i="55"/>
  <c r="H19" i="52"/>
  <c r="H19" i="50"/>
  <c r="K67" i="60"/>
  <c r="M19" i="54"/>
  <c r="C72" i="59"/>
  <c r="K19" i="75"/>
  <c r="F213" i="58"/>
  <c r="K86" i="53"/>
  <c r="C19" i="34"/>
  <c r="K55" i="50"/>
  <c r="M156" i="49"/>
  <c r="C77" i="70"/>
  <c r="M19" i="61"/>
  <c r="K77" i="70"/>
  <c r="C43" i="58"/>
  <c r="H19" i="73"/>
  <c r="C23" i="17"/>
  <c r="F65" i="63"/>
  <c r="M108" i="45"/>
  <c r="M19" i="45"/>
  <c r="K19" i="68"/>
  <c r="K19" i="61"/>
  <c r="H55" i="50"/>
  <c r="K51" i="54"/>
  <c r="M55" i="50"/>
  <c r="H19" i="71"/>
  <c r="M19" i="66"/>
  <c r="H19" i="70"/>
  <c r="H19" i="34"/>
  <c r="C19" i="50"/>
  <c r="F19" i="45"/>
  <c r="H19" i="68"/>
  <c r="C113" i="25"/>
  <c r="M19" i="60"/>
  <c r="F63" i="66"/>
  <c r="M75" i="41"/>
  <c r="K23" i="57"/>
  <c r="C19" i="52"/>
  <c r="C19" i="72"/>
  <c r="M60" i="51"/>
  <c r="C19" i="41"/>
  <c r="F51" i="54"/>
  <c r="H81" i="61"/>
  <c r="F19" i="68"/>
  <c r="H156" i="49"/>
  <c r="F19" i="66"/>
  <c r="M19" i="53"/>
  <c r="M19" i="75"/>
  <c r="K60" i="51"/>
  <c r="C213" i="58"/>
  <c r="C85" i="64"/>
  <c r="H51" i="54"/>
  <c r="F55" i="50"/>
  <c r="H19" i="41"/>
  <c r="C19" i="45"/>
  <c r="H19" i="54"/>
  <c r="C19" i="59"/>
  <c r="H75" i="41"/>
  <c r="H113" i="25"/>
  <c r="F19" i="69"/>
  <c r="C19" i="70"/>
  <c r="M19" i="73"/>
  <c r="C19" i="3"/>
  <c r="F19" i="70"/>
  <c r="F19" i="64"/>
  <c r="K156" i="49"/>
  <c r="C86" i="53"/>
  <c r="H30" i="40"/>
  <c r="M63" i="66"/>
  <c r="K213" i="58"/>
  <c r="H67" i="60"/>
  <c r="F65" i="71"/>
  <c r="H213" i="57"/>
  <c r="F19" i="62"/>
  <c r="K23" i="17"/>
  <c r="F85" i="64"/>
  <c r="M19" i="69"/>
  <c r="C19" i="62"/>
  <c r="K19" i="63"/>
  <c r="C25" i="31"/>
  <c r="H100" i="34"/>
  <c r="F67" i="60"/>
  <c r="H119" i="7"/>
  <c r="C119" i="7"/>
  <c r="M119" i="7"/>
  <c r="K100" i="34"/>
  <c r="K65" i="71"/>
  <c r="C19" i="55"/>
  <c r="M23" i="17"/>
  <c r="K19" i="41"/>
  <c r="K43" i="58"/>
  <c r="F94" i="52"/>
  <c r="K72" i="59"/>
  <c r="H19" i="60"/>
  <c r="F19" i="71"/>
  <c r="C55" i="50"/>
  <c r="M19" i="3"/>
  <c r="M19" i="50"/>
  <c r="H19" i="53"/>
  <c r="M77" i="70"/>
  <c r="C19" i="54"/>
  <c r="H19" i="59"/>
  <c r="C90" i="72"/>
  <c r="K108" i="45"/>
  <c r="F90" i="72"/>
  <c r="K119" i="7"/>
  <c r="F19" i="52"/>
  <c r="F213" i="57"/>
  <c r="C19" i="61"/>
  <c r="C19" i="71"/>
  <c r="K19" i="71"/>
  <c r="F19" i="53"/>
  <c r="C67" i="60"/>
  <c r="K19" i="62"/>
  <c r="F19" i="50"/>
  <c r="K19" i="66"/>
  <c r="C100" i="34"/>
  <c r="M94" i="52"/>
  <c r="C30" i="49"/>
  <c r="M43" i="58"/>
  <c r="M19" i="55"/>
  <c r="H19" i="72"/>
  <c r="M90" i="72"/>
  <c r="C81" i="61"/>
  <c r="M19" i="70"/>
  <c r="K94" i="52"/>
  <c r="F19" i="34"/>
  <c r="C19" i="53"/>
  <c r="F156" i="49"/>
  <c r="H65" i="71"/>
  <c r="M67" i="60"/>
  <c r="K19" i="73"/>
  <c r="K65" i="63"/>
  <c r="H19" i="3"/>
  <c r="M19" i="68"/>
  <c r="K19" i="69"/>
  <c r="C213" i="57"/>
  <c r="H213" i="58"/>
  <c r="F451" i="17"/>
  <c r="M19" i="72"/>
  <c r="K19" i="59"/>
  <c r="C451" i="17"/>
  <c r="F119" i="7"/>
  <c r="K25" i="31"/>
  <c r="F100" i="34"/>
  <c r="M19" i="34"/>
  <c r="C19" i="73"/>
  <c r="C19" i="64"/>
  <c r="K81" i="61"/>
  <c r="V780" i="38" l="1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95" i="43"/>
  <c r="Q10" i="43" s="1"/>
  <c r="J9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80" i="38" l="1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8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78" i="38" l="1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<sst xmlns="http://schemas.openxmlformats.org/spreadsheetml/2006/main" count="8675" uniqueCount="1331">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</sst>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42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421"/>
      <tableStyleElement type="headerRow" dxfId="3420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4424"/>
        <c:axId val="362835992"/>
      </c:scatterChart>
      <c:valAx>
        <c:axId val="362834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35992"/>
        <c:crosses val="autoZero"/>
        <c:crossBetween val="midCat"/>
      </c:valAx>
      <c:valAx>
        <c:axId val="3628359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3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3248"/>
        <c:axId val="362837952"/>
      </c:scatterChart>
      <c:valAx>
        <c:axId val="36283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37952"/>
        <c:crosses val="autoZero"/>
        <c:crossBetween val="midCat"/>
      </c:valAx>
      <c:valAx>
        <c:axId val="36283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332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2464"/>
        <c:axId val="362831288"/>
      </c:scatterChart>
      <c:valAx>
        <c:axId val="3628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31288"/>
        <c:crosses val="autoZero"/>
        <c:crossBetween val="midCat"/>
      </c:valAx>
      <c:valAx>
        <c:axId val="3628312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3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83848"/>
        <c:axId val="469281496"/>
      </c:scatterChart>
      <c:valAx>
        <c:axId val="46928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1496"/>
        <c:crosses val="autoZero"/>
        <c:crossBetween val="midCat"/>
      </c:valAx>
      <c:valAx>
        <c:axId val="46928149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3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83064"/>
        <c:axId val="469278752"/>
      </c:scatterChart>
      <c:valAx>
        <c:axId val="469283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78752"/>
        <c:crosses val="autoZero"/>
        <c:crossBetween val="midCat"/>
      </c:valAx>
      <c:valAx>
        <c:axId val="469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3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84240"/>
        <c:axId val="469285808"/>
      </c:scatterChart>
      <c:valAx>
        <c:axId val="46928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5808"/>
        <c:crosses val="autoZero"/>
        <c:crossBetween val="midCat"/>
      </c:valAx>
      <c:valAx>
        <c:axId val="46928580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80712"/>
        <c:axId val="469285024"/>
      </c:scatterChart>
      <c:valAx>
        <c:axId val="469280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5024"/>
        <c:crosses val="autoZero"/>
        <c:crossBetween val="midCat"/>
      </c:valAx>
      <c:valAx>
        <c:axId val="469285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07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81104"/>
        <c:axId val="469285416"/>
      </c:scatterChart>
      <c:valAx>
        <c:axId val="46928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5416"/>
        <c:crosses val="autoZero"/>
        <c:crossBetween val="midCat"/>
      </c:valAx>
      <c:valAx>
        <c:axId val="46928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46408"/>
        <c:axId val="470348368"/>
      </c:lineChart>
      <c:dateAx>
        <c:axId val="470346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8368"/>
        <c:crosses val="autoZero"/>
        <c:auto val="1"/>
        <c:lblOffset val="100"/>
        <c:baseTimeUnit val="days"/>
      </c:dateAx>
      <c:valAx>
        <c:axId val="4703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45624"/>
        <c:axId val="470346016"/>
      </c:lineChart>
      <c:dateAx>
        <c:axId val="47034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6016"/>
        <c:crosses val="autoZero"/>
        <c:auto val="1"/>
        <c:lblOffset val="100"/>
        <c:baseTimeUnit val="days"/>
      </c:dateAx>
      <c:valAx>
        <c:axId val="4703460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696720"/>
        <c:axId val="470699072"/>
      </c:lineChart>
      <c:dateAx>
        <c:axId val="470696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9072"/>
        <c:crosses val="autoZero"/>
        <c:auto val="1"/>
        <c:lblOffset val="100"/>
        <c:baseTimeUnit val="days"/>
      </c:dateAx>
      <c:valAx>
        <c:axId val="47069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697504"/>
        <c:axId val="470695152"/>
      </c:lineChart>
      <c:dateAx>
        <c:axId val="470697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5152"/>
        <c:crosses val="autoZero"/>
        <c:auto val="1"/>
        <c:lblOffset val="100"/>
        <c:baseTimeUnit val="days"/>
      </c:dateAx>
      <c:valAx>
        <c:axId val="47069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00640"/>
        <c:axId val="470695936"/>
      </c:lineChart>
      <c:dateAx>
        <c:axId val="470700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5936"/>
        <c:crosses val="autoZero"/>
        <c:auto val="1"/>
        <c:lblOffset val="100"/>
        <c:baseTimeUnit val="days"/>
      </c:dateAx>
      <c:valAx>
        <c:axId val="47069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01032"/>
        <c:axId val="470697112"/>
      </c:lineChart>
      <c:dateAx>
        <c:axId val="470701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7112"/>
        <c:crosses val="autoZero"/>
        <c:auto val="1"/>
        <c:lblOffset val="100"/>
        <c:baseTimeUnit val="days"/>
      </c:dateAx>
      <c:valAx>
        <c:axId val="47069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701424"/>
        <c:axId val="470696328"/>
      </c:lineChart>
      <c:dateAx>
        <c:axId val="470701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6328"/>
        <c:crosses val="autoZero"/>
        <c:auto val="1"/>
        <c:lblOffset val="100"/>
        <c:baseTimeUnit val="days"/>
      </c:dateAx>
      <c:valAx>
        <c:axId val="470696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702208"/>
        <c:axId val="470702600"/>
      </c:lineChart>
      <c:dateAx>
        <c:axId val="470702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2600"/>
        <c:crosses val="autoZero"/>
        <c:auto val="1"/>
        <c:lblOffset val="100"/>
        <c:baseTimeUnit val="days"/>
      </c:dateAx>
      <c:valAx>
        <c:axId val="47070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</c:numCache>
            </c:numRef>
          </c:cat>
          <c:val>
            <c:numRef>
              <c:f>MRO!$D$117:$D$321</c:f>
              <c:numCache>
                <c:formatCode>0.000</c:formatCode>
                <c:ptCount val="205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</c:numCache>
            </c:numRef>
          </c:cat>
          <c:val>
            <c:numRef>
              <c:f>MRO!$E$117:$E$321</c:f>
              <c:numCache>
                <c:formatCode>0.00</c:formatCode>
                <c:ptCount val="205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60936"/>
        <c:axId val="473058976"/>
      </c:lineChart>
      <c:dateAx>
        <c:axId val="473060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8976"/>
        <c:crosses val="autoZero"/>
        <c:auto val="1"/>
        <c:lblOffset val="100"/>
        <c:baseTimeUnit val="days"/>
      </c:dateAx>
      <c:valAx>
        <c:axId val="47305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0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</c:numCache>
            </c:numRef>
          </c:cat>
          <c:val>
            <c:numRef>
              <c:f>MRO!$K$117:$K$321</c:f>
              <c:numCache>
                <c:formatCode>0.00</c:formatCode>
                <c:ptCount val="205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58192"/>
        <c:axId val="473057408"/>
      </c:lineChart>
      <c:dateAx>
        <c:axId val="473058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7408"/>
        <c:crosses val="autoZero"/>
        <c:auto val="1"/>
        <c:lblOffset val="100"/>
        <c:baseTimeUnit val="days"/>
      </c:dateAx>
      <c:valAx>
        <c:axId val="4730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59368"/>
        <c:axId val="473056624"/>
      </c:lineChart>
      <c:dateAx>
        <c:axId val="473059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6624"/>
        <c:crosses val="autoZero"/>
        <c:auto val="1"/>
        <c:lblOffset val="100"/>
        <c:baseTimeUnit val="days"/>
      </c:dateAx>
      <c:valAx>
        <c:axId val="47305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55056"/>
        <c:axId val="473055840"/>
      </c:lineChart>
      <c:dateAx>
        <c:axId val="473055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5840"/>
        <c:crosses val="autoZero"/>
        <c:auto val="1"/>
        <c:lblOffset val="100"/>
        <c:baseTimeUnit val="days"/>
      </c:dateAx>
      <c:valAx>
        <c:axId val="4730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56232"/>
        <c:axId val="473057800"/>
      </c:lineChart>
      <c:dateAx>
        <c:axId val="473056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7800"/>
        <c:crosses val="autoZero"/>
        <c:auto val="1"/>
        <c:lblOffset val="100"/>
        <c:baseTimeUnit val="days"/>
      </c:dateAx>
      <c:valAx>
        <c:axId val="473057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5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60544"/>
        <c:axId val="473061720"/>
      </c:lineChart>
      <c:dateAx>
        <c:axId val="473060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1720"/>
        <c:crosses val="autoZero"/>
        <c:auto val="1"/>
        <c:lblOffset val="100"/>
        <c:baseTimeUnit val="days"/>
      </c:dateAx>
      <c:valAx>
        <c:axId val="47306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6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51560"/>
        <c:axId val="474447248"/>
      </c:lineChart>
      <c:dateAx>
        <c:axId val="474451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47248"/>
        <c:crosses val="autoZero"/>
        <c:auto val="1"/>
        <c:lblOffset val="100"/>
        <c:baseTimeUnit val="days"/>
      </c:dateAx>
      <c:valAx>
        <c:axId val="47444724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5156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53128"/>
        <c:axId val="474451952"/>
      </c:lineChart>
      <c:dateAx>
        <c:axId val="474453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51952"/>
        <c:crosses val="autoZero"/>
        <c:auto val="1"/>
        <c:lblOffset val="100"/>
        <c:baseTimeUnit val="days"/>
      </c:dateAx>
      <c:valAx>
        <c:axId val="4744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531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452736"/>
        <c:axId val="474453520"/>
      </c:lineChart>
      <c:dateAx>
        <c:axId val="474452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53520"/>
        <c:crosses val="autoZero"/>
        <c:auto val="1"/>
        <c:lblOffset val="100"/>
        <c:baseTimeUnit val="days"/>
      </c:dateAx>
      <c:valAx>
        <c:axId val="47445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5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446464"/>
        <c:axId val="474449992"/>
      </c:lineChart>
      <c:dateAx>
        <c:axId val="474446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49992"/>
        <c:crosses val="autoZero"/>
        <c:auto val="1"/>
        <c:lblOffset val="100"/>
        <c:baseTimeUnit val="days"/>
      </c:dateAx>
      <c:valAx>
        <c:axId val="47444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4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48424"/>
        <c:axId val="474449208"/>
      </c:lineChart>
      <c:dateAx>
        <c:axId val="474448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49208"/>
        <c:crosses val="autoZero"/>
        <c:auto val="1"/>
        <c:lblOffset val="100"/>
        <c:baseTimeUnit val="days"/>
      </c:dateAx>
      <c:valAx>
        <c:axId val="47444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4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90128"/>
        <c:axId val="486190912"/>
      </c:lineChart>
      <c:dateAx>
        <c:axId val="486190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90912"/>
        <c:crosses val="autoZero"/>
        <c:auto val="1"/>
        <c:lblOffset val="100"/>
        <c:baseTimeUnit val="days"/>
      </c:dateAx>
      <c:valAx>
        <c:axId val="4861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9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85816"/>
        <c:axId val="486183856"/>
      </c:lineChart>
      <c:dateAx>
        <c:axId val="486185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3856"/>
        <c:crosses val="autoZero"/>
        <c:auto val="1"/>
        <c:lblOffset val="100"/>
        <c:baseTimeUnit val="days"/>
      </c:dateAx>
      <c:valAx>
        <c:axId val="48618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5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86600"/>
        <c:axId val="486185032"/>
      </c:lineChart>
      <c:dateAx>
        <c:axId val="486186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5032"/>
        <c:crosses val="autoZero"/>
        <c:auto val="1"/>
        <c:lblOffset val="100"/>
        <c:baseTimeUnit val="days"/>
      </c:dateAx>
      <c:valAx>
        <c:axId val="48618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83464"/>
        <c:axId val="486184248"/>
      </c:lineChart>
      <c:dateAx>
        <c:axId val="486183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4248"/>
        <c:crosses val="autoZero"/>
        <c:auto val="1"/>
        <c:lblOffset val="100"/>
        <c:baseTimeUnit val="days"/>
      </c:dateAx>
      <c:valAx>
        <c:axId val="48618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3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84640"/>
        <c:axId val="486185424"/>
      </c:lineChart>
      <c:dateAx>
        <c:axId val="486184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5424"/>
        <c:crosses val="autoZero"/>
        <c:auto val="1"/>
        <c:lblOffset val="100"/>
        <c:baseTimeUnit val="days"/>
      </c:dateAx>
      <c:valAx>
        <c:axId val="48618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T!$B$32:$B$76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</c:numCache>
            </c:numRef>
          </c:cat>
          <c:val>
            <c:numRef>
              <c:f>T!$E$32:$E$76</c:f>
              <c:numCache>
                <c:formatCode>0.00</c:formatCode>
                <c:ptCount val="4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T!$B$32:$B$76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</c:numCache>
            </c:numRef>
          </c:cat>
          <c:val>
            <c:numRef>
              <c:f>T!$D$32:$D$76</c:f>
              <c:numCache>
                <c:formatCode>0.00</c:formatCode>
                <c:ptCount val="4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86992"/>
        <c:axId val="486187384"/>
      </c:lineChart>
      <c:dateAx>
        <c:axId val="486186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7384"/>
        <c:crosses val="autoZero"/>
        <c:auto val="1"/>
        <c:lblOffset val="100"/>
        <c:baseTimeUnit val="days"/>
      </c:dateAx>
      <c:valAx>
        <c:axId val="48618738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T!$B$32:$B$76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</c:numCache>
            </c:numRef>
          </c:cat>
          <c:val>
            <c:numRef>
              <c:f>T!$F$32:$F$76</c:f>
              <c:numCache>
                <c:formatCode>0.00</c:formatCode>
                <c:ptCount val="45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88560"/>
        <c:axId val="486189344"/>
      </c:lineChart>
      <c:dateAx>
        <c:axId val="486188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9344"/>
        <c:crosses val="autoZero"/>
        <c:auto val="1"/>
        <c:lblOffset val="100"/>
        <c:baseTimeUnit val="days"/>
      </c:dateAx>
      <c:valAx>
        <c:axId val="48618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8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512"/>
        <c:axId val="474374648"/>
      </c:lineChart>
      <c:dateAx>
        <c:axId val="47437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74648"/>
        <c:crosses val="autoZero"/>
        <c:auto val="1"/>
        <c:lblOffset val="100"/>
        <c:baseTimeUnit val="days"/>
      </c:dateAx>
      <c:valAx>
        <c:axId val="474374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7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4256"/>
        <c:axId val="474372296"/>
      </c:lineChart>
      <c:dateAx>
        <c:axId val="474374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72296"/>
        <c:crosses val="autoZero"/>
        <c:auto val="1"/>
        <c:lblOffset val="100"/>
        <c:baseTimeUnit val="days"/>
      </c:dateAx>
      <c:valAx>
        <c:axId val="47437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7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5040"/>
        <c:axId val="474376216"/>
      </c:lineChart>
      <c:dateAx>
        <c:axId val="474375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76216"/>
        <c:crosses val="autoZero"/>
        <c:auto val="1"/>
        <c:lblOffset val="100"/>
        <c:baseTimeUnit val="days"/>
      </c:dateAx>
      <c:valAx>
        <c:axId val="47437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7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69552"/>
        <c:axId val="474370336"/>
      </c:lineChart>
      <c:dateAx>
        <c:axId val="474369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70336"/>
        <c:crosses val="autoZero"/>
        <c:auto val="1"/>
        <c:lblOffset val="100"/>
        <c:baseTimeUnit val="days"/>
      </c:dateAx>
      <c:valAx>
        <c:axId val="4743703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36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48424"/>
        <c:axId val="499551560"/>
      </c:lineChart>
      <c:dateAx>
        <c:axId val="499548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1560"/>
        <c:crosses val="autoZero"/>
        <c:auto val="1"/>
        <c:lblOffset val="100"/>
        <c:baseTimeUnit val="days"/>
      </c:dateAx>
      <c:valAx>
        <c:axId val="49955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546464"/>
        <c:axId val="499550384"/>
      </c:lineChart>
      <c:dateAx>
        <c:axId val="499546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0384"/>
        <c:crosses val="autoZero"/>
        <c:auto val="1"/>
        <c:lblOffset val="100"/>
        <c:baseTimeUnit val="days"/>
      </c:dateAx>
      <c:valAx>
        <c:axId val="49955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549600"/>
        <c:axId val="499546072"/>
      </c:lineChart>
      <c:dateAx>
        <c:axId val="499549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6072"/>
        <c:crosses val="autoZero"/>
        <c:auto val="1"/>
        <c:lblOffset val="100"/>
        <c:baseTimeUnit val="days"/>
      </c:dateAx>
      <c:valAx>
        <c:axId val="49954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51952"/>
        <c:axId val="499555872"/>
      </c:lineChart>
      <c:dateAx>
        <c:axId val="499551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872"/>
        <c:crosses val="autoZero"/>
        <c:auto val="1"/>
        <c:lblOffset val="100"/>
        <c:baseTimeUnit val="days"/>
      </c:dateAx>
      <c:valAx>
        <c:axId val="49955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51168"/>
        <c:axId val="499557440"/>
      </c:lineChart>
      <c:dateAx>
        <c:axId val="499551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7440"/>
        <c:crosses val="autoZero"/>
        <c:auto val="1"/>
        <c:lblOffset val="100"/>
        <c:baseTimeUnit val="days"/>
      </c:dateAx>
      <c:valAx>
        <c:axId val="49955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45680"/>
        <c:axId val="499546856"/>
      </c:scatterChart>
      <c:valAx>
        <c:axId val="49954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6856"/>
        <c:crosses val="autoZero"/>
        <c:crossBetween val="midCat"/>
      </c:valAx>
      <c:valAx>
        <c:axId val="499546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55088"/>
        <c:axId val="499553520"/>
      </c:scatterChart>
      <c:valAx>
        <c:axId val="49955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3520"/>
        <c:crosses val="autoZero"/>
        <c:crossBetween val="midCat"/>
      </c:valAx>
      <c:valAx>
        <c:axId val="49955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59400"/>
        <c:axId val="499559792"/>
      </c:lineChart>
      <c:catAx>
        <c:axId val="49955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9792"/>
        <c:crosses val="autoZero"/>
        <c:auto val="1"/>
        <c:lblAlgn val="ctr"/>
        <c:lblOffset val="100"/>
        <c:noMultiLvlLbl val="0"/>
      </c:catAx>
      <c:valAx>
        <c:axId val="499559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12928"/>
        <c:axId val="499404696"/>
      </c:lineChart>
      <c:dateAx>
        <c:axId val="49941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4696"/>
        <c:crosses val="autoZero"/>
        <c:auto val="1"/>
        <c:lblOffset val="100"/>
        <c:baseTimeUnit val="days"/>
      </c:dateAx>
      <c:valAx>
        <c:axId val="499404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05480"/>
        <c:axId val="499405088"/>
      </c:lineChart>
      <c:dateAx>
        <c:axId val="49940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5088"/>
        <c:crosses val="autoZero"/>
        <c:auto val="1"/>
        <c:lblOffset val="100"/>
        <c:baseTimeUnit val="days"/>
      </c:dateAx>
      <c:valAx>
        <c:axId val="4994050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12536"/>
        <c:axId val="499408224"/>
      </c:lineChart>
      <c:dateAx>
        <c:axId val="49941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8224"/>
        <c:crosses val="autoZero"/>
        <c:auto val="1"/>
        <c:lblOffset val="100"/>
        <c:baseTimeUnit val="days"/>
      </c:dateAx>
      <c:valAx>
        <c:axId val="4994082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01560"/>
        <c:axId val="499410184"/>
      </c:lineChart>
      <c:dateAx>
        <c:axId val="499401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0184"/>
        <c:crosses val="autoZero"/>
        <c:auto val="1"/>
        <c:lblOffset val="100"/>
        <c:baseTimeUnit val="days"/>
      </c:dateAx>
      <c:valAx>
        <c:axId val="49941018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1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00776"/>
        <c:axId val="499401168"/>
      </c:lineChart>
      <c:dateAx>
        <c:axId val="499400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1168"/>
        <c:crosses val="autoZero"/>
        <c:auto val="1"/>
        <c:lblOffset val="100"/>
        <c:baseTimeUnit val="days"/>
      </c:dateAx>
      <c:valAx>
        <c:axId val="4994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0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14104"/>
        <c:axId val="499414496"/>
      </c:lineChart>
      <c:dateAx>
        <c:axId val="499414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4496"/>
        <c:crosses val="autoZero"/>
        <c:auto val="1"/>
        <c:lblOffset val="100"/>
        <c:baseTimeUnit val="days"/>
      </c:dateAx>
      <c:valAx>
        <c:axId val="4994144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16064"/>
        <c:axId val="499416456"/>
      </c:lineChart>
      <c:catAx>
        <c:axId val="499416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6456"/>
        <c:crosses val="autoZero"/>
        <c:auto val="1"/>
        <c:lblAlgn val="ctr"/>
        <c:lblOffset val="100"/>
        <c:noMultiLvlLbl val="0"/>
      </c:catAx>
      <c:valAx>
        <c:axId val="499416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10608"/>
        <c:axId val="553311392"/>
      </c:lineChart>
      <c:catAx>
        <c:axId val="553310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1392"/>
        <c:crosses val="autoZero"/>
        <c:auto val="1"/>
        <c:lblAlgn val="ctr"/>
        <c:lblOffset val="100"/>
        <c:noMultiLvlLbl val="0"/>
      </c:catAx>
      <c:valAx>
        <c:axId val="5533113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08256"/>
        <c:axId val="553312176"/>
      </c:lineChart>
      <c:dateAx>
        <c:axId val="553308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2176"/>
        <c:crosses val="autoZero"/>
        <c:auto val="1"/>
        <c:lblOffset val="100"/>
        <c:baseTimeUnit val="days"/>
      </c:dateAx>
      <c:valAx>
        <c:axId val="55331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0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11000"/>
        <c:axId val="553310216"/>
      </c:lineChart>
      <c:dateAx>
        <c:axId val="553311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0216"/>
        <c:crosses val="autoZero"/>
        <c:auto val="1"/>
        <c:lblOffset val="100"/>
        <c:baseTimeUnit val="days"/>
      </c:dateAx>
      <c:valAx>
        <c:axId val="5533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1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00808"/>
        <c:axId val="553311784"/>
      </c:lineChart>
      <c:dateAx>
        <c:axId val="553300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1784"/>
        <c:crosses val="autoZero"/>
        <c:auto val="1"/>
        <c:lblOffset val="100"/>
        <c:baseTimeUnit val="days"/>
      </c:dateAx>
      <c:valAx>
        <c:axId val="553311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0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01592"/>
        <c:axId val="553305904"/>
      </c:lineChart>
      <c:dateAx>
        <c:axId val="553301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05904"/>
        <c:crosses val="autoZero"/>
        <c:auto val="1"/>
        <c:lblOffset val="100"/>
        <c:baseTimeUnit val="days"/>
      </c:dateAx>
      <c:valAx>
        <c:axId val="5533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01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04728"/>
        <c:axId val="553306688"/>
      </c:lineChart>
      <c:dateAx>
        <c:axId val="55330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06688"/>
        <c:crosses val="autoZero"/>
        <c:auto val="1"/>
        <c:lblOffset val="100"/>
        <c:baseTimeUnit val="days"/>
      </c:dateAx>
      <c:valAx>
        <c:axId val="5533066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0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14136"/>
        <c:axId val="553313744"/>
      </c:lineChart>
      <c:dateAx>
        <c:axId val="553314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3744"/>
        <c:crosses val="autoZero"/>
        <c:auto val="1"/>
        <c:lblOffset val="100"/>
        <c:baseTimeUnit val="days"/>
      </c:dateAx>
      <c:valAx>
        <c:axId val="5533137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15704"/>
        <c:axId val="553312568"/>
      </c:lineChart>
      <c:dateAx>
        <c:axId val="553315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2568"/>
        <c:crosses val="autoZero"/>
        <c:auto val="1"/>
        <c:lblOffset val="100"/>
        <c:baseTimeUnit val="days"/>
      </c:dateAx>
      <c:valAx>
        <c:axId val="5533125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5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14528"/>
        <c:axId val="553314920"/>
      </c:lineChart>
      <c:dateAx>
        <c:axId val="553314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4920"/>
        <c:crosses val="autoZero"/>
        <c:auto val="1"/>
        <c:lblOffset val="100"/>
        <c:baseTimeUnit val="days"/>
      </c:dateAx>
      <c:valAx>
        <c:axId val="55331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48968"/>
        <c:axId val="568249360"/>
      </c:lineChart>
      <c:catAx>
        <c:axId val="568248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49360"/>
        <c:crosses val="autoZero"/>
        <c:auto val="1"/>
        <c:lblAlgn val="ctr"/>
        <c:lblOffset val="100"/>
        <c:noMultiLvlLbl val="0"/>
      </c:catAx>
      <c:valAx>
        <c:axId val="5682493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4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37208"/>
        <c:axId val="568239952"/>
      </c:lineChart>
      <c:dateAx>
        <c:axId val="568237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39952"/>
        <c:crosses val="autoZero"/>
        <c:auto val="1"/>
        <c:lblOffset val="100"/>
        <c:baseTimeUnit val="days"/>
      </c:dateAx>
      <c:valAx>
        <c:axId val="5682399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3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32" dataDxfId="531">
  <autoFilter ref="O15:W26"/>
  <tableColumns count="9">
    <tableColumn id="1" name="Date" dataDxfId="530"/>
    <tableColumn id="2" name="Quarter" dataDxfId="529"/>
    <tableColumn id="3" name="Time" dataDxfId="528"/>
    <tableColumn id="4" name="EPS estimate" dataDxfId="527"/>
    <tableColumn id="5" name="EPS Actual" dataDxfId="526"/>
    <tableColumn id="6" name="Sales Estiamte (B)" dataDxfId="525"/>
    <tableColumn id="7" name="Sales Actual (B)" dataDxfId="524"/>
    <tableColumn id="8" name="Guidance" dataDxfId="523"/>
    <tableColumn id="9" name="Reaction" dataDxfId="52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wsj.com/mdc/public/page/2_3021-peyield.html" TargetMode="Externa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nasdaq.com/markets/corn.aspx?timeframe=2y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trendforce.com/price" TargetMode="Externa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7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3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5.bin"/><Relationship Id="rId1" Type="http://schemas.openxmlformats.org/officeDocument/2006/relationships/hyperlink" Target="http://www.wsj.com/mdc/public/page/2_3021-peyield.html" TargetMode="Externa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3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4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4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58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3.bin"/><Relationship Id="rId4" Type="http://schemas.openxmlformats.org/officeDocument/2006/relationships/queryTable" Target="../queryTables/queryTable60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62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="85" zoomScaleNormal="85" workbookViewId="0">
      <pane ySplit="1" topLeftCell="A68" activePane="bottomLeft" state="frozen"/>
      <selection pane="bottomLeft" activeCell="O98" sqref="O9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3" bestFit="1" customWidth="1"/>
    <col min="20" max="21" width="10.7109375" style="49" bestFit="1" customWidth="1"/>
    <col min="22" max="22" width="10.28515625" style="49" bestFit="1" customWidth="1"/>
    <col min="23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2" t="s">
        <v>1035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0"/>
      <c r="D2" s="709"/>
      <c r="E2" s="22" t="s">
        <v>50</v>
      </c>
      <c r="F2" s="2">
        <v>15.65</v>
      </c>
      <c r="G2" s="78">
        <v>7.450799999999993</v>
      </c>
      <c r="H2">
        <v>2400</v>
      </c>
      <c r="I2" s="2">
        <v>37560</v>
      </c>
      <c r="J2" s="2">
        <v>17881.919999999984</v>
      </c>
      <c r="K2" s="2">
        <v>19678.080000000016</v>
      </c>
      <c r="L2" s="660">
        <v>1.1004455897353327</v>
      </c>
      <c r="M2" s="2">
        <v>34293.651000001642</v>
      </c>
      <c r="N2">
        <v>1800</v>
      </c>
      <c r="O2"/>
      <c r="P2" s="660">
        <v>1.2779552715654953E-2</v>
      </c>
      <c r="Q2" s="660">
        <v>-4.6300000000000001E-2</v>
      </c>
      <c r="R2" s="2">
        <v>24.841269841269842</v>
      </c>
      <c r="S2" s="783">
        <v>43429</v>
      </c>
      <c r="V2" s="48"/>
      <c r="W2" s="48"/>
      <c r="X2" s="790"/>
      <c r="Y2" s="660"/>
    </row>
    <row r="3" spans="1:41" ht="21.95" customHeight="1" x14ac:dyDescent="0.25">
      <c r="A3" s="50"/>
      <c r="B3" s="50"/>
      <c r="C3" s="51"/>
      <c r="D3" s="709"/>
      <c r="E3" s="22" t="s">
        <v>896</v>
      </c>
      <c r="F3" s="2">
        <v>29.36</v>
      </c>
      <c r="G3" s="78">
        <v>28.706366666666671</v>
      </c>
      <c r="H3">
        <v>1200</v>
      </c>
      <c r="I3" s="2">
        <v>35232</v>
      </c>
      <c r="J3" s="2">
        <v>34447.640000000007</v>
      </c>
      <c r="K3" s="2">
        <v>784.35999999999331</v>
      </c>
      <c r="L3" s="660">
        <v>2.2769629501469293E-2</v>
      </c>
      <c r="M3" s="2">
        <v>784.35999999999331</v>
      </c>
      <c r="N3">
        <v>1000</v>
      </c>
      <c r="O3"/>
      <c r="P3" s="660">
        <v>6.8119891008174394E-2</v>
      </c>
      <c r="Q3" s="660">
        <v>-1.38E-2</v>
      </c>
      <c r="R3" s="2">
        <v>8.3885714285714279</v>
      </c>
      <c r="S3" s="783">
        <v>43429</v>
      </c>
      <c r="T3" s="48"/>
    </row>
    <row r="4" spans="1:41" ht="21.95" customHeight="1" x14ac:dyDescent="0.25">
      <c r="A4" s="51"/>
      <c r="B4" s="51"/>
      <c r="C4" s="51"/>
      <c r="D4" s="709"/>
      <c r="E4" s="22" t="s">
        <v>917</v>
      </c>
      <c r="F4" s="2">
        <v>51.04</v>
      </c>
      <c r="G4" s="78">
        <v>56.314819999999997</v>
      </c>
      <c r="H4">
        <v>500</v>
      </c>
      <c r="I4" s="2">
        <v>25520</v>
      </c>
      <c r="J4" s="2">
        <v>28157.41</v>
      </c>
      <c r="K4" s="2">
        <v>-2637.41</v>
      </c>
      <c r="L4" s="660">
        <v>-9.3666640504222493E-2</v>
      </c>
      <c r="M4" s="2">
        <v>-2637.41</v>
      </c>
      <c r="N4">
        <v>400</v>
      </c>
      <c r="O4"/>
      <c r="P4" s="660">
        <v>4.8981191222570532E-2</v>
      </c>
      <c r="Q4" s="660">
        <v>-2.3999999999999998E-3</v>
      </c>
      <c r="R4" s="2">
        <v>13.983561643835616</v>
      </c>
      <c r="S4" s="783">
        <v>43421</v>
      </c>
      <c r="U4" s="48"/>
      <c r="W4" s="791"/>
      <c r="X4" s="791"/>
      <c r="Y4" s="762"/>
    </row>
    <row r="5" spans="1:41" ht="21.95" customHeight="1" x14ac:dyDescent="0.25">
      <c r="A5" s="50"/>
      <c r="B5" s="50"/>
      <c r="C5" s="51"/>
      <c r="D5" s="709"/>
      <c r="E5" s="22" t="s">
        <v>1116</v>
      </c>
      <c r="F5" s="2">
        <v>47.989899999999999</v>
      </c>
      <c r="G5" s="78">
        <v>49.790174999999998</v>
      </c>
      <c r="H5">
        <v>400</v>
      </c>
      <c r="I5" s="2">
        <v>19195.96</v>
      </c>
      <c r="J5" s="2">
        <v>19916.07</v>
      </c>
      <c r="K5" s="2">
        <v>-720.11000000000058</v>
      </c>
      <c r="L5" s="660">
        <v>-3.6157233831775028E-2</v>
      </c>
      <c r="M5" s="2">
        <v>-720.11000000000058</v>
      </c>
      <c r="N5">
        <v>400</v>
      </c>
      <c r="O5"/>
      <c r="P5" s="660">
        <v>2.7089033317427211E-2</v>
      </c>
      <c r="Q5" s="660">
        <v>-1.1299999999999999E-2</v>
      </c>
      <c r="R5" s="2"/>
      <c r="S5" s="783">
        <v>43421</v>
      </c>
      <c r="T5" s="48"/>
      <c r="V5" s="48"/>
      <c r="W5" s="791"/>
      <c r="X5" s="791"/>
      <c r="Y5" s="762"/>
    </row>
    <row r="6" spans="1:41" ht="21.95" customHeight="1" x14ac:dyDescent="0.25">
      <c r="A6" s="51"/>
      <c r="B6" s="50"/>
      <c r="C6" s="51"/>
      <c r="D6" s="709"/>
      <c r="E6" s="22" t="s">
        <v>935</v>
      </c>
      <c r="F6" s="2">
        <v>159.2099</v>
      </c>
      <c r="G6" s="78">
        <v>155.43350000000012</v>
      </c>
      <c r="H6">
        <v>100</v>
      </c>
      <c r="I6" s="2">
        <v>15920.99</v>
      </c>
      <c r="J6" s="2">
        <v>15543.350000000013</v>
      </c>
      <c r="K6" s="2">
        <v>377.63999999998668</v>
      </c>
      <c r="L6" s="660">
        <v>2.4295920763541184E-2</v>
      </c>
      <c r="M6" s="2">
        <v>377.63999999998668</v>
      </c>
      <c r="N6">
        <v>35</v>
      </c>
      <c r="O6"/>
      <c r="P6" s="660">
        <v>8.0397010487413163E-3</v>
      </c>
      <c r="Q6" s="660">
        <v>-7.1999999999999998E-3</v>
      </c>
      <c r="R6" s="2">
        <v>19.68</v>
      </c>
      <c r="T6" s="48"/>
      <c r="U6" s="48"/>
      <c r="W6" s="791"/>
      <c r="X6" s="791"/>
      <c r="Y6" s="762"/>
    </row>
    <row r="7" spans="1:41" ht="21.95" customHeight="1" x14ac:dyDescent="0.25">
      <c r="A7" s="60"/>
      <c r="B7" s="61"/>
      <c r="C7" s="60"/>
      <c r="D7" s="709"/>
      <c r="E7" s="22" t="s">
        <v>1187</v>
      </c>
      <c r="F7" s="2">
        <v>2485.8398000000002</v>
      </c>
      <c r="G7" s="78">
        <v>2593.9666666666667</v>
      </c>
      <c r="H7">
        <v>6</v>
      </c>
      <c r="I7" s="2">
        <v>14915.038800000002</v>
      </c>
      <c r="J7" s="2">
        <v>15563.8</v>
      </c>
      <c r="K7" s="2">
        <v>-648.76119999999719</v>
      </c>
      <c r="L7" s="660">
        <v>-4.1683984631002646E-2</v>
      </c>
      <c r="M7" s="2">
        <v>-648.76119999999719</v>
      </c>
      <c r="N7">
        <v>6</v>
      </c>
      <c r="O7"/>
      <c r="P7" s="660">
        <v>0</v>
      </c>
      <c r="Q7" s="660">
        <v>1.2999999999999999E-3</v>
      </c>
      <c r="R7" s="2">
        <v>12.813607216494846</v>
      </c>
      <c r="S7" s="783">
        <v>43422</v>
      </c>
      <c r="U7" s="48"/>
      <c r="V7" s="48"/>
      <c r="W7" s="791"/>
      <c r="X7" s="791"/>
      <c r="Y7" s="762"/>
    </row>
    <row r="8" spans="1:41" ht="21.95" customHeight="1" x14ac:dyDescent="0.25">
      <c r="A8" s="50"/>
      <c r="B8" s="50"/>
      <c r="C8" s="51"/>
      <c r="D8" s="709"/>
      <c r="E8" s="22" t="s">
        <v>1241</v>
      </c>
      <c r="F8" s="2">
        <v>45.32</v>
      </c>
      <c r="G8" s="78">
        <v>51.623533333333334</v>
      </c>
      <c r="H8">
        <v>300</v>
      </c>
      <c r="I8" s="2">
        <v>13596</v>
      </c>
      <c r="J8" s="2">
        <v>15487.06</v>
      </c>
      <c r="K8" s="2">
        <v>-1891.0600000000013</v>
      </c>
      <c r="L8" s="660">
        <v>-0.12210580962429281</v>
      </c>
      <c r="M8" s="2">
        <v>-1891.0600000000013</v>
      </c>
      <c r="N8">
        <v>300</v>
      </c>
      <c r="O8"/>
      <c r="P8" s="660">
        <v>4.0158870255957636E-2</v>
      </c>
      <c r="Q8" s="660">
        <v>-5.1000000000000004E-3</v>
      </c>
      <c r="R8" s="2">
        <v>9.8521739130434796</v>
      </c>
      <c r="S8" s="783">
        <v>43423</v>
      </c>
      <c r="T8" s="48"/>
      <c r="W8" s="791"/>
      <c r="X8" s="791"/>
      <c r="Y8" s="48"/>
    </row>
    <row r="9" spans="1:41" ht="21.95" customHeight="1" x14ac:dyDescent="0.25">
      <c r="A9" s="50"/>
      <c r="B9" s="50"/>
      <c r="C9" s="51"/>
      <c r="D9" s="709"/>
      <c r="E9" s="22" t="s">
        <v>939</v>
      </c>
      <c r="F9" s="2">
        <v>36.51</v>
      </c>
      <c r="G9" s="78">
        <v>42.703371428571437</v>
      </c>
      <c r="H9">
        <v>350</v>
      </c>
      <c r="I9" s="2">
        <v>12778.5</v>
      </c>
      <c r="J9" s="2">
        <v>14946.180000000002</v>
      </c>
      <c r="K9" s="2">
        <v>-2167.6800000000003</v>
      </c>
      <c r="L9" s="660">
        <v>-0.14503237616568268</v>
      </c>
      <c r="M9" s="2">
        <v>-2167.6800000000003</v>
      </c>
      <c r="N9">
        <v>350</v>
      </c>
      <c r="O9"/>
      <c r="P9" s="660">
        <v>9.586414680909339E-3</v>
      </c>
      <c r="Q9" s="660">
        <v>-1.03E-2</v>
      </c>
      <c r="R9" s="2">
        <v>17.595180722891563</v>
      </c>
      <c r="S9" s="783">
        <v>43425</v>
      </c>
      <c r="U9" s="48"/>
      <c r="V9" s="48"/>
      <c r="W9" s="791"/>
      <c r="X9" s="791"/>
      <c r="Y9" s="762"/>
    </row>
    <row r="10" spans="1:41" ht="21.95" customHeight="1" x14ac:dyDescent="0.25">
      <c r="A10" s="51"/>
      <c r="B10" s="152"/>
      <c r="C10" s="272"/>
      <c r="D10" s="709"/>
      <c r="E10" s="22" t="s">
        <v>920</v>
      </c>
      <c r="F10" s="78">
        <v>186.69990000000001</v>
      </c>
      <c r="G10" s="78">
        <v>185.63566666666668</v>
      </c>
      <c r="H10">
        <v>60</v>
      </c>
      <c r="I10" s="2">
        <v>11201.994000000001</v>
      </c>
      <c r="J10" s="2">
        <v>11138.140000000001</v>
      </c>
      <c r="K10" s="2">
        <v>63.85399999999936</v>
      </c>
      <c r="L10" s="660">
        <v>5.7329141131284072E-3</v>
      </c>
      <c r="M10" s="2">
        <v>63.85399999999936</v>
      </c>
      <c r="N10">
        <v>30</v>
      </c>
      <c r="O10"/>
      <c r="P10" s="660">
        <v>1.0283883387189816E-2</v>
      </c>
      <c r="Q10" s="660">
        <v>1.5E-3</v>
      </c>
      <c r="R10" s="2">
        <v>21.6589211136891</v>
      </c>
      <c r="S10" s="783">
        <v>43426</v>
      </c>
      <c r="W10" s="791"/>
      <c r="X10" s="791"/>
      <c r="Y10" s="762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1"/>
      <c r="B11" s="51"/>
      <c r="C11" s="51"/>
      <c r="D11" s="709"/>
      <c r="E11" s="22" t="s">
        <v>173</v>
      </c>
      <c r="F11" s="2">
        <v>21.74</v>
      </c>
      <c r="G11" s="78">
        <v>28.506819999999998</v>
      </c>
      <c r="H11">
        <v>500</v>
      </c>
      <c r="I11" s="2">
        <v>10870</v>
      </c>
      <c r="J11" s="2">
        <v>14253.409999999998</v>
      </c>
      <c r="K11" s="2">
        <v>-3383.4100000000035</v>
      </c>
      <c r="L11" s="660">
        <v>-0.23737547716651664</v>
      </c>
      <c r="M11" s="2">
        <v>-3308.3900000000035</v>
      </c>
      <c r="N11">
        <v>500</v>
      </c>
      <c r="O11"/>
      <c r="P11" s="660">
        <v>4.2318307267709299E-2</v>
      </c>
      <c r="Q11" s="660">
        <v>-1.4E-3</v>
      </c>
      <c r="R11" s="2">
        <v>10.87</v>
      </c>
      <c r="S11" s="783">
        <v>43417</v>
      </c>
      <c r="T11" s="48"/>
      <c r="W11" s="791"/>
      <c r="X11" s="791"/>
      <c r="Y11" s="762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1"/>
      <c r="B12" s="51"/>
      <c r="C12" s="51"/>
      <c r="D12" s="709"/>
      <c r="E12" s="22" t="s">
        <v>14</v>
      </c>
      <c r="F12" s="2">
        <v>53.72</v>
      </c>
      <c r="G12" s="78">
        <v>49.707000000000008</v>
      </c>
      <c r="H12">
        <v>200</v>
      </c>
      <c r="I12" s="2">
        <v>10744</v>
      </c>
      <c r="J12" s="2">
        <v>9941.4000000000015</v>
      </c>
      <c r="K12" s="2">
        <v>802.59999999999854</v>
      </c>
      <c r="L12" s="660">
        <v>8.0733095942221222E-2</v>
      </c>
      <c r="M12" s="2">
        <v>802.59999999999854</v>
      </c>
      <c r="N12" s="29">
        <v>43446</v>
      </c>
      <c r="O12"/>
      <c r="P12" s="660">
        <v>5.212211466865227E-2</v>
      </c>
      <c r="Q12" s="660">
        <v>-1.23E-2</v>
      </c>
      <c r="R12" s="2">
        <v>13.480552070263487</v>
      </c>
      <c r="S12" s="783">
        <v>43426</v>
      </c>
      <c r="V12" s="48"/>
      <c r="W12" s="791"/>
      <c r="X12" s="791"/>
      <c r="Y12" s="762"/>
      <c r="AB12" s="791"/>
      <c r="AC12" s="791"/>
      <c r="AD12" s="762"/>
    </row>
    <row r="13" spans="1:41" ht="21.95" customHeight="1" x14ac:dyDescent="0.25">
      <c r="A13" s="50"/>
      <c r="B13" s="50"/>
      <c r="C13" s="51"/>
      <c r="D13" s="709"/>
      <c r="E13" s="22" t="s">
        <v>221</v>
      </c>
      <c r="F13" s="2">
        <v>35</v>
      </c>
      <c r="G13" s="78">
        <v>5.1964999999998929</v>
      </c>
      <c r="H13">
        <v>300</v>
      </c>
      <c r="I13" s="2">
        <v>10500</v>
      </c>
      <c r="J13" s="2">
        <v>1558.9499999999678</v>
      </c>
      <c r="K13" s="2">
        <v>8941.050000000032</v>
      </c>
      <c r="L13" s="660">
        <v>5.7353026075244342</v>
      </c>
      <c r="M13" s="2">
        <v>10393.31000000003</v>
      </c>
      <c r="N13">
        <v>300</v>
      </c>
      <c r="O13"/>
      <c r="P13" s="660">
        <v>2.8571428571428571E-3</v>
      </c>
      <c r="Q13" s="660">
        <v>-1.2999999999999999E-2</v>
      </c>
      <c r="R13" s="2">
        <v>18.421052631578949</v>
      </c>
      <c r="S13" s="783">
        <v>43421</v>
      </c>
      <c r="T13" s="48"/>
      <c r="V13" s="48"/>
      <c r="W13" s="791"/>
      <c r="X13" s="791"/>
      <c r="Y13" s="762"/>
      <c r="AB13" s="791"/>
      <c r="AC13" s="791"/>
      <c r="AD13" s="762"/>
    </row>
    <row r="14" spans="1:41" ht="21.95" customHeight="1" x14ac:dyDescent="0.25">
      <c r="A14" s="50"/>
      <c r="B14" s="50"/>
      <c r="C14" s="51"/>
      <c r="D14" s="709"/>
      <c r="E14" s="22" t="s">
        <v>1330</v>
      </c>
      <c r="F14" s="2">
        <v>100.7</v>
      </c>
      <c r="G14" s="78">
        <v>99.45</v>
      </c>
      <c r="H14">
        <v>100</v>
      </c>
      <c r="I14" s="2">
        <v>10070</v>
      </c>
      <c r="J14" s="2">
        <v>9945</v>
      </c>
      <c r="K14" s="2">
        <v>125</v>
      </c>
      <c r="L14" s="660">
        <v>1.256913021618904E-2</v>
      </c>
      <c r="M14" s="2">
        <v>125</v>
      </c>
      <c r="N14" s="29">
        <v>43458</v>
      </c>
      <c r="O14" t="s">
        <v>1256</v>
      </c>
      <c r="P14" s="660">
        <v>8.7388282025819258E-3</v>
      </c>
      <c r="Q14" s="660">
        <v>-0.05</v>
      </c>
      <c r="R14" s="2">
        <v>22.886363636363637</v>
      </c>
      <c r="U14" s="48"/>
      <c r="V14" s="48"/>
      <c r="W14" s="791"/>
      <c r="X14" s="791"/>
      <c r="Y14" s="762"/>
    </row>
    <row r="15" spans="1:41" ht="21.95" customHeight="1" x14ac:dyDescent="0.25">
      <c r="A15" s="50"/>
      <c r="B15" s="50"/>
      <c r="C15" s="51"/>
      <c r="D15" s="709"/>
      <c r="E15" s="22" t="s">
        <v>804</v>
      </c>
      <c r="F15" s="2">
        <v>94.039900000000003</v>
      </c>
      <c r="G15" s="78">
        <v>92.057000000000002</v>
      </c>
      <c r="H15">
        <v>100</v>
      </c>
      <c r="I15" s="2">
        <v>9403.99</v>
      </c>
      <c r="J15" s="2">
        <v>9205.7000000000007</v>
      </c>
      <c r="K15" s="2">
        <v>198.28999999999905</v>
      </c>
      <c r="L15" s="660">
        <v>2.1539915487143842E-2</v>
      </c>
      <c r="M15" s="2">
        <v>198.28999999999905</v>
      </c>
      <c r="N15">
        <v>100</v>
      </c>
      <c r="O15"/>
      <c r="P15" s="660">
        <v>7.2309732358286222E-3</v>
      </c>
      <c r="Q15" s="660">
        <v>2.8999999999999998E-3</v>
      </c>
      <c r="R15" s="2">
        <v>19.797873684210526</v>
      </c>
      <c r="U15" s="48"/>
      <c r="V15" s="48"/>
      <c r="W15" s="791"/>
      <c r="X15" s="790"/>
      <c r="Y15" s="660"/>
    </row>
    <row r="16" spans="1:41" ht="21.95" customHeight="1" x14ac:dyDescent="0.25">
      <c r="A16" s="51"/>
      <c r="B16" s="51"/>
      <c r="C16" s="51"/>
      <c r="D16" s="709"/>
      <c r="E16" s="22" t="s">
        <v>1287</v>
      </c>
      <c r="F16" s="2">
        <v>37.029899999999998</v>
      </c>
      <c r="G16" s="78">
        <v>33.942279999999997</v>
      </c>
      <c r="H16">
        <v>250</v>
      </c>
      <c r="I16" s="2">
        <v>9257.4749999999985</v>
      </c>
      <c r="J16" s="2">
        <v>8485.57</v>
      </c>
      <c r="K16" s="2">
        <v>771.90499999999884</v>
      </c>
      <c r="L16" s="660">
        <v>9.0966782431822532E-2</v>
      </c>
      <c r="M16" s="2">
        <v>771.90499999999884</v>
      </c>
      <c r="N16">
        <v>150</v>
      </c>
      <c r="O16"/>
      <c r="P16" s="660">
        <v>1.3367575931882076E-3</v>
      </c>
      <c r="Q16" s="660">
        <v>-3.2000000000000002E-3</v>
      </c>
      <c r="R16" s="2"/>
      <c r="T16" s="48"/>
      <c r="U16" s="48"/>
      <c r="W16" s="791"/>
      <c r="X16" s="791"/>
      <c r="Y16" s="762"/>
    </row>
    <row r="17" spans="1:41" ht="21.95" customHeight="1" x14ac:dyDescent="0.25">
      <c r="A17" s="50"/>
      <c r="B17" s="50"/>
      <c r="C17" s="51"/>
      <c r="D17" s="709"/>
      <c r="E17" s="22" t="s">
        <v>170</v>
      </c>
      <c r="F17" s="2">
        <v>43.369900000000001</v>
      </c>
      <c r="G17" s="78">
        <v>46.585850000000001</v>
      </c>
      <c r="H17">
        <v>200</v>
      </c>
      <c r="I17" s="2">
        <v>8673.98</v>
      </c>
      <c r="J17" s="2">
        <v>9317.17</v>
      </c>
      <c r="K17" s="2">
        <v>-643.18999999999869</v>
      </c>
      <c r="L17" s="660">
        <v>-6.9032764240643876E-2</v>
      </c>
      <c r="M17" s="2">
        <v>-593.23999999999887</v>
      </c>
      <c r="N17">
        <v>200</v>
      </c>
      <c r="O17" t="s">
        <v>1281</v>
      </c>
      <c r="P17" s="660">
        <v>4.5192633600723078E-2</v>
      </c>
      <c r="Q17" s="660">
        <v>1.4E-3</v>
      </c>
      <c r="R17" s="2">
        <v>14.360894039735099</v>
      </c>
      <c r="S17" s="783">
        <v>43320</v>
      </c>
      <c r="W17" s="791"/>
      <c r="X17" s="791"/>
      <c r="Y17" s="762"/>
    </row>
    <row r="18" spans="1:41" ht="21.95" customHeight="1" x14ac:dyDescent="0.25">
      <c r="A18" s="50"/>
      <c r="B18" s="50"/>
      <c r="C18" s="51"/>
      <c r="D18" s="709"/>
      <c r="E18" s="22" t="s">
        <v>894</v>
      </c>
      <c r="F18" s="78">
        <v>122.66</v>
      </c>
      <c r="G18" s="78">
        <v>112.10085714285724</v>
      </c>
      <c r="H18">
        <v>70</v>
      </c>
      <c r="I18" s="2">
        <v>8586.1999999999989</v>
      </c>
      <c r="J18" s="2">
        <v>7847.0600000000068</v>
      </c>
      <c r="K18" s="2">
        <v>739.13999999999396</v>
      </c>
      <c r="L18" s="660">
        <v>9.4193239251387478E-2</v>
      </c>
      <c r="M18" s="2">
        <v>739.13999999999396</v>
      </c>
      <c r="N18">
        <v>50</v>
      </c>
      <c r="O18"/>
      <c r="P18" s="660">
        <v>4.2393608348279804E-3</v>
      </c>
      <c r="Q18" s="660">
        <v>-9.4999999999999998E-3</v>
      </c>
      <c r="R18" s="2">
        <v>14.22969837587007</v>
      </c>
      <c r="S18" s="783">
        <v>43324</v>
      </c>
      <c r="W18" s="791"/>
      <c r="X18" s="791"/>
      <c r="Y18" s="762"/>
      <c r="AB18" s="791"/>
      <c r="AC18" s="791"/>
      <c r="AD18" s="762"/>
    </row>
    <row r="19" spans="1:41" ht="21.95" customHeight="1" x14ac:dyDescent="0.25">
      <c r="A19" s="50"/>
      <c r="B19" s="51"/>
      <c r="C19" s="51"/>
      <c r="D19" s="709"/>
      <c r="E19" s="22" t="s">
        <v>1329</v>
      </c>
      <c r="F19" s="2">
        <v>26.91</v>
      </c>
      <c r="G19" s="78">
        <v>26.8</v>
      </c>
      <c r="H19">
        <v>300</v>
      </c>
      <c r="I19" s="2">
        <v>8073</v>
      </c>
      <c r="J19" s="2">
        <v>8040</v>
      </c>
      <c r="K19" s="2">
        <v>33</v>
      </c>
      <c r="L19" s="660">
        <v>4.1044776119402776E-3</v>
      </c>
      <c r="M19" s="2">
        <v>33</v>
      </c>
      <c r="N19" s="29">
        <v>43458</v>
      </c>
      <c r="O19" t="s">
        <v>1256</v>
      </c>
      <c r="P19" s="660">
        <v>1.1891490152359718E-2</v>
      </c>
      <c r="Q19" s="660">
        <v>-5.6800000000000003E-2</v>
      </c>
      <c r="R19" s="2">
        <v>6.1159090909090903</v>
      </c>
      <c r="W19" s="791"/>
      <c r="X19" s="791"/>
      <c r="Y19" s="762"/>
      <c r="AB19" s="791"/>
      <c r="AC19" s="791"/>
      <c r="AD19" s="762"/>
    </row>
    <row r="20" spans="1:41" ht="21.95" customHeight="1" x14ac:dyDescent="0.25">
      <c r="A20" s="50"/>
      <c r="B20" s="50"/>
      <c r="C20" s="51"/>
      <c r="D20" s="709"/>
      <c r="E20" s="22" t="s">
        <v>269</v>
      </c>
      <c r="F20" s="78">
        <v>75.179900000000004</v>
      </c>
      <c r="G20" s="78">
        <v>51.942500000000003</v>
      </c>
      <c r="H20">
        <v>100</v>
      </c>
      <c r="I20" s="2">
        <v>7517.9900000000007</v>
      </c>
      <c r="J20" s="2">
        <v>5194.25</v>
      </c>
      <c r="K20" s="2">
        <v>2323.7400000000007</v>
      </c>
      <c r="L20" s="660">
        <v>0.44736776242960968</v>
      </c>
      <c r="M20" s="2">
        <v>2520.9499999999962</v>
      </c>
      <c r="N20">
        <v>100</v>
      </c>
      <c r="O20"/>
      <c r="P20" s="660">
        <v>2.6602855284457681E-2</v>
      </c>
      <c r="Q20" s="660">
        <v>1.1999999999999999E-3</v>
      </c>
      <c r="R20" s="2">
        <v>10.778480286738352</v>
      </c>
      <c r="S20" s="783">
        <v>43324</v>
      </c>
      <c r="U20" s="48"/>
      <c r="W20" s="791"/>
      <c r="X20" s="48"/>
      <c r="Y20" s="762"/>
    </row>
    <row r="21" spans="1:41" ht="21.95" customHeight="1" x14ac:dyDescent="0.25">
      <c r="A21" s="50"/>
      <c r="B21" s="50"/>
      <c r="C21" s="51"/>
      <c r="D21" s="709"/>
      <c r="E21" s="22" t="s">
        <v>800</v>
      </c>
      <c r="F21" s="2">
        <v>24.8399</v>
      </c>
      <c r="G21" s="78">
        <v>30.639533333333311</v>
      </c>
      <c r="H21">
        <v>300</v>
      </c>
      <c r="I21" s="2">
        <v>7451.97</v>
      </c>
      <c r="J21" s="2">
        <v>9191.8599999999933</v>
      </c>
      <c r="K21" s="2">
        <v>-1739.8899999999931</v>
      </c>
      <c r="L21" s="660">
        <v>-0.18928595518208444</v>
      </c>
      <c r="M21" s="2">
        <v>-1739.8899999999931</v>
      </c>
      <c r="N21">
        <v>300</v>
      </c>
      <c r="O21" t="s">
        <v>1299</v>
      </c>
      <c r="P21" s="660">
        <v>4.1868123462654845E-2</v>
      </c>
      <c r="Q21" s="660">
        <v>-1.47E-2</v>
      </c>
      <c r="R21" s="2">
        <v>14.611705882352942</v>
      </c>
      <c r="S21" s="783">
        <v>43324</v>
      </c>
      <c r="T21" s="48"/>
      <c r="W21" s="48"/>
      <c r="X21" s="791"/>
      <c r="Y21" s="762"/>
    </row>
    <row r="22" spans="1:41" ht="21.95" customHeight="1" x14ac:dyDescent="0.25">
      <c r="A22" s="50"/>
      <c r="B22" s="51"/>
      <c r="C22" s="51"/>
      <c r="D22" s="709"/>
      <c r="E22" s="22" t="s">
        <v>172</v>
      </c>
      <c r="F22" s="2">
        <v>51.83</v>
      </c>
      <c r="G22" s="78">
        <v>45.319000000000038</v>
      </c>
      <c r="H22">
        <v>120</v>
      </c>
      <c r="I22" s="2">
        <v>6219.5999999999995</v>
      </c>
      <c r="J22" s="2">
        <v>5438.2800000000043</v>
      </c>
      <c r="K22" s="2">
        <v>781.31999999999334</v>
      </c>
      <c r="L22" s="660">
        <v>0.14367042520796916</v>
      </c>
      <c r="M22" s="2">
        <v>2385.8999999999951</v>
      </c>
      <c r="N22">
        <v>120</v>
      </c>
      <c r="O22"/>
      <c r="P22" s="660">
        <v>3.3185413852980898E-2</v>
      </c>
      <c r="Q22" s="660">
        <v>-1.14E-2</v>
      </c>
      <c r="R22" s="2">
        <v>11.466814159292037</v>
      </c>
      <c r="V22" s="48"/>
      <c r="W22" s="791"/>
      <c r="X22" s="790"/>
      <c r="Y22" s="660"/>
    </row>
    <row r="23" spans="1:41" ht="21.95" customHeight="1" x14ac:dyDescent="0.25">
      <c r="A23" s="50"/>
      <c r="B23" s="50"/>
      <c r="C23" s="51"/>
      <c r="D23" s="709"/>
      <c r="E23" s="22" t="s">
        <v>757</v>
      </c>
      <c r="F23" s="2">
        <v>7.5698999999999996</v>
      </c>
      <c r="G23" s="78">
        <v>9.8771500000000039</v>
      </c>
      <c r="H23">
        <v>800</v>
      </c>
      <c r="I23" s="2">
        <v>6055.92</v>
      </c>
      <c r="J23" s="2">
        <v>7901.720000000003</v>
      </c>
      <c r="K23" s="2">
        <v>-1845.8000000000029</v>
      </c>
      <c r="L23" s="660">
        <v>-0.23359471102494175</v>
      </c>
      <c r="M23" s="2">
        <v>-1845.8000000000029</v>
      </c>
      <c r="N23">
        <v>200</v>
      </c>
      <c r="O23"/>
      <c r="P23" s="660">
        <v>2.1136342620113872E-2</v>
      </c>
      <c r="Q23" s="660">
        <v>-3.0700000000000002E-2</v>
      </c>
      <c r="R23" s="2">
        <v>7.9683157894736842</v>
      </c>
      <c r="S23" s="783">
        <v>43337</v>
      </c>
      <c r="T23" s="48"/>
      <c r="W23" s="791"/>
      <c r="X23" s="791"/>
      <c r="Y23" s="762"/>
      <c r="Z23"/>
      <c r="AA23" s="2"/>
      <c r="AB23" s="790"/>
      <c r="AC23" s="790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09"/>
      <c r="E24" s="22" t="s">
        <v>1282</v>
      </c>
      <c r="F24" s="78">
        <v>56.429900000000004</v>
      </c>
      <c r="G24" s="78">
        <v>63.5</v>
      </c>
      <c r="H24">
        <v>100</v>
      </c>
      <c r="I24" s="2">
        <v>5642.9900000000007</v>
      </c>
      <c r="J24" s="2">
        <v>6350</v>
      </c>
      <c r="K24" s="2">
        <v>-707.00999999999931</v>
      </c>
      <c r="L24" s="660">
        <v>-0.11134015748031491</v>
      </c>
      <c r="M24" s="2">
        <v>-707.00999999999931</v>
      </c>
      <c r="N24">
        <v>100</v>
      </c>
      <c r="O24"/>
      <c r="P24" s="660">
        <v>2.8353762810141431E-2</v>
      </c>
      <c r="Q24" s="660">
        <v>-9.4999999999999998E-3</v>
      </c>
      <c r="R24" s="2">
        <v>13.564879807692309</v>
      </c>
      <c r="S24" s="783">
        <v>43324</v>
      </c>
      <c r="W24" s="791"/>
      <c r="X24" s="791"/>
      <c r="Y24" s="762"/>
    </row>
    <row r="25" spans="1:41" ht="21.95" customHeight="1" x14ac:dyDescent="0.25">
      <c r="A25" s="51"/>
      <c r="B25" s="51"/>
      <c r="C25" s="51"/>
      <c r="D25" s="709"/>
      <c r="E25" s="22" t="s">
        <v>1310</v>
      </c>
      <c r="F25" s="2">
        <v>91.099900000000005</v>
      </c>
      <c r="G25" s="78">
        <v>91.8</v>
      </c>
      <c r="H25">
        <v>60</v>
      </c>
      <c r="I25" s="2">
        <v>5465.9940000000006</v>
      </c>
      <c r="J25" s="2">
        <v>5508</v>
      </c>
      <c r="K25" s="2">
        <v>-42.005999999999403</v>
      </c>
      <c r="L25" s="660">
        <v>-7.6263616557733331E-3</v>
      </c>
      <c r="M25" s="2">
        <v>-42.005999999999403</v>
      </c>
      <c r="N25" s="29">
        <v>43446</v>
      </c>
      <c r="O25"/>
      <c r="P25" s="660">
        <v>1.9758528823851616E-2</v>
      </c>
      <c r="Q25" s="660">
        <v>7.4999999999999997E-3</v>
      </c>
      <c r="R25" s="2"/>
      <c r="T25" s="48"/>
      <c r="W25" s="791"/>
      <c r="X25" s="791"/>
      <c r="Y25" s="762"/>
    </row>
    <row r="26" spans="1:41" ht="21.95" customHeight="1" x14ac:dyDescent="0.25">
      <c r="A26" s="50"/>
      <c r="B26" s="50"/>
      <c r="C26" s="51"/>
      <c r="D26" s="709"/>
      <c r="E26" s="22" t="s">
        <v>1285</v>
      </c>
      <c r="F26" s="2">
        <v>53.309899999999999</v>
      </c>
      <c r="G26" s="78">
        <v>54.6</v>
      </c>
      <c r="H26">
        <v>100</v>
      </c>
      <c r="I26" s="2">
        <v>5330.99</v>
      </c>
      <c r="J26" s="2">
        <v>5460</v>
      </c>
      <c r="K26" s="2">
        <v>-129.01000000000022</v>
      </c>
      <c r="L26" s="660">
        <v>-2.3628205128205172E-2</v>
      </c>
      <c r="M26" s="2">
        <v>-129.01000000000022</v>
      </c>
      <c r="N26">
        <v>100</v>
      </c>
      <c r="O26"/>
      <c r="P26" s="660">
        <v>2.1669521045809503E-2</v>
      </c>
      <c r="Q26" s="660">
        <v>-1.0800000000000001E-2</v>
      </c>
      <c r="R26" s="2"/>
      <c r="U26" s="48"/>
      <c r="V26" s="48"/>
      <c r="W26" s="791"/>
      <c r="X26" s="791"/>
      <c r="Y26" s="762"/>
      <c r="AB26" s="791"/>
      <c r="AC26" s="791"/>
      <c r="AD26" s="762"/>
    </row>
    <row r="27" spans="1:41" ht="21.95" customHeight="1" x14ac:dyDescent="0.25">
      <c r="A27" s="50"/>
      <c r="B27" s="51"/>
      <c r="C27" s="51"/>
      <c r="D27" s="709"/>
      <c r="E27" s="22" t="s">
        <v>52</v>
      </c>
      <c r="F27" s="2">
        <v>52.88</v>
      </c>
      <c r="G27" s="78">
        <v>38.413299999999992</v>
      </c>
      <c r="H27">
        <v>100</v>
      </c>
      <c r="I27" s="2">
        <v>5288</v>
      </c>
      <c r="J27" s="2">
        <v>3841.329999999999</v>
      </c>
      <c r="K27" s="2">
        <v>1446.6700000000019</v>
      </c>
      <c r="L27" s="660">
        <v>0.37660653992237098</v>
      </c>
      <c r="M27" s="2">
        <v>2503.41</v>
      </c>
      <c r="N27" s="29">
        <v>43454</v>
      </c>
      <c r="O27"/>
      <c r="P27" s="660">
        <v>3.6006051437216337E-2</v>
      </c>
      <c r="Q27" s="660">
        <v>-4.3E-3</v>
      </c>
      <c r="R27" s="2">
        <v>10.791836734693877</v>
      </c>
      <c r="S27" s="783">
        <v>43323</v>
      </c>
      <c r="T27" s="48"/>
      <c r="U27" s="48"/>
      <c r="V27" s="48"/>
      <c r="W27" s="791"/>
      <c r="X27" s="791"/>
      <c r="Y27" s="762"/>
    </row>
    <row r="28" spans="1:41" ht="21.95" customHeight="1" x14ac:dyDescent="0.25">
      <c r="A28" s="50"/>
      <c r="B28" s="50"/>
      <c r="C28" s="51"/>
      <c r="D28" s="709"/>
      <c r="E28" s="22" t="s">
        <v>321</v>
      </c>
      <c r="F28" s="2">
        <v>21.94</v>
      </c>
      <c r="G28" s="78">
        <v>13.606450000000022</v>
      </c>
      <c r="H28">
        <v>200</v>
      </c>
      <c r="I28" s="2">
        <v>4388</v>
      </c>
      <c r="J28" s="2">
        <v>2721.2900000000045</v>
      </c>
      <c r="K28" s="2">
        <v>1666.7099999999955</v>
      </c>
      <c r="L28" s="660">
        <v>0.61247055624354374</v>
      </c>
      <c r="M28" s="2">
        <v>1951.6800000000003</v>
      </c>
      <c r="N28" s="29">
        <v>43453</v>
      </c>
      <c r="O28"/>
      <c r="P28" s="660">
        <v>0</v>
      </c>
      <c r="Q28" s="660">
        <v>-4.4999999999999997E-3</v>
      </c>
      <c r="R28" s="2">
        <v>8.9551020408163264</v>
      </c>
      <c r="S28" s="783">
        <v>43345</v>
      </c>
      <c r="T28" s="48"/>
      <c r="U28" s="48"/>
      <c r="W28" s="791"/>
      <c r="X28" s="48"/>
      <c r="Y28" s="762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 s="2"/>
      <c r="AN28"/>
      <c r="AO28"/>
    </row>
    <row r="29" spans="1:41" ht="21.95" customHeight="1" x14ac:dyDescent="0.25">
      <c r="A29" s="50"/>
      <c r="B29" s="50"/>
      <c r="C29" s="51"/>
      <c r="D29" s="709"/>
      <c r="E29" s="22" t="s">
        <v>1199</v>
      </c>
      <c r="F29" s="2">
        <v>87.66</v>
      </c>
      <c r="G29" s="78">
        <v>70.023600000000002</v>
      </c>
      <c r="H29">
        <v>50</v>
      </c>
      <c r="I29" s="2">
        <v>4383</v>
      </c>
      <c r="J29" s="2">
        <v>3501.1800000000003</v>
      </c>
      <c r="K29" s="2">
        <v>881.81999999999971</v>
      </c>
      <c r="L29" s="660">
        <v>0.25186365739550659</v>
      </c>
      <c r="M29" s="2">
        <v>881.81999999999971</v>
      </c>
      <c r="N29">
        <v>50</v>
      </c>
      <c r="O29"/>
      <c r="P29" s="660">
        <v>1.7339721651836643E-2</v>
      </c>
      <c r="Q29" s="2">
        <v>2.5999999999999999E-3</v>
      </c>
      <c r="R29" s="2">
        <v>13.506933744221879</v>
      </c>
      <c r="S29" s="783">
        <v>43359</v>
      </c>
      <c r="T29" s="48"/>
      <c r="W29" s="791"/>
      <c r="X29" s="791"/>
      <c r="Y29" s="762"/>
    </row>
    <row r="30" spans="1:41" ht="21.95" customHeight="1" x14ac:dyDescent="0.25">
      <c r="A30" s="50"/>
      <c r="B30" s="50"/>
      <c r="C30" s="51"/>
      <c r="D30" s="709"/>
      <c r="E30" s="22" t="s">
        <v>825</v>
      </c>
      <c r="F30" s="2">
        <v>96.03</v>
      </c>
      <c r="G30" s="78">
        <v>71.078499999999991</v>
      </c>
      <c r="H30">
        <v>40</v>
      </c>
      <c r="I30" s="2">
        <v>3841.2</v>
      </c>
      <c r="J30" s="2">
        <v>2843.1399999999994</v>
      </c>
      <c r="K30" s="2">
        <v>998.0600000000004</v>
      </c>
      <c r="L30" s="660">
        <v>0.35104145416687205</v>
      </c>
      <c r="M30" s="2">
        <v>998.0600000000004</v>
      </c>
      <c r="N30">
        <v>40</v>
      </c>
      <c r="O30"/>
      <c r="P30" s="660">
        <v>2.3742580443611369E-2</v>
      </c>
      <c r="Q30" s="660">
        <v>1.9400000000000001E-2</v>
      </c>
      <c r="R30" s="2">
        <v>20.17436974789916</v>
      </c>
      <c r="T30" s="48"/>
      <c r="V30" s="48"/>
      <c r="W30" s="48"/>
      <c r="X30" s="791"/>
      <c r="Y30" s="762"/>
    </row>
    <row r="31" spans="1:41" ht="21.95" customHeight="1" x14ac:dyDescent="0.25">
      <c r="A31" s="50"/>
      <c r="B31" s="50"/>
      <c r="C31" s="50"/>
      <c r="D31" s="709"/>
      <c r="E31" s="22" t="s">
        <v>933</v>
      </c>
      <c r="F31" s="2">
        <v>37.39</v>
      </c>
      <c r="G31" s="78">
        <v>21.403400000000001</v>
      </c>
      <c r="H31">
        <v>100</v>
      </c>
      <c r="I31" s="2">
        <v>3739</v>
      </c>
      <c r="J31" s="2">
        <v>2140.34</v>
      </c>
      <c r="K31" s="2">
        <v>1598.6599999999999</v>
      </c>
      <c r="L31" s="660">
        <v>0.7469187138492015</v>
      </c>
      <c r="M31" s="2">
        <v>1598.6599999999999</v>
      </c>
      <c r="N31">
        <v>100</v>
      </c>
      <c r="O31"/>
      <c r="P31" s="660">
        <v>2.032629045199251E-2</v>
      </c>
      <c r="Q31" s="660">
        <v>-3.2000000000000002E-3</v>
      </c>
      <c r="R31" s="2">
        <v>14.956</v>
      </c>
      <c r="S31" s="783">
        <v>43366</v>
      </c>
      <c r="W31" s="791"/>
      <c r="X31" s="791"/>
      <c r="Y31" s="762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E32" s="22" t="s">
        <v>1324</v>
      </c>
      <c r="F32" s="2">
        <v>26.1999</v>
      </c>
      <c r="G32" s="78">
        <v>25.91</v>
      </c>
      <c r="H32">
        <v>100</v>
      </c>
      <c r="I32" s="2">
        <v>2619.9899999999998</v>
      </c>
      <c r="J32" s="2">
        <v>2591</v>
      </c>
      <c r="K32" s="2">
        <v>28.989999999999782</v>
      </c>
      <c r="L32" s="660">
        <v>1.1188730219992256E-2</v>
      </c>
      <c r="M32" s="2">
        <v>28.989999999999782</v>
      </c>
      <c r="N32" s="29">
        <v>43454</v>
      </c>
      <c r="O32" t="s">
        <v>1256</v>
      </c>
      <c r="P32" s="660">
        <v>0</v>
      </c>
      <c r="Q32" s="660">
        <v>-1.84E-2</v>
      </c>
      <c r="R32" s="2">
        <v>5.9545227272727264</v>
      </c>
      <c r="U32" s="48"/>
      <c r="V32" s="48"/>
      <c r="W32" s="791"/>
      <c r="X32" s="791"/>
      <c r="Y32" s="762"/>
    </row>
    <row r="33" spans="1:41" ht="21.95" customHeight="1" x14ac:dyDescent="0.25">
      <c r="A33" s="50"/>
      <c r="B33" s="50"/>
      <c r="C33" s="51"/>
      <c r="D33" s="709"/>
      <c r="E33" s="22" t="s">
        <v>62</v>
      </c>
      <c r="F33" s="2">
        <v>324.05</v>
      </c>
      <c r="G33" s="78">
        <v>324.05</v>
      </c>
      <c r="H33">
        <v>0</v>
      </c>
      <c r="I33" s="2">
        <v>0</v>
      </c>
      <c r="J33" s="2">
        <v>0</v>
      </c>
      <c r="K33" s="2">
        <v>0</v>
      </c>
      <c r="L33" s="660">
        <v>0</v>
      </c>
      <c r="M33" s="2">
        <v>1659.3600000000079</v>
      </c>
      <c r="N33">
        <v>0</v>
      </c>
      <c r="O33"/>
      <c r="P33" s="660">
        <v>0</v>
      </c>
      <c r="Q33" s="660">
        <v>1.2999999999999999E-3</v>
      </c>
      <c r="R33" s="2"/>
      <c r="T33" s="48"/>
      <c r="W33" s="791"/>
      <c r="X33" s="791"/>
      <c r="Y33" s="762"/>
    </row>
    <row r="34" spans="1:41" ht="21.95" customHeight="1" x14ac:dyDescent="0.25">
      <c r="A34" s="50"/>
      <c r="B34" s="50"/>
      <c r="C34" s="51"/>
      <c r="D34" s="709"/>
      <c r="E34" s="22" t="s">
        <v>200</v>
      </c>
      <c r="F34" s="2">
        <v>34.92</v>
      </c>
      <c r="G34" s="78">
        <v>34.92</v>
      </c>
      <c r="H34">
        <v>0</v>
      </c>
      <c r="I34" s="2">
        <v>0</v>
      </c>
      <c r="J34" s="2">
        <v>0</v>
      </c>
      <c r="K34" s="2">
        <v>0</v>
      </c>
      <c r="L34" s="660">
        <v>0</v>
      </c>
      <c r="M34" s="2">
        <v>555.54</v>
      </c>
      <c r="N34">
        <v>0</v>
      </c>
      <c r="O34"/>
      <c r="P34" s="660">
        <v>0</v>
      </c>
      <c r="Q34" s="660">
        <v>2.1899999999999999E-2</v>
      </c>
      <c r="R34" s="2"/>
      <c r="AB34" s="791"/>
      <c r="AC34" s="791"/>
      <c r="AD34" s="762"/>
    </row>
    <row r="35" spans="1:41" ht="21.95" customHeight="1" x14ac:dyDescent="0.25">
      <c r="A35" s="50"/>
      <c r="B35" s="50"/>
      <c r="C35" s="51"/>
      <c r="D35" s="709"/>
      <c r="E35" s="22" t="s">
        <v>209</v>
      </c>
      <c r="F35" s="2">
        <v>56.71</v>
      </c>
      <c r="G35" s="78">
        <v>56.71</v>
      </c>
      <c r="H35">
        <v>0</v>
      </c>
      <c r="I35" s="2">
        <v>0</v>
      </c>
      <c r="J35" s="2">
        <v>0</v>
      </c>
      <c r="K35" s="2">
        <v>973.83000000000175</v>
      </c>
      <c r="L35" s="660">
        <v>0</v>
      </c>
      <c r="M35" s="2">
        <v>2131.6999999999971</v>
      </c>
      <c r="N35">
        <v>0</v>
      </c>
      <c r="O35" t="s">
        <v>1186</v>
      </c>
      <c r="P35" s="660">
        <v>2.6097690001763357E-2</v>
      </c>
      <c r="Q35" s="660">
        <v>-1.52E-2</v>
      </c>
      <c r="R35" s="2">
        <v>14.1775</v>
      </c>
      <c r="W35" s="791"/>
      <c r="X35" s="791"/>
      <c r="Y35" s="762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E36" s="22" t="s">
        <v>199</v>
      </c>
      <c r="F36" s="2">
        <v>193.53</v>
      </c>
      <c r="G36" s="78">
        <v>193.53</v>
      </c>
      <c r="H36">
        <v>0</v>
      </c>
      <c r="I36" s="2">
        <v>0</v>
      </c>
      <c r="J36" s="2">
        <v>0</v>
      </c>
      <c r="K36" s="2">
        <v>0</v>
      </c>
      <c r="L36" s="660">
        <v>0</v>
      </c>
      <c r="M36" s="2">
        <v>363.09999999999945</v>
      </c>
      <c r="N36">
        <v>0</v>
      </c>
      <c r="O36"/>
      <c r="P36" s="660">
        <v>0</v>
      </c>
      <c r="Q36" s="660">
        <v>3.0999999999999999E-3</v>
      </c>
      <c r="R36" s="2"/>
      <c r="V36" s="48"/>
      <c r="W36" s="791"/>
      <c r="X36" s="791"/>
      <c r="Y36" s="762"/>
    </row>
    <row r="37" spans="1:41" ht="21.95" customHeight="1" x14ac:dyDescent="0.25">
      <c r="A37" s="50"/>
      <c r="B37" s="51"/>
      <c r="C37" s="51"/>
      <c r="D37" s="709"/>
      <c r="E37" s="22" t="s">
        <v>220</v>
      </c>
      <c r="F37" s="2">
        <v>109.46</v>
      </c>
      <c r="G37" s="78">
        <v>109.46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231.53999999999996</v>
      </c>
      <c r="N37">
        <v>0</v>
      </c>
      <c r="O37"/>
      <c r="P37" s="660">
        <v>1.6199999999999999E-2</v>
      </c>
      <c r="Q37" s="660">
        <v>3.7000000000000002E-3</v>
      </c>
      <c r="R37" s="2"/>
      <c r="U37" s="48"/>
      <c r="W37" s="791"/>
      <c r="X37" s="791"/>
      <c r="Y37" s="762"/>
    </row>
    <row r="38" spans="1:41" ht="21.95" customHeight="1" x14ac:dyDescent="0.25">
      <c r="A38" s="50"/>
      <c r="B38" s="50"/>
      <c r="C38" s="51"/>
      <c r="D38" s="709"/>
      <c r="E38" s="22" t="s">
        <v>260</v>
      </c>
      <c r="F38" s="2">
        <v>111.42</v>
      </c>
      <c r="G38" s="78">
        <v>111.42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1857.7799999999988</v>
      </c>
      <c r="N38">
        <v>0</v>
      </c>
      <c r="O38" s="29"/>
      <c r="P38" s="660">
        <v>1.49E-2</v>
      </c>
      <c r="Q38" s="660">
        <v>-6.9999999999999999E-4</v>
      </c>
      <c r="R38" s="2"/>
      <c r="T38" s="48"/>
      <c r="V38" s="48"/>
      <c r="W38" s="48"/>
      <c r="X38" s="791"/>
      <c r="Y38" s="762"/>
    </row>
    <row r="39" spans="1:41" ht="21.95" customHeight="1" x14ac:dyDescent="0.25">
      <c r="A39" s="51"/>
      <c r="B39" s="51"/>
      <c r="C39" s="51"/>
      <c r="D39" s="709"/>
      <c r="E39" s="22" t="s">
        <v>23</v>
      </c>
      <c r="F39" s="2">
        <v>39.57</v>
      </c>
      <c r="G39" s="78">
        <v>39.57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171.89999999999964</v>
      </c>
      <c r="N39">
        <v>0</v>
      </c>
      <c r="O39"/>
      <c r="P39" s="660">
        <v>0</v>
      </c>
      <c r="Q39" s="660">
        <v>1.9199999999999998E-2</v>
      </c>
      <c r="R39" s="2"/>
      <c r="T39" s="48"/>
      <c r="W39" s="791"/>
      <c r="X39" s="791"/>
      <c r="Y39" s="762"/>
    </row>
    <row r="40" spans="1:41" ht="21.95" customHeight="1" x14ac:dyDescent="0.25">
      <c r="A40" s="152"/>
      <c r="B40" s="50"/>
      <c r="C40" s="51"/>
      <c r="D40" s="709"/>
      <c r="E40" s="22" t="s">
        <v>261</v>
      </c>
      <c r="F40" s="78">
        <v>48.16</v>
      </c>
      <c r="G40" s="78">
        <v>48.16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98.449999999999818</v>
      </c>
      <c r="N40">
        <v>0</v>
      </c>
      <c r="O40"/>
      <c r="P40" s="660">
        <v>1.11E-2</v>
      </c>
      <c r="Q40" s="660">
        <v>-2.2000000000000001E-3</v>
      </c>
      <c r="R40" s="2"/>
      <c r="T40" s="48"/>
      <c r="V40" s="48"/>
      <c r="W40" s="791"/>
      <c r="X40" s="790"/>
      <c r="Y40" s="66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0"/>
      <c r="C41" s="51"/>
      <c r="D41" s="709"/>
      <c r="E41" s="22" t="s">
        <v>318</v>
      </c>
      <c r="F41" s="2">
        <v>13.57</v>
      </c>
      <c r="G41" s="78">
        <v>13.57</v>
      </c>
      <c r="H41">
        <v>0</v>
      </c>
      <c r="I41" s="2">
        <v>0</v>
      </c>
      <c r="J41" s="2">
        <v>0</v>
      </c>
      <c r="K41" s="2">
        <v>-1184.9399999999987</v>
      </c>
      <c r="L41" s="660">
        <v>0</v>
      </c>
      <c r="M41" s="2">
        <v>98.479999999995925</v>
      </c>
      <c r="N41">
        <v>0</v>
      </c>
      <c r="O41" t="s">
        <v>1204</v>
      </c>
      <c r="P41" s="660">
        <v>0</v>
      </c>
      <c r="Q41" s="660">
        <v>1.5800000000000002E-2</v>
      </c>
      <c r="R41" s="2">
        <v>42.40625</v>
      </c>
      <c r="T41" s="48"/>
      <c r="V41" s="48"/>
      <c r="W41" s="791"/>
      <c r="X41" s="791"/>
      <c r="Y41" s="762"/>
    </row>
    <row r="42" spans="1:41" ht="21.95" customHeight="1" x14ac:dyDescent="0.25">
      <c r="A42" s="50"/>
      <c r="B42" s="50"/>
      <c r="C42" s="51"/>
      <c r="D42" s="709"/>
      <c r="E42" s="22" t="s">
        <v>36</v>
      </c>
      <c r="F42" s="2">
        <v>52.58</v>
      </c>
      <c r="G42" s="78">
        <v>52.58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117.73999999999978</v>
      </c>
      <c r="N42">
        <v>0</v>
      </c>
      <c r="O42"/>
      <c r="P42" s="660">
        <v>0</v>
      </c>
      <c r="Q42" s="660">
        <v>-2.9999999999999997E-4</v>
      </c>
      <c r="R42" s="2"/>
      <c r="T42" s="48"/>
      <c r="U42" s="48"/>
      <c r="W42" s="791"/>
      <c r="X42" s="791"/>
      <c r="Y42" s="762"/>
      <c r="AB42" s="791"/>
      <c r="AC42" s="791"/>
      <c r="AD42" s="762"/>
    </row>
    <row r="43" spans="1:41" ht="21.95" customHeight="1" x14ac:dyDescent="0.25">
      <c r="A43" s="51"/>
      <c r="B43" s="50"/>
      <c r="C43" s="51"/>
      <c r="D43" s="709"/>
      <c r="E43" s="22" t="s">
        <v>306</v>
      </c>
      <c r="F43" s="2">
        <v>0.06</v>
      </c>
      <c r="G43" s="78">
        <v>0.06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264.92000000000007</v>
      </c>
      <c r="N43">
        <v>0</v>
      </c>
      <c r="O43"/>
      <c r="P43" s="660">
        <v>3.4200000000000001E-2</v>
      </c>
      <c r="Q43" s="660">
        <v>6.0000000000000001E-3</v>
      </c>
      <c r="R43" s="2"/>
      <c r="T43" s="48"/>
      <c r="V43" s="48"/>
      <c r="W43" s="791"/>
      <c r="X43" s="790"/>
      <c r="Y43" s="660"/>
      <c r="AB43" s="791"/>
      <c r="AC43" s="791"/>
      <c r="AD43" s="762"/>
    </row>
    <row r="44" spans="1:41" ht="21.95" customHeight="1" x14ac:dyDescent="0.25">
      <c r="A44" s="50"/>
      <c r="B44" s="50"/>
      <c r="C44" s="51"/>
      <c r="D44" s="709"/>
      <c r="E44" s="22" t="s">
        <v>292</v>
      </c>
      <c r="F44" s="2">
        <v>54.07</v>
      </c>
      <c r="G44" s="78">
        <v>54.07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910.79999999999927</v>
      </c>
      <c r="N44">
        <v>0</v>
      </c>
      <c r="O44"/>
      <c r="P44" s="660">
        <v>2.87E-2</v>
      </c>
      <c r="Q44" s="660">
        <v>-2E-3</v>
      </c>
      <c r="R44" s="2"/>
      <c r="U44" s="48"/>
      <c r="W44" s="791"/>
      <c r="X44" s="790"/>
      <c r="Y44" s="660"/>
    </row>
    <row r="45" spans="1:41" ht="21.95" customHeight="1" x14ac:dyDescent="0.25">
      <c r="A45" s="50"/>
      <c r="B45" s="51"/>
      <c r="C45" s="51"/>
      <c r="D45" s="709"/>
      <c r="E45" s="22" t="s">
        <v>670</v>
      </c>
      <c r="F45" s="2">
        <v>25.9</v>
      </c>
      <c r="G45" s="78">
        <v>25.9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557.94000000000005</v>
      </c>
      <c r="N45">
        <v>0</v>
      </c>
      <c r="O45"/>
      <c r="P45" s="660">
        <v>4.0599999999999997E-2</v>
      </c>
      <c r="Q45" s="660">
        <v>0</v>
      </c>
      <c r="R45" s="2"/>
      <c r="T45" s="48"/>
      <c r="V45" s="48"/>
      <c r="W45" s="791"/>
      <c r="X45" s="2"/>
      <c r="Y45" s="660"/>
    </row>
    <row r="46" spans="1:41" ht="21.95" customHeight="1" x14ac:dyDescent="0.25">
      <c r="A46" s="50"/>
      <c r="B46" s="51"/>
      <c r="C46" s="51"/>
      <c r="D46" s="709"/>
      <c r="E46" s="22" t="s">
        <v>242</v>
      </c>
      <c r="F46" s="2">
        <v>69.87</v>
      </c>
      <c r="G46" s="78">
        <v>69.87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329.74000000000069</v>
      </c>
      <c r="N46">
        <v>0</v>
      </c>
      <c r="O46"/>
      <c r="P46" s="660">
        <v>0</v>
      </c>
      <c r="Q46" s="660">
        <v>4.4999999999999997E-3</v>
      </c>
      <c r="R46" s="2"/>
      <c r="T46" s="48"/>
      <c r="U46" s="281"/>
      <c r="W46" s="791"/>
      <c r="X46" s="791"/>
      <c r="Y46" s="762"/>
      <c r="Z46"/>
      <c r="AA46" s="2"/>
      <c r="AB46" s="790"/>
      <c r="AC46" s="790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1"/>
      <c r="C47" s="51"/>
      <c r="D47" s="709"/>
      <c r="E47" s="22" t="s">
        <v>649</v>
      </c>
      <c r="F47" s="2">
        <v>20.149999999999999</v>
      </c>
      <c r="G47" s="78">
        <v>20.149999999999999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309.26000000000022</v>
      </c>
      <c r="N47">
        <v>0</v>
      </c>
      <c r="O47"/>
      <c r="P47" s="660">
        <v>8.8000000000000005E-3</v>
      </c>
      <c r="Q47" s="660">
        <v>4.7300000000000002E-2</v>
      </c>
      <c r="R47" s="2"/>
      <c r="T47" s="48"/>
      <c r="V47" s="48"/>
      <c r="W47" s="48"/>
      <c r="X47" s="791"/>
      <c r="Y47" s="762"/>
      <c r="AB47" s="791"/>
      <c r="AC47" s="791"/>
      <c r="AD47" s="762"/>
    </row>
    <row r="48" spans="1:41" ht="21.95" customHeight="1" x14ac:dyDescent="0.25">
      <c r="A48" s="50"/>
      <c r="B48" s="51"/>
      <c r="C48" s="51"/>
      <c r="D48" s="709"/>
      <c r="E48" s="22" t="s">
        <v>712</v>
      </c>
      <c r="F48" s="2">
        <v>238.89</v>
      </c>
      <c r="G48" s="78">
        <v>238.89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843.18000000000029</v>
      </c>
      <c r="N48">
        <v>0</v>
      </c>
      <c r="O48"/>
      <c r="P48" s="660">
        <v>2.8E-3</v>
      </c>
      <c r="Q48" s="660">
        <v>1.7500000000000002E-2</v>
      </c>
      <c r="R48" s="2"/>
      <c r="W48" s="791"/>
      <c r="X48" s="790"/>
      <c r="Y48" s="660"/>
    </row>
    <row r="49" spans="1:41" ht="21.95" customHeight="1" x14ac:dyDescent="0.25">
      <c r="A49" s="50"/>
      <c r="B49" s="50"/>
      <c r="C49" s="51"/>
      <c r="D49" s="709"/>
      <c r="E49" s="22" t="s">
        <v>1291</v>
      </c>
      <c r="F49" s="2">
        <v>222.55</v>
      </c>
      <c r="G49" s="78">
        <v>222.55</v>
      </c>
      <c r="H49">
        <v>0</v>
      </c>
      <c r="I49" s="2">
        <v>0</v>
      </c>
      <c r="J49" s="2">
        <v>0</v>
      </c>
      <c r="K49" s="2">
        <v>164.93000000000029</v>
      </c>
      <c r="L49" s="660">
        <v>0</v>
      </c>
      <c r="M49" s="2">
        <v>164.93000000000029</v>
      </c>
      <c r="N49">
        <v>0</v>
      </c>
      <c r="O49" t="s">
        <v>1300</v>
      </c>
      <c r="P49" s="660">
        <v>0</v>
      </c>
      <c r="Q49" s="660">
        <v>5.4999999999999997E-3</v>
      </c>
      <c r="R49" s="2"/>
      <c r="U49" s="48"/>
      <c r="W49" s="791"/>
      <c r="X49" s="2"/>
      <c r="Y49" s="660"/>
      <c r="AB49" s="791"/>
      <c r="AC49" s="791"/>
      <c r="AD49" s="762"/>
    </row>
    <row r="50" spans="1:41" ht="21.95" customHeight="1" x14ac:dyDescent="0.25">
      <c r="A50" s="51"/>
      <c r="B50" s="51"/>
      <c r="C50" s="51"/>
      <c r="D50" s="709"/>
      <c r="E50" s="22" t="s">
        <v>1290</v>
      </c>
      <c r="F50" s="2">
        <v>19.55</v>
      </c>
      <c r="G50" s="78">
        <v>19.55</v>
      </c>
      <c r="H50">
        <v>0</v>
      </c>
      <c r="I50" s="2">
        <v>0</v>
      </c>
      <c r="J50" s="2">
        <v>0</v>
      </c>
      <c r="K50" s="2">
        <v>863.92000000000007</v>
      </c>
      <c r="L50" s="660">
        <v>0</v>
      </c>
      <c r="M50" s="2">
        <v>863.92000000000007</v>
      </c>
      <c r="N50">
        <v>0</v>
      </c>
      <c r="O50" t="s">
        <v>1298</v>
      </c>
      <c r="P50" s="660">
        <v>0</v>
      </c>
      <c r="Q50" s="660">
        <v>-1.7500000000000002E-2</v>
      </c>
      <c r="R50" s="2"/>
      <c r="T50" s="48"/>
      <c r="W50" s="791"/>
      <c r="X50" s="791"/>
      <c r="Y50" s="762"/>
    </row>
    <row r="51" spans="1:41" ht="21.95" customHeight="1" x14ac:dyDescent="0.25">
      <c r="A51" s="50"/>
      <c r="B51" s="50"/>
      <c r="C51" s="51"/>
      <c r="E51" s="22" t="s">
        <v>1017</v>
      </c>
      <c r="F51" s="2">
        <v>56.06</v>
      </c>
      <c r="G51" s="78">
        <v>56.06</v>
      </c>
      <c r="H51">
        <v>0</v>
      </c>
      <c r="I51" s="2">
        <v>0</v>
      </c>
      <c r="J51" s="2">
        <v>0</v>
      </c>
      <c r="K51" s="2">
        <v>458.44000000000051</v>
      </c>
      <c r="L51" s="660">
        <v>0</v>
      </c>
      <c r="M51" s="2">
        <v>458.44000000000051</v>
      </c>
      <c r="N51">
        <v>0</v>
      </c>
      <c r="O51"/>
      <c r="P51" s="660">
        <v>2.6757046022119157E-2</v>
      </c>
      <c r="Q51" s="660">
        <v>-1.2999999999999999E-3</v>
      </c>
      <c r="R51" s="2"/>
    </row>
    <row r="52" spans="1:41" ht="21.95" customHeight="1" x14ac:dyDescent="0.25">
      <c r="A52" s="50"/>
      <c r="B52" s="50"/>
      <c r="C52" s="50"/>
      <c r="D52" s="709"/>
      <c r="E52" s="22" t="s">
        <v>193</v>
      </c>
      <c r="F52" s="78">
        <v>30.24</v>
      </c>
      <c r="G52" s="78">
        <v>30.24</v>
      </c>
      <c r="H52">
        <v>0</v>
      </c>
      <c r="I52" s="2">
        <v>0</v>
      </c>
      <c r="J52" s="2">
        <v>0</v>
      </c>
      <c r="K52" s="2">
        <v>5325.3000000001048</v>
      </c>
      <c r="L52" s="660">
        <v>0</v>
      </c>
      <c r="M52" s="2">
        <v>7073.2700000000987</v>
      </c>
      <c r="N52">
        <v>0</v>
      </c>
      <c r="O52" t="s">
        <v>1294</v>
      </c>
      <c r="P52" s="660">
        <v>1.8518518518518521E-2</v>
      </c>
      <c r="Q52" s="660">
        <v>-5.9999999999999995E-4</v>
      </c>
      <c r="R52" s="2">
        <v>14.573493975903613</v>
      </c>
      <c r="S52" s="783">
        <v>43358</v>
      </c>
      <c r="V52" s="48"/>
      <c r="W52" s="791"/>
      <c r="X52" s="791"/>
      <c r="Y52" s="762"/>
    </row>
    <row r="53" spans="1:41" ht="21.95" customHeight="1" x14ac:dyDescent="0.25">
      <c r="A53" s="152"/>
      <c r="B53" s="50"/>
      <c r="C53" s="51"/>
      <c r="D53" s="709"/>
      <c r="E53" s="22" t="s">
        <v>194</v>
      </c>
      <c r="F53" s="2">
        <v>9.0500000000000007</v>
      </c>
      <c r="G53" s="78">
        <v>9.0500000000000007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495.20999999999913</v>
      </c>
      <c r="N53">
        <v>0</v>
      </c>
      <c r="O53"/>
      <c r="P53" s="660">
        <v>5.1499999999999997E-2</v>
      </c>
      <c r="Q53" s="660">
        <v>5.1999999999999998E-3</v>
      </c>
      <c r="R53" s="2"/>
      <c r="T53" s="48"/>
      <c r="U53" s="48"/>
      <c r="W53" s="791"/>
      <c r="X53" s="791"/>
      <c r="Y53" s="762"/>
    </row>
    <row r="54" spans="1:41" ht="21.95" customHeight="1" x14ac:dyDescent="0.25">
      <c r="A54" s="50"/>
      <c r="B54" s="50"/>
      <c r="C54" s="51"/>
      <c r="D54" s="709"/>
      <c r="E54" s="22" t="s">
        <v>264</v>
      </c>
      <c r="F54" s="2">
        <v>145.99</v>
      </c>
      <c r="G54" s="78">
        <v>145.99</v>
      </c>
      <c r="H54">
        <v>0</v>
      </c>
      <c r="I54" s="2">
        <v>0</v>
      </c>
      <c r="J54" s="2">
        <v>0</v>
      </c>
      <c r="K54" s="2">
        <v>765.82999999999993</v>
      </c>
      <c r="L54" s="660">
        <v>0</v>
      </c>
      <c r="M54" s="2">
        <v>920.60999999999967</v>
      </c>
      <c r="N54">
        <v>0</v>
      </c>
      <c r="O54"/>
      <c r="P54" s="660">
        <v>2.5700000000000001E-2</v>
      </c>
      <c r="Q54" s="660">
        <v>5.7999999999999996E-3</v>
      </c>
      <c r="R54" s="2">
        <v>17.979064039408868</v>
      </c>
      <c r="W54" s="791"/>
      <c r="X54" s="791"/>
      <c r="Y54" s="762"/>
    </row>
    <row r="55" spans="1:41" ht="21.95" customHeight="1" x14ac:dyDescent="0.25">
      <c r="A55" s="50"/>
      <c r="B55" s="50"/>
      <c r="C55" s="51"/>
      <c r="D55" s="709"/>
      <c r="E55" s="22" t="s">
        <v>671</v>
      </c>
      <c r="F55" s="2">
        <v>313.56</v>
      </c>
      <c r="G55" s="78">
        <v>313.56</v>
      </c>
      <c r="H55">
        <v>0</v>
      </c>
      <c r="I55" s="2">
        <v>0</v>
      </c>
      <c r="J55" s="2">
        <v>0</v>
      </c>
      <c r="K55" s="2">
        <v>4854.3499999999767</v>
      </c>
      <c r="L55" s="660">
        <v>0</v>
      </c>
      <c r="M55" s="2">
        <v>5079.1199999999772</v>
      </c>
      <c r="N55">
        <v>0</v>
      </c>
      <c r="O55" t="s">
        <v>1134</v>
      </c>
      <c r="P55" s="660">
        <v>0</v>
      </c>
      <c r="Q55" s="660">
        <v>3.6799999999999999E-2</v>
      </c>
      <c r="R55" s="2">
        <v>32.022058823529413</v>
      </c>
      <c r="S55" s="783">
        <v>43324</v>
      </c>
      <c r="W55" s="791"/>
      <c r="X55" s="791"/>
      <c r="Y55" s="762"/>
      <c r="AB55" s="791"/>
      <c r="AC55" s="791"/>
      <c r="AD55" s="762"/>
    </row>
    <row r="56" spans="1:41" ht="21.95" customHeight="1" x14ac:dyDescent="0.25">
      <c r="A56" s="50"/>
      <c r="B56" s="50"/>
      <c r="C56" s="51"/>
      <c r="D56" s="709"/>
      <c r="E56" s="22" t="s">
        <v>656</v>
      </c>
      <c r="F56" s="2">
        <v>179.21</v>
      </c>
      <c r="G56" s="78">
        <v>179.21</v>
      </c>
      <c r="H56">
        <v>0</v>
      </c>
      <c r="I56" s="2">
        <v>0</v>
      </c>
      <c r="J56" s="2">
        <v>0</v>
      </c>
      <c r="K56" s="2">
        <v>2714.0600000000013</v>
      </c>
      <c r="L56" s="660">
        <v>0</v>
      </c>
      <c r="M56" s="2">
        <v>2714.0600000000013</v>
      </c>
      <c r="N56">
        <v>0</v>
      </c>
      <c r="O56"/>
      <c r="P56" s="660">
        <v>2.8E-3</v>
      </c>
      <c r="Q56" s="660">
        <v>6.7999999999999996E-3</v>
      </c>
      <c r="R56" s="2">
        <v>26.787742899850524</v>
      </c>
      <c r="T56" s="48"/>
      <c r="V56" s="48"/>
      <c r="W56" s="791"/>
      <c r="X56" s="48"/>
      <c r="Y56" s="762"/>
    </row>
    <row r="57" spans="1:41" ht="21.95" customHeight="1" x14ac:dyDescent="0.25">
      <c r="A57" s="50"/>
      <c r="B57" s="50"/>
      <c r="C57" s="51"/>
      <c r="D57" s="709"/>
      <c r="E57" s="22" t="s">
        <v>934</v>
      </c>
      <c r="F57" s="2">
        <v>88.76</v>
      </c>
      <c r="G57" s="78">
        <v>88.76</v>
      </c>
      <c r="H57">
        <v>0</v>
      </c>
      <c r="I57" s="2">
        <v>0</v>
      </c>
      <c r="J57" s="2">
        <v>0</v>
      </c>
      <c r="K57" s="2">
        <v>500.88000000000011</v>
      </c>
      <c r="L57" s="660">
        <v>0</v>
      </c>
      <c r="M57" s="2">
        <v>500.88000000000011</v>
      </c>
      <c r="N57">
        <v>0</v>
      </c>
      <c r="O57"/>
      <c r="P57" s="660">
        <v>7.210455159981974E-3</v>
      </c>
      <c r="Q57" s="660">
        <v>1.0800000000000001E-2</v>
      </c>
      <c r="R57" s="2">
        <v>12.027100271002711</v>
      </c>
      <c r="T57" s="48"/>
      <c r="U57" s="48"/>
      <c r="V57" s="48"/>
      <c r="W57" s="791"/>
      <c r="X57" s="791"/>
      <c r="Y57" s="762"/>
      <c r="Z57"/>
      <c r="AA57" s="2"/>
      <c r="AB57" s="790"/>
      <c r="AC57" s="790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09"/>
      <c r="E58" s="22" t="s">
        <v>658</v>
      </c>
      <c r="F58" s="2">
        <v>231.02</v>
      </c>
      <c r="G58" s="78">
        <v>231.02</v>
      </c>
      <c r="H58">
        <v>0</v>
      </c>
      <c r="I58" s="2">
        <v>0</v>
      </c>
      <c r="J58" s="2">
        <v>0</v>
      </c>
      <c r="K58" s="2">
        <v>1411.7400000000016</v>
      </c>
      <c r="L58" s="660">
        <v>0</v>
      </c>
      <c r="M58" s="2">
        <v>1554.7700000000018</v>
      </c>
      <c r="N58">
        <v>0</v>
      </c>
      <c r="O58"/>
      <c r="P58" s="660">
        <v>2.1643147779413035E-3</v>
      </c>
      <c r="Q58" s="660">
        <v>7.7000000000000002E-3</v>
      </c>
      <c r="R58" s="2">
        <v>33.676384839650147</v>
      </c>
      <c r="W58" s="791"/>
      <c r="X58" s="791"/>
      <c r="Y58" s="762"/>
    </row>
    <row r="59" spans="1:41" ht="21.95" customHeight="1" x14ac:dyDescent="0.25">
      <c r="A59" s="50"/>
      <c r="B59" s="50"/>
      <c r="C59" s="51"/>
      <c r="D59" s="709"/>
      <c r="E59" s="22" t="s">
        <v>17</v>
      </c>
      <c r="F59" s="2"/>
      <c r="G59" s="78">
        <v>0</v>
      </c>
      <c r="H59">
        <v>0</v>
      </c>
      <c r="I59" s="2">
        <v>0</v>
      </c>
      <c r="J59" s="2">
        <v>0</v>
      </c>
      <c r="K59" s="2">
        <v>-20818.210000000079</v>
      </c>
      <c r="L59" s="660"/>
      <c r="M59" s="2">
        <v>-20818.210000000079</v>
      </c>
      <c r="N59">
        <v>0</v>
      </c>
      <c r="O59"/>
      <c r="P59" s="660">
        <v>0</v>
      </c>
      <c r="Q59" s="660">
        <v>0</v>
      </c>
      <c r="R59" s="2"/>
      <c r="T59" s="48"/>
      <c r="W59" s="791"/>
      <c r="X59" s="791"/>
      <c r="Y59" s="762"/>
      <c r="Z59"/>
      <c r="AA59" s="2"/>
      <c r="AB59" s="790"/>
      <c r="AC59" s="790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09"/>
      <c r="E60" s="22" t="s">
        <v>300</v>
      </c>
      <c r="F60" s="2">
        <v>155.71</v>
      </c>
      <c r="G60" s="78">
        <v>155.71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720.56000000000131</v>
      </c>
      <c r="N60">
        <v>0</v>
      </c>
      <c r="O60"/>
      <c r="P60" s="660">
        <v>0</v>
      </c>
      <c r="Q60" s="660">
        <v>4.7000000000000002E-3</v>
      </c>
      <c r="R60" s="2"/>
      <c r="T60" s="48"/>
      <c r="W60" s="791"/>
      <c r="X60" s="791"/>
      <c r="Y60" s="762"/>
    </row>
    <row r="61" spans="1:41" ht="21.95" customHeight="1" x14ac:dyDescent="0.25">
      <c r="A61" s="50"/>
      <c r="B61" s="51"/>
      <c r="C61" s="51"/>
      <c r="E61" s="22" t="s">
        <v>668</v>
      </c>
      <c r="F61" s="2">
        <v>51.49</v>
      </c>
      <c r="G61" s="78">
        <v>51.49</v>
      </c>
      <c r="H61">
        <v>0</v>
      </c>
      <c r="I61" s="2">
        <v>0</v>
      </c>
      <c r="J61" s="2">
        <v>0</v>
      </c>
      <c r="K61" s="2">
        <v>0</v>
      </c>
      <c r="L61" s="660">
        <v>0</v>
      </c>
      <c r="M61" s="2">
        <v>329.55999999999949</v>
      </c>
      <c r="N61">
        <v>0</v>
      </c>
      <c r="O61"/>
      <c r="P61" s="660">
        <v>1.78E-2</v>
      </c>
      <c r="Q61" s="660">
        <v>5.7000000000000002E-3</v>
      </c>
      <c r="R61" s="2"/>
      <c r="V61" s="48"/>
      <c r="W61" s="48"/>
      <c r="X61" s="791"/>
      <c r="Y61" s="762"/>
    </row>
    <row r="62" spans="1:41" ht="21.95" customHeight="1" x14ac:dyDescent="0.25">
      <c r="A62" s="51"/>
      <c r="B62" s="51"/>
      <c r="C62" s="51"/>
      <c r="D62" s="709"/>
      <c r="E62" s="22" t="s">
        <v>711</v>
      </c>
      <c r="F62" s="2">
        <v>82.52</v>
      </c>
      <c r="G62" s="78">
        <v>82.52</v>
      </c>
      <c r="H62">
        <v>0</v>
      </c>
      <c r="I62" s="2">
        <v>0</v>
      </c>
      <c r="J62" s="2">
        <v>0</v>
      </c>
      <c r="K62" s="2">
        <v>2113.4099999999889</v>
      </c>
      <c r="L62" s="660">
        <v>0</v>
      </c>
      <c r="M62" s="2">
        <v>2113.4099999999889</v>
      </c>
      <c r="N62">
        <v>0</v>
      </c>
      <c r="O62" t="s">
        <v>1284</v>
      </c>
      <c r="P62" s="660">
        <v>1.9389238972370337E-2</v>
      </c>
      <c r="Q62" s="660">
        <v>3.6700000000000003E-2</v>
      </c>
      <c r="R62" s="2">
        <v>13.810878661087866</v>
      </c>
      <c r="S62" s="783">
        <v>43317</v>
      </c>
      <c r="W62" s="791"/>
      <c r="X62" s="791"/>
      <c r="Y62" s="7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1"/>
      <c r="C63" s="51"/>
      <c r="D63" s="709"/>
      <c r="E63" s="22" t="s">
        <v>710</v>
      </c>
      <c r="F63" s="2">
        <v>827.99</v>
      </c>
      <c r="G63" s="78">
        <v>827.99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559.89000000000033</v>
      </c>
      <c r="N63">
        <v>0</v>
      </c>
      <c r="O63"/>
      <c r="P63" s="660">
        <v>0</v>
      </c>
      <c r="Q63" s="660">
        <v>-1.1999999999999999E-3</v>
      </c>
      <c r="R63" s="2"/>
      <c r="W63" s="791"/>
      <c r="X63" s="791"/>
      <c r="Y63" s="762"/>
      <c r="AB63" s="791"/>
      <c r="AC63" s="791"/>
      <c r="AD63" s="762"/>
    </row>
    <row r="64" spans="1:41" ht="21.95" customHeight="1" x14ac:dyDescent="0.25">
      <c r="A64" s="50"/>
      <c r="B64" s="50"/>
      <c r="C64" s="51"/>
      <c r="D64" s="709"/>
      <c r="E64" s="22" t="s">
        <v>921</v>
      </c>
      <c r="F64" s="2">
        <v>50.88</v>
      </c>
      <c r="G64" s="78">
        <v>50.88</v>
      </c>
      <c r="H64">
        <v>0</v>
      </c>
      <c r="I64" s="2">
        <v>0</v>
      </c>
      <c r="J64" s="2">
        <v>0</v>
      </c>
      <c r="K64" s="2">
        <v>2227.6699999999946</v>
      </c>
      <c r="L64" s="660">
        <v>0</v>
      </c>
      <c r="M64" s="2">
        <v>2227.6699999999946</v>
      </c>
      <c r="N64">
        <v>0</v>
      </c>
      <c r="O64" t="s">
        <v>1256</v>
      </c>
      <c r="P64" s="660">
        <v>2.712264150943396E-2</v>
      </c>
      <c r="Q64" s="660">
        <v>4.4999999999999998E-2</v>
      </c>
      <c r="R64" s="2">
        <v>11.563636363636363</v>
      </c>
      <c r="S64" s="783">
        <v>43314</v>
      </c>
      <c r="T64" s="281"/>
      <c r="W64" s="791"/>
      <c r="X64" s="791"/>
      <c r="Y64" s="762"/>
      <c r="AB64" s="791"/>
      <c r="AC64" s="791"/>
      <c r="AD64" s="762"/>
    </row>
    <row r="65" spans="1:41" ht="21.95" customHeight="1" x14ac:dyDescent="0.25">
      <c r="A65" s="50"/>
      <c r="B65" s="51"/>
      <c r="C65" s="51"/>
      <c r="D65" s="709"/>
      <c r="E65" s="22" t="s">
        <v>897</v>
      </c>
      <c r="F65" s="2">
        <v>31.02</v>
      </c>
      <c r="G65" s="78">
        <v>31.02</v>
      </c>
      <c r="H65">
        <v>0</v>
      </c>
      <c r="I65" s="2">
        <v>0</v>
      </c>
      <c r="J65" s="2">
        <v>0</v>
      </c>
      <c r="K65" s="2">
        <v>845.78000000000065</v>
      </c>
      <c r="L65" s="660">
        <v>0</v>
      </c>
      <c r="M65" s="2">
        <v>845.78000000000065</v>
      </c>
      <c r="N65">
        <v>0</v>
      </c>
      <c r="O65"/>
      <c r="P65" s="660">
        <v>8.5106382978723416E-2</v>
      </c>
      <c r="Q65" s="660">
        <v>6.9999999999999999E-4</v>
      </c>
      <c r="R65" s="2"/>
      <c r="T65" s="48"/>
      <c r="U65" s="48"/>
      <c r="V65" s="48"/>
      <c r="W65" s="791"/>
      <c r="X65" s="791"/>
      <c r="Y65" s="762"/>
      <c r="AB65" s="791"/>
      <c r="AC65" s="791"/>
      <c r="AD65" s="762"/>
    </row>
    <row r="66" spans="1:41" ht="21.95" customHeight="1" x14ac:dyDescent="0.25">
      <c r="A66" s="51"/>
      <c r="B66" s="152"/>
      <c r="C66" s="272"/>
      <c r="D66" s="709"/>
      <c r="E66" s="22" t="s">
        <v>893</v>
      </c>
      <c r="F66" s="2">
        <v>254.05</v>
      </c>
      <c r="G66" s="78">
        <v>254.05</v>
      </c>
      <c r="H66">
        <v>0</v>
      </c>
      <c r="I66" s="2">
        <v>0</v>
      </c>
      <c r="J66" s="2">
        <v>0</v>
      </c>
      <c r="K66" s="2">
        <v>423.00000000000364</v>
      </c>
      <c r="L66" s="660">
        <v>0</v>
      </c>
      <c r="M66" s="2">
        <v>423.00000000000364</v>
      </c>
      <c r="N66">
        <v>0</v>
      </c>
      <c r="O66"/>
      <c r="P66" s="660">
        <v>1.9900000000000001E-2</v>
      </c>
      <c r="Q66" s="660">
        <v>5.3E-3</v>
      </c>
      <c r="R66" s="2">
        <v>16.34</v>
      </c>
      <c r="T66" s="48"/>
      <c r="U66" s="48"/>
      <c r="V66" s="48"/>
      <c r="W66" s="791"/>
      <c r="X66" s="791"/>
      <c r="Y66" s="762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 s="2"/>
      <c r="AN66"/>
      <c r="AO66"/>
    </row>
    <row r="67" spans="1:41" ht="21.95" customHeight="1" x14ac:dyDescent="0.25">
      <c r="A67" s="50"/>
      <c r="B67" s="50"/>
      <c r="C67" s="51"/>
      <c r="D67" s="709"/>
      <c r="E67" s="22" t="s">
        <v>898</v>
      </c>
      <c r="F67" s="78">
        <v>81.22</v>
      </c>
      <c r="G67" s="78">
        <v>81.22</v>
      </c>
      <c r="H67">
        <v>0</v>
      </c>
      <c r="I67" s="2">
        <v>0</v>
      </c>
      <c r="J67" s="2">
        <v>0</v>
      </c>
      <c r="K67" s="2">
        <v>870.23999999999796</v>
      </c>
      <c r="L67" s="660">
        <v>0</v>
      </c>
      <c r="M67" s="2">
        <v>870.23999999999796</v>
      </c>
      <c r="N67">
        <v>0</v>
      </c>
      <c r="O67"/>
      <c r="P67" s="660">
        <v>1.1819748830337356E-2</v>
      </c>
      <c r="Q67" s="660">
        <v>5.7999999999999996E-3</v>
      </c>
      <c r="R67" s="2">
        <v>22.878873239436622</v>
      </c>
      <c r="T67" s="48"/>
      <c r="W67" s="48"/>
      <c r="X67" s="790"/>
      <c r="Y67" s="2"/>
      <c r="AB67" s="791"/>
      <c r="AC67" s="791"/>
      <c r="AD67" s="762"/>
    </row>
    <row r="68" spans="1:41" ht="21.95" customHeight="1" x14ac:dyDescent="0.25">
      <c r="A68" s="50"/>
      <c r="B68" s="50"/>
      <c r="C68" s="51"/>
      <c r="D68" s="709"/>
      <c r="E68" s="22" t="s">
        <v>192</v>
      </c>
      <c r="F68" s="2">
        <v>74.739999999999995</v>
      </c>
      <c r="G68" s="78">
        <v>74.739999999999995</v>
      </c>
      <c r="H68">
        <v>0</v>
      </c>
      <c r="I68" s="2">
        <v>0</v>
      </c>
      <c r="J68" s="2">
        <v>0</v>
      </c>
      <c r="K68" s="2">
        <v>0</v>
      </c>
      <c r="L68" s="660">
        <v>0</v>
      </c>
      <c r="M68" s="2">
        <v>785.90999999999985</v>
      </c>
      <c r="N68">
        <v>0</v>
      </c>
      <c r="O68"/>
      <c r="P68" s="660">
        <v>1.29E-2</v>
      </c>
      <c r="Q68" s="660">
        <v>-5.4999999999999997E-3</v>
      </c>
      <c r="R68" s="2"/>
      <c r="V68" s="48"/>
      <c r="W68" s="791"/>
      <c r="X68" s="791"/>
      <c r="Y68" s="762"/>
    </row>
    <row r="69" spans="1:41" ht="21.95" customHeight="1" x14ac:dyDescent="0.25">
      <c r="A69" s="50"/>
      <c r="B69" s="50"/>
      <c r="C69" s="51"/>
      <c r="D69" s="709"/>
      <c r="E69" s="22" t="s">
        <v>219</v>
      </c>
      <c r="F69" s="78">
        <v>51.85</v>
      </c>
      <c r="G69" s="78">
        <v>51.85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257.64999999999964</v>
      </c>
      <c r="N69">
        <v>0</v>
      </c>
      <c r="O69"/>
      <c r="P69" s="660">
        <v>0</v>
      </c>
      <c r="Q69" s="660">
        <v>8.6999999999999994E-3</v>
      </c>
      <c r="R69" s="2"/>
      <c r="U69" s="48"/>
      <c r="W69" s="791"/>
      <c r="X69" s="791"/>
      <c r="Y69" s="762"/>
      <c r="Z69"/>
      <c r="AA69" s="2"/>
      <c r="AB69"/>
      <c r="AC69"/>
      <c r="AD69" s="2"/>
      <c r="AE69"/>
      <c r="AF69"/>
      <c r="AG69" s="2"/>
      <c r="AH69"/>
      <c r="AI69" s="2"/>
      <c r="AJ69"/>
      <c r="AK69"/>
      <c r="AL69"/>
      <c r="AM69"/>
      <c r="AN69"/>
      <c r="AO69"/>
    </row>
    <row r="70" spans="1:41" ht="21.95" customHeight="1" x14ac:dyDescent="0.25">
      <c r="A70" s="50"/>
      <c r="B70" s="50"/>
      <c r="C70" s="51"/>
      <c r="D70" s="709"/>
      <c r="E70" s="22" t="s">
        <v>799</v>
      </c>
      <c r="F70" s="2">
        <v>472.76</v>
      </c>
      <c r="G70" s="78">
        <v>472.76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1264.8599999999997</v>
      </c>
      <c r="N70">
        <v>0</v>
      </c>
      <c r="O70"/>
      <c r="P70" s="660">
        <v>0</v>
      </c>
      <c r="Q70" s="660">
        <v>5.3E-3</v>
      </c>
      <c r="R70" s="2"/>
      <c r="T70" s="48"/>
      <c r="U70" s="48"/>
      <c r="W70" s="791"/>
      <c r="X70" s="791"/>
      <c r="Y70" s="762"/>
      <c r="AB70" s="791"/>
      <c r="AC70" s="791"/>
      <c r="AD70" s="762"/>
    </row>
    <row r="71" spans="1:41" ht="21.95" customHeight="1" x14ac:dyDescent="0.25">
      <c r="A71" s="50"/>
      <c r="B71" s="50"/>
      <c r="C71" s="51"/>
      <c r="D71" s="709"/>
      <c r="E71" s="22" t="s">
        <v>709</v>
      </c>
      <c r="F71" s="2">
        <v>86.07</v>
      </c>
      <c r="G71" s="78">
        <v>86.07</v>
      </c>
      <c r="H71">
        <v>0</v>
      </c>
      <c r="I71" s="2">
        <v>0</v>
      </c>
      <c r="J71" s="2">
        <v>0</v>
      </c>
      <c r="K71" s="2">
        <v>581.39999999999964</v>
      </c>
      <c r="L71" s="660">
        <v>0</v>
      </c>
      <c r="M71" s="2">
        <v>1040.7199999999993</v>
      </c>
      <c r="N71">
        <v>0</v>
      </c>
      <c r="O71" t="s">
        <v>1184</v>
      </c>
      <c r="P71" s="660">
        <v>0</v>
      </c>
      <c r="Q71" s="660">
        <v>-2.5000000000000001E-3</v>
      </c>
      <c r="R71" s="2">
        <v>21.069767441860463</v>
      </c>
      <c r="U71" s="48"/>
      <c r="W71" s="791"/>
      <c r="X71" s="791"/>
      <c r="Y71" s="762"/>
    </row>
    <row r="72" spans="1:41" ht="21.95" customHeight="1" x14ac:dyDescent="0.25">
      <c r="A72" s="51"/>
      <c r="B72" s="51"/>
      <c r="C72" s="51"/>
      <c r="D72" s="709"/>
      <c r="E72" s="22" t="s">
        <v>34</v>
      </c>
      <c r="F72" s="78">
        <v>39.44</v>
      </c>
      <c r="G72" s="78">
        <v>39.44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21137.586999999941</v>
      </c>
      <c r="N72">
        <v>0</v>
      </c>
      <c r="O72"/>
      <c r="P72" s="660">
        <v>0</v>
      </c>
      <c r="Q72" s="660">
        <v>2.01E-2</v>
      </c>
      <c r="R72" s="2"/>
      <c r="T72" s="48"/>
      <c r="V72" s="48"/>
      <c r="W72" s="48"/>
      <c r="X72" s="790"/>
      <c r="Y72" s="660"/>
    </row>
    <row r="73" spans="1:41" ht="21.95" customHeight="1" x14ac:dyDescent="0.25">
      <c r="A73" s="50"/>
      <c r="B73" s="50"/>
      <c r="C73" s="51"/>
      <c r="D73" s="709"/>
      <c r="E73" s="22" t="s">
        <v>171</v>
      </c>
      <c r="F73" s="2">
        <v>46.18</v>
      </c>
      <c r="G73" s="78">
        <v>46.18</v>
      </c>
      <c r="H73">
        <v>0</v>
      </c>
      <c r="I73" s="2">
        <v>0</v>
      </c>
      <c r="J73" s="2">
        <v>0</v>
      </c>
      <c r="K73" s="2">
        <v>0</v>
      </c>
      <c r="L73" s="660">
        <v>0</v>
      </c>
      <c r="M73" s="2">
        <v>119.92000000000053</v>
      </c>
      <c r="N73">
        <v>0</v>
      </c>
      <c r="O73"/>
      <c r="P73" s="660">
        <v>3.6400000000000002E-2</v>
      </c>
      <c r="Q73" s="660">
        <v>1.17E-2</v>
      </c>
      <c r="R73" s="2"/>
      <c r="T73" s="48"/>
      <c r="U73" s="48"/>
      <c r="V73" s="48"/>
      <c r="W73" s="791"/>
      <c r="X73" s="791"/>
      <c r="Y73" s="762"/>
      <c r="AB73" s="791"/>
      <c r="AC73" s="791"/>
      <c r="AD73" s="762"/>
    </row>
    <row r="74" spans="1:41" ht="21.95" customHeight="1" x14ac:dyDescent="0.25">
      <c r="A74" s="50"/>
      <c r="B74" s="50"/>
      <c r="C74" s="51"/>
      <c r="D74" s="709"/>
      <c r="E74" s="22" t="s">
        <v>27</v>
      </c>
      <c r="F74" s="2">
        <v>48.83</v>
      </c>
      <c r="G74" s="78">
        <v>48.83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1407.5400000000009</v>
      </c>
      <c r="N74">
        <v>0</v>
      </c>
      <c r="O74"/>
      <c r="P74" s="660">
        <v>3.0200000000000001E-2</v>
      </c>
      <c r="Q74" s="660">
        <v>1.4500000000000001E-2</v>
      </c>
      <c r="R74" s="2"/>
      <c r="T74" s="48"/>
      <c r="U74" s="48"/>
      <c r="V74" s="48"/>
      <c r="W74" s="48"/>
      <c r="X74" s="790"/>
      <c r="Y74" s="660"/>
    </row>
    <row r="75" spans="1:41" ht="21.95" customHeight="1" x14ac:dyDescent="0.25">
      <c r="A75" s="50"/>
      <c r="B75" s="51"/>
      <c r="C75" s="51"/>
      <c r="D75" s="709"/>
      <c r="E75" s="22" t="s">
        <v>22</v>
      </c>
      <c r="F75" s="2">
        <v>57.68</v>
      </c>
      <c r="G75" s="78">
        <v>57.68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3178.8000000000466</v>
      </c>
      <c r="N75">
        <v>0</v>
      </c>
      <c r="O75"/>
      <c r="P75" s="660">
        <v>2.07E-2</v>
      </c>
      <c r="Q75" s="660">
        <v>9.1000000000000004E-3</v>
      </c>
      <c r="R75" s="2"/>
      <c r="T75" s="48"/>
      <c r="V75" s="48"/>
      <c r="W75" s="791"/>
      <c r="X75" s="791"/>
      <c r="Y75" s="762"/>
    </row>
    <row r="76" spans="1:41" ht="21.95" customHeight="1" x14ac:dyDescent="0.25">
      <c r="A76" s="50"/>
      <c r="B76" s="51"/>
      <c r="C76" s="51"/>
      <c r="D76" s="709"/>
      <c r="E76" s="22" t="s">
        <v>42</v>
      </c>
      <c r="F76" s="2">
        <v>151.41999999999999</v>
      </c>
      <c r="G76" s="78">
        <v>151.41999999999999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128.08999999999833</v>
      </c>
      <c r="N76">
        <v>0</v>
      </c>
      <c r="O76"/>
      <c r="P76" s="660">
        <v>2.18E-2</v>
      </c>
      <c r="Q76" s="660">
        <v>-6.9999999999999999E-4</v>
      </c>
      <c r="R76" s="2"/>
      <c r="U76" s="48"/>
      <c r="V76" s="48"/>
      <c r="W76" s="791"/>
      <c r="X76" s="768"/>
      <c r="Y76" s="762"/>
      <c r="AB76" s="791"/>
      <c r="AC76" s="791"/>
      <c r="AD76" s="762"/>
    </row>
    <row r="77" spans="1:41" ht="21.95" customHeight="1" x14ac:dyDescent="0.25">
      <c r="A77" s="50"/>
      <c r="B77" s="51"/>
      <c r="C77" s="51"/>
      <c r="E77" s="22" t="s">
        <v>262</v>
      </c>
      <c r="F77" s="2">
        <v>50.43</v>
      </c>
      <c r="G77" s="78">
        <v>50.43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427.92000000000007</v>
      </c>
      <c r="N77">
        <v>0</v>
      </c>
      <c r="O77"/>
      <c r="P77" s="660">
        <v>0</v>
      </c>
      <c r="Q77" s="660">
        <v>1.32E-2</v>
      </c>
      <c r="R77" s="2"/>
      <c r="W77" s="791"/>
      <c r="X77" s="791"/>
      <c r="Y77" s="762"/>
    </row>
    <row r="78" spans="1:41" ht="21.95" customHeight="1" x14ac:dyDescent="0.25">
      <c r="A78" s="50"/>
      <c r="B78" s="50"/>
      <c r="C78" s="51"/>
      <c r="D78" s="709"/>
      <c r="E78" s="22" t="s">
        <v>174</v>
      </c>
      <c r="F78" s="2">
        <v>273.73</v>
      </c>
      <c r="G78" s="78">
        <v>273.73</v>
      </c>
      <c r="H78">
        <v>0</v>
      </c>
      <c r="I78" s="2">
        <v>0</v>
      </c>
      <c r="J78" s="2">
        <v>0</v>
      </c>
      <c r="K78" s="2">
        <v>935.99000000000524</v>
      </c>
      <c r="L78" s="660">
        <v>0</v>
      </c>
      <c r="M78" s="2">
        <v>1096.8200000000052</v>
      </c>
      <c r="N78">
        <v>0</v>
      </c>
      <c r="O78"/>
      <c r="P78" s="660">
        <v>1.84E-2</v>
      </c>
      <c r="Q78" s="660">
        <v>6.0000000000000001E-3</v>
      </c>
      <c r="R78" s="2">
        <v>21.056153846153848</v>
      </c>
      <c r="W78" s="791"/>
      <c r="X78" s="791"/>
      <c r="Y78" s="762"/>
      <c r="AB78" s="791"/>
      <c r="AC78" s="791"/>
      <c r="AD78" s="762"/>
    </row>
    <row r="79" spans="1:41" ht="21.95" customHeight="1" x14ac:dyDescent="0.25">
      <c r="A79" s="50"/>
      <c r="B79" s="50"/>
      <c r="C79" s="50"/>
      <c r="D79" s="709"/>
      <c r="E79" s="22" t="s">
        <v>169</v>
      </c>
      <c r="F79" s="2">
        <v>72.95</v>
      </c>
      <c r="G79" s="78">
        <v>72.95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1368.9000000000015</v>
      </c>
      <c r="N79">
        <v>0</v>
      </c>
      <c r="O79"/>
      <c r="P79" s="660">
        <v>1.14E-2</v>
      </c>
      <c r="Q79" s="660">
        <v>7.4000000000000003E-3</v>
      </c>
      <c r="R79" s="2"/>
      <c r="U79" s="48"/>
      <c r="W79" s="791"/>
      <c r="X79" s="791"/>
      <c r="Y79" s="762"/>
    </row>
    <row r="80" spans="1:41" ht="21.95" customHeight="1" x14ac:dyDescent="0.25">
      <c r="A80" s="50"/>
      <c r="B80" s="51"/>
      <c r="C80" s="51"/>
      <c r="D80" s="709"/>
      <c r="E80" s="22" t="s">
        <v>8</v>
      </c>
      <c r="F80" s="2">
        <v>85.72</v>
      </c>
      <c r="G80" s="78">
        <v>85.72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121.94999999999982</v>
      </c>
      <c r="N80">
        <v>0</v>
      </c>
      <c r="O80"/>
      <c r="P80" s="660">
        <v>1.67E-2</v>
      </c>
      <c r="Q80" s="660">
        <v>5.9999999999999995E-4</v>
      </c>
      <c r="R80" s="2"/>
      <c r="T80" s="48"/>
      <c r="V80" s="48"/>
      <c r="W80" s="791"/>
      <c r="X80" s="48"/>
      <c r="Y80" s="762"/>
      <c r="AB80" s="791"/>
      <c r="AC80" s="791"/>
      <c r="AD80" s="762"/>
    </row>
    <row r="81" spans="1:41" ht="21.95" customHeight="1" x14ac:dyDescent="0.25">
      <c r="A81" s="51"/>
      <c r="B81" s="51"/>
      <c r="C81" s="51"/>
      <c r="D81" s="709"/>
      <c r="E81" s="22" t="s">
        <v>10</v>
      </c>
      <c r="F81" s="2">
        <v>35.950000000000003</v>
      </c>
      <c r="G81" s="78">
        <v>35.950000000000003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1128.3800000000047</v>
      </c>
      <c r="N81">
        <v>0</v>
      </c>
      <c r="O81"/>
      <c r="P81" s="660">
        <v>1.2500000000000001E-2</v>
      </c>
      <c r="Q81" s="660">
        <v>3.4000000000000002E-2</v>
      </c>
      <c r="R81" s="2"/>
      <c r="U81" s="48"/>
      <c r="W81" s="48"/>
      <c r="X81" s="791"/>
      <c r="Y81" s="762"/>
      <c r="AB81" s="791"/>
      <c r="AC81" s="791"/>
      <c r="AD81" s="762"/>
    </row>
    <row r="82" spans="1:41" ht="21.95" customHeight="1" x14ac:dyDescent="0.25">
      <c r="A82" s="50"/>
      <c r="B82" s="50"/>
      <c r="C82" s="51"/>
      <c r="D82" s="709"/>
      <c r="E82" s="22" t="s">
        <v>218</v>
      </c>
      <c r="F82" s="2">
        <v>47.09</v>
      </c>
      <c r="G82" s="78">
        <v>47.09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4376.9599999999991</v>
      </c>
      <c r="N82">
        <v>0</v>
      </c>
      <c r="O82" t="s">
        <v>1172</v>
      </c>
      <c r="P82" s="660">
        <v>4.0899999999999999E-2</v>
      </c>
      <c r="Q82" s="660">
        <v>9.9000000000000008E-3</v>
      </c>
      <c r="R82" s="2"/>
      <c r="W82" s="791"/>
      <c r="X82" s="791"/>
      <c r="Y82" s="762"/>
    </row>
    <row r="83" spans="1:41" ht="21.95" customHeight="1" x14ac:dyDescent="0.25">
      <c r="A83" s="50"/>
      <c r="B83" s="50"/>
      <c r="C83" s="51"/>
      <c r="D83" s="709"/>
      <c r="E83" s="22" t="s">
        <v>332</v>
      </c>
      <c r="F83" s="2">
        <v>79.680000000000007</v>
      </c>
      <c r="G83" s="78">
        <v>79.680000000000007</v>
      </c>
      <c r="H83">
        <v>0</v>
      </c>
      <c r="I83" s="2">
        <v>0</v>
      </c>
      <c r="J83" s="2">
        <v>0</v>
      </c>
      <c r="K83" s="2">
        <v>129.92000000000007</v>
      </c>
      <c r="L83" s="660">
        <v>0</v>
      </c>
      <c r="M83" s="2">
        <v>2190.3500000000004</v>
      </c>
      <c r="N83">
        <v>0</v>
      </c>
      <c r="O83"/>
      <c r="P83" s="660">
        <v>4.3499999999999997E-2</v>
      </c>
      <c r="Q83" s="660">
        <v>7.0000000000000001E-3</v>
      </c>
      <c r="R83" s="2">
        <v>15.177142857142858</v>
      </c>
      <c r="T83" s="48"/>
      <c r="W83" s="791"/>
      <c r="X83" s="791"/>
      <c r="Y83" s="762"/>
      <c r="AB83" s="791"/>
      <c r="AC83" s="791"/>
      <c r="AD83" s="762"/>
    </row>
    <row r="84" spans="1:41" ht="21.95" customHeight="1" x14ac:dyDescent="0.25">
      <c r="A84" s="50"/>
      <c r="B84" s="50"/>
      <c r="C84" s="51"/>
      <c r="D84" s="709"/>
      <c r="E84" s="22" t="s">
        <v>24</v>
      </c>
      <c r="F84" s="2">
        <v>45.89</v>
      </c>
      <c r="G84" s="78">
        <v>45.89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937.36999999999534</v>
      </c>
      <c r="N84">
        <v>0</v>
      </c>
      <c r="O84"/>
      <c r="P84" s="660">
        <v>0</v>
      </c>
      <c r="Q84" s="660">
        <v>7.4999999999999997E-3</v>
      </c>
      <c r="R84" s="2"/>
      <c r="T84" s="48"/>
      <c r="W84" s="791"/>
      <c r="X84" s="791"/>
      <c r="Y84" s="762"/>
      <c r="AB84" s="791"/>
      <c r="AC84" s="791"/>
      <c r="AD84" s="762"/>
    </row>
    <row r="85" spans="1:41" ht="21.95" customHeight="1" x14ac:dyDescent="0.25">
      <c r="A85" s="50"/>
      <c r="B85" s="50"/>
      <c r="C85" s="51"/>
      <c r="D85" s="709"/>
      <c r="E85" s="22" t="s">
        <v>45</v>
      </c>
      <c r="F85" s="78">
        <v>89.5</v>
      </c>
      <c r="G85" s="78">
        <v>89.5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523.61999999999898</v>
      </c>
      <c r="N85">
        <v>0</v>
      </c>
      <c r="O85"/>
      <c r="P85" s="660">
        <v>1.67E-2</v>
      </c>
      <c r="Q85" s="660">
        <v>3.7000000000000002E-3</v>
      </c>
      <c r="R85" s="2"/>
      <c r="T85" s="48"/>
      <c r="W85" s="791"/>
      <c r="X85" s="790"/>
      <c r="Y85" s="660"/>
      <c r="AB85" s="791"/>
      <c r="AC85" s="791"/>
      <c r="AD85" s="762"/>
    </row>
    <row r="86" spans="1:41" ht="21.95" customHeight="1" x14ac:dyDescent="0.25">
      <c r="A86" s="51"/>
      <c r="B86" s="51"/>
      <c r="C86" s="51"/>
      <c r="D86" s="709"/>
      <c r="E86" s="22" t="s">
        <v>47</v>
      </c>
      <c r="F86" s="2">
        <v>172.05</v>
      </c>
      <c r="G86" s="78">
        <v>172.05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-168.6200000000008</v>
      </c>
      <c r="N86">
        <v>0</v>
      </c>
      <c r="O86"/>
      <c r="P86" s="660">
        <v>0</v>
      </c>
      <c r="Q86" s="660">
        <v>7.3000000000000001E-3</v>
      </c>
      <c r="R86" s="2"/>
      <c r="T86" s="48"/>
      <c r="U86" s="48"/>
      <c r="W86" s="791"/>
      <c r="X86" s="791"/>
      <c r="Y86" s="762"/>
      <c r="AB86" s="791"/>
      <c r="AC86" s="791"/>
      <c r="AD86" s="762"/>
    </row>
    <row r="87" spans="1:41" ht="21.95" customHeight="1" x14ac:dyDescent="0.25">
      <c r="A87" s="50"/>
      <c r="B87" s="51"/>
      <c r="C87" s="51"/>
      <c r="D87" s="709"/>
      <c r="E87" s="22" t="s">
        <v>33</v>
      </c>
      <c r="F87" s="2">
        <v>237.61</v>
      </c>
      <c r="G87" s="78">
        <v>237.61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780.73999999999796</v>
      </c>
      <c r="N87">
        <v>0</v>
      </c>
      <c r="O87"/>
      <c r="P87" s="660">
        <v>1.8599999999999998E-2</v>
      </c>
      <c r="Q87" s="660">
        <v>1.66E-2</v>
      </c>
      <c r="R87" s="2"/>
      <c r="T87" s="48"/>
      <c r="W87" s="48"/>
      <c r="X87" s="791"/>
      <c r="Y87" s="48"/>
      <c r="AB87" s="791"/>
      <c r="AC87" s="791"/>
      <c r="AD87" s="762"/>
    </row>
    <row r="88" spans="1:41" ht="21.95" customHeight="1" x14ac:dyDescent="0.25">
      <c r="A88" s="50"/>
      <c r="B88" s="50"/>
      <c r="C88" s="51"/>
      <c r="D88" s="709"/>
      <c r="E88" s="22" t="s">
        <v>13</v>
      </c>
      <c r="F88" s="2">
        <v>92.26</v>
      </c>
      <c r="G88" s="78">
        <v>92.26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1461.5600000000013</v>
      </c>
      <c r="N88">
        <v>0</v>
      </c>
      <c r="O88"/>
      <c r="P88" s="660">
        <v>0</v>
      </c>
      <c r="Q88" s="660">
        <v>4.7999999999999996E-3</v>
      </c>
      <c r="R88" s="2"/>
      <c r="V88" s="48"/>
      <c r="W88" s="48"/>
      <c r="X88" s="791"/>
      <c r="Y88" s="762"/>
    </row>
    <row r="89" spans="1:41" ht="21.95" customHeight="1" x14ac:dyDescent="0.25">
      <c r="A89" s="50"/>
      <c r="B89" s="50"/>
      <c r="C89" s="51"/>
      <c r="D89" s="709"/>
      <c r="E89" s="22" t="s">
        <v>32</v>
      </c>
      <c r="F89" s="2">
        <v>55.97</v>
      </c>
      <c r="G89" s="78">
        <v>55.97</v>
      </c>
      <c r="H89">
        <v>0</v>
      </c>
      <c r="I89" s="2">
        <v>0</v>
      </c>
      <c r="J89" s="2">
        <v>0</v>
      </c>
      <c r="K89" s="2">
        <v>2194.1399999999994</v>
      </c>
      <c r="L89" s="660">
        <v>0</v>
      </c>
      <c r="M89" s="2">
        <v>3392.6099999999965</v>
      </c>
      <c r="N89">
        <v>0</v>
      </c>
      <c r="O89"/>
      <c r="P89" s="660">
        <v>2.1797391459710561E-2</v>
      </c>
      <c r="Q89" s="660">
        <v>1.01E-2</v>
      </c>
      <c r="R89" s="2">
        <v>10.130316742081448</v>
      </c>
      <c r="T89" s="48"/>
      <c r="W89" s="48"/>
      <c r="X89" s="790"/>
      <c r="Y89" s="660"/>
      <c r="Z89"/>
      <c r="AA89" s="2"/>
      <c r="AB89"/>
      <c r="AC89"/>
      <c r="AD89" s="2"/>
      <c r="AE89"/>
      <c r="AF89"/>
      <c r="AG89" s="2"/>
      <c r="AH89"/>
      <c r="AI89" s="2"/>
      <c r="AJ89"/>
      <c r="AK89"/>
      <c r="AL89"/>
      <c r="AM89"/>
      <c r="AN89"/>
      <c r="AO89"/>
    </row>
    <row r="90" spans="1:41" ht="21.95" customHeight="1" x14ac:dyDescent="0.25">
      <c r="A90" s="50"/>
      <c r="B90" s="50"/>
      <c r="C90" s="51"/>
      <c r="E90" s="22" t="s">
        <v>63</v>
      </c>
      <c r="F90" s="2">
        <v>116.19</v>
      </c>
      <c r="G90" s="78">
        <v>116.19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257.30999999999949</v>
      </c>
      <c r="N90">
        <v>0</v>
      </c>
      <c r="O90"/>
      <c r="P90" s="660">
        <v>1.38E-2</v>
      </c>
      <c r="Q90" s="660">
        <v>-5.0000000000000001E-4</v>
      </c>
      <c r="R90" s="2"/>
      <c r="V90" s="48"/>
      <c r="W90" s="791"/>
      <c r="X90" s="48"/>
      <c r="Y90" s="762"/>
      <c r="AB90" s="791"/>
      <c r="AC90" s="791"/>
      <c r="AD90" s="762"/>
    </row>
    <row r="91" spans="1:41" ht="21.95" customHeight="1" x14ac:dyDescent="0.25">
      <c r="A91" s="50"/>
      <c r="B91" s="50"/>
      <c r="C91" s="51"/>
      <c r="D91" s="709"/>
      <c r="E91" s="22" t="s">
        <v>9</v>
      </c>
      <c r="F91" s="2">
        <v>3.92</v>
      </c>
      <c r="G91" s="78">
        <v>3.92</v>
      </c>
      <c r="H91">
        <v>0</v>
      </c>
      <c r="I91" s="2">
        <v>0</v>
      </c>
      <c r="J91" s="2">
        <v>0</v>
      </c>
      <c r="K91" s="2">
        <v>-8332.1133333333346</v>
      </c>
      <c r="L91" s="660">
        <v>0</v>
      </c>
      <c r="M91" s="2">
        <v>-7897.1833333333343</v>
      </c>
      <c r="N91">
        <v>0</v>
      </c>
      <c r="O91"/>
      <c r="P91" s="660">
        <v>0.04</v>
      </c>
      <c r="Q91" s="660">
        <v>1.0699999999999999E-2</v>
      </c>
      <c r="R91" s="2"/>
      <c r="V91" s="48"/>
      <c r="W91" s="791"/>
      <c r="X91" s="791"/>
      <c r="Y91" s="762"/>
      <c r="Z91"/>
      <c r="AA91" s="2"/>
      <c r="AB91"/>
      <c r="AC91"/>
      <c r="AD91" s="2"/>
      <c r="AE91"/>
      <c r="AF91"/>
      <c r="AG91" s="2"/>
      <c r="AH91"/>
      <c r="AI91" s="2"/>
      <c r="AJ91"/>
      <c r="AK91"/>
      <c r="AL91"/>
      <c r="AM91"/>
      <c r="AN91"/>
      <c r="AO91"/>
    </row>
    <row r="92" spans="1:41" ht="21.95" customHeight="1" x14ac:dyDescent="0.25">
      <c r="A92" s="50"/>
      <c r="B92" s="50"/>
      <c r="C92" s="51"/>
      <c r="D92" s="709"/>
      <c r="E92" s="22" t="s">
        <v>55</v>
      </c>
      <c r="F92" s="2">
        <v>69.2</v>
      </c>
      <c r="G92" s="78">
        <v>69.2</v>
      </c>
      <c r="H92">
        <v>0</v>
      </c>
      <c r="I92" s="2">
        <v>0</v>
      </c>
      <c r="J92" s="2">
        <v>0</v>
      </c>
      <c r="K92" s="2">
        <v>113.94999999999982</v>
      </c>
      <c r="L92" s="660">
        <v>0</v>
      </c>
      <c r="M92" s="2">
        <v>924.07999999998992</v>
      </c>
      <c r="N92">
        <v>0</v>
      </c>
      <c r="O92" t="s">
        <v>1171</v>
      </c>
      <c r="P92" s="660">
        <v>3.0057803468208091E-2</v>
      </c>
      <c r="Q92" s="660">
        <v>3.3999999999999998E-3</v>
      </c>
      <c r="R92" s="2">
        <v>10.712074303405574</v>
      </c>
      <c r="T92" s="48"/>
      <c r="W92" s="791"/>
      <c r="X92" s="791"/>
      <c r="Y92" s="762"/>
    </row>
    <row r="93" spans="1:41" ht="21.95" customHeight="1" x14ac:dyDescent="0.25">
      <c r="A93" s="50"/>
      <c r="B93" s="50"/>
      <c r="C93" s="51"/>
      <c r="D93" s="709"/>
      <c r="E93" s="22" t="s">
        <v>53</v>
      </c>
      <c r="F93" s="2">
        <v>81.86</v>
      </c>
      <c r="G93" s="78">
        <v>81.86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33.940000000000055</v>
      </c>
      <c r="N93">
        <v>0</v>
      </c>
      <c r="O93"/>
      <c r="P93" s="660">
        <v>7.4000000000000003E-3</v>
      </c>
      <c r="Q93" s="660">
        <v>1.4E-3</v>
      </c>
      <c r="R93" s="2"/>
      <c r="T93" s="48"/>
      <c r="V93" s="48"/>
      <c r="W93" s="48"/>
      <c r="X93" s="790"/>
      <c r="Y93" s="660"/>
      <c r="Z93"/>
      <c r="AA93" s="2"/>
      <c r="AB93" s="790"/>
      <c r="AC93" s="790"/>
      <c r="AD93" s="2"/>
      <c r="AE93"/>
      <c r="AF93"/>
      <c r="AG93" s="2"/>
      <c r="AH93"/>
      <c r="AI93" s="2"/>
      <c r="AJ93"/>
      <c r="AK93"/>
      <c r="AL93"/>
      <c r="AM93"/>
      <c r="AN93"/>
      <c r="AO93"/>
    </row>
    <row r="94" spans="1:41" ht="21.95" customHeight="1" x14ac:dyDescent="0.25">
      <c r="A94" s="50"/>
      <c r="B94" s="50"/>
      <c r="C94" s="51"/>
      <c r="E94" s="22" t="s">
        <v>56</v>
      </c>
      <c r="F94" s="2">
        <v>35.75</v>
      </c>
      <c r="G94" s="78">
        <v>35.75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36.819999999999709</v>
      </c>
      <c r="N94">
        <v>0</v>
      </c>
      <c r="O94"/>
      <c r="P94" s="660">
        <v>4.2999999999999997E-2</v>
      </c>
      <c r="Q94" s="660">
        <v>8.0999999999999996E-3</v>
      </c>
      <c r="R94" s="2"/>
    </row>
    <row r="95" spans="1:41" ht="21.95" customHeight="1" x14ac:dyDescent="0.25">
      <c r="A95" s="50"/>
      <c r="B95" s="51"/>
      <c r="C95" s="51"/>
      <c r="E95" s="22" t="s">
        <v>0</v>
      </c>
      <c r="F95" s="2">
        <v>241.06</v>
      </c>
      <c r="G95" s="78">
        <v>241.06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465.57999999999993</v>
      </c>
      <c r="N95">
        <v>0</v>
      </c>
      <c r="O95"/>
      <c r="P95" s="660">
        <v>3.8999999999999998E-3</v>
      </c>
      <c r="Q95" s="660">
        <v>2.2000000000000001E-3</v>
      </c>
      <c r="R95" s="2"/>
    </row>
    <row r="96" spans="1:41" ht="21.95" customHeight="1" x14ac:dyDescent="0.25">
      <c r="A96" s="50"/>
      <c r="B96" s="50"/>
      <c r="C96" s="51"/>
      <c r="E96" s="22" t="s">
        <v>39</v>
      </c>
      <c r="F96" s="2">
        <v>40.89</v>
      </c>
      <c r="G96" s="78">
        <v>40.89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529.88000000000284</v>
      </c>
      <c r="N96">
        <v>0</v>
      </c>
      <c r="O96"/>
      <c r="P96" s="660">
        <v>2.3E-2</v>
      </c>
      <c r="Q96" s="660">
        <v>6.3E-3</v>
      </c>
      <c r="R96" s="2"/>
    </row>
    <row r="97" spans="1:18" ht="21.95" customHeight="1" x14ac:dyDescent="0.25">
      <c r="A97" s="50"/>
      <c r="B97" s="51"/>
      <c r="C97" s="51"/>
      <c r="E97" s="22" t="s">
        <v>54</v>
      </c>
      <c r="F97" s="2">
        <v>130.13</v>
      </c>
      <c r="G97" s="78">
        <v>130.13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114.84999999999991</v>
      </c>
      <c r="N97">
        <v>0</v>
      </c>
      <c r="O97"/>
      <c r="P97" s="660">
        <v>2.35E-2</v>
      </c>
      <c r="Q97" s="660">
        <v>5.4999999999999997E-3</v>
      </c>
      <c r="R97" s="2"/>
    </row>
    <row r="98" spans="1:18" ht="21.95" customHeight="1" x14ac:dyDescent="0.25">
      <c r="A98" s="50"/>
      <c r="B98" s="50"/>
      <c r="C98" s="51"/>
      <c r="E98" s="22" t="s">
        <v>51</v>
      </c>
      <c r="F98" s="2">
        <v>271.11</v>
      </c>
      <c r="G98" s="78">
        <v>271.11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176.70000000000073</v>
      </c>
      <c r="N98">
        <v>0</v>
      </c>
      <c r="O98"/>
      <c r="P98" s="660">
        <v>1.52E-2</v>
      </c>
      <c r="Q98" s="660">
        <v>1.0800000000000001E-2</v>
      </c>
      <c r="R98" s="2"/>
    </row>
    <row r="99" spans="1:18" ht="21.95" customHeight="1" x14ac:dyDescent="0.25">
      <c r="A99" s="50"/>
      <c r="B99" s="51"/>
      <c r="C99" s="51"/>
      <c r="F99" s="78"/>
      <c r="G99" s="78"/>
      <c r="H99"/>
      <c r="I99" s="2"/>
      <c r="J99" s="2"/>
      <c r="K99" s="2"/>
      <c r="L99" s="660"/>
      <c r="M99" s="2"/>
      <c r="N99"/>
      <c r="O99"/>
      <c r="P99" s="660"/>
      <c r="Q99" s="660"/>
      <c r="R99" s="2"/>
    </row>
    <row r="100" spans="1:18" ht="21.95" customHeight="1" x14ac:dyDescent="0.25">
      <c r="A100" s="50"/>
      <c r="B100" s="50"/>
      <c r="C100" s="51"/>
      <c r="F100" s="78"/>
      <c r="G100" s="78"/>
      <c r="H100"/>
      <c r="I100" s="2"/>
      <c r="J100" s="2"/>
      <c r="K100" s="2"/>
      <c r="L100" s="660"/>
      <c r="M100" s="2"/>
      <c r="N100"/>
      <c r="O100"/>
      <c r="P100" s="660"/>
      <c r="Q100" s="660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660"/>
      <c r="M101" s="2"/>
      <c r="N101"/>
      <c r="O101"/>
      <c r="P101" s="660"/>
      <c r="Q101" s="660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660"/>
      <c r="M102" s="2"/>
      <c r="N102"/>
      <c r="O102"/>
      <c r="P102" s="660"/>
      <c r="Q102" s="660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660"/>
      <c r="M103" s="2"/>
      <c r="N103"/>
      <c r="O103"/>
      <c r="P103" s="660"/>
      <c r="Q103" s="660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O104">
    <sortCondition descending="1" ref="I1"/>
  </sortState>
  <dataConsolidate/>
  <conditionalFormatting sqref="O105:O1048576 O1">
    <cfRule type="expression" dxfId="3419" priority="711">
      <formula>$O1=0</formula>
    </cfRule>
    <cfRule type="dataBar" priority="10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418" priority="667">
      <formula>$H2=0</formula>
    </cfRule>
  </conditionalFormatting>
  <conditionalFormatting sqref="K105:K200">
    <cfRule type="expression" dxfId="3417" priority="668">
      <formula>$J105=0</formula>
    </cfRule>
  </conditionalFormatting>
  <conditionalFormatting sqref="K105:K458">
    <cfRule type="expression" dxfId="3416" priority="709">
      <formula>$J105&lt;0</formula>
    </cfRule>
  </conditionalFormatting>
  <conditionalFormatting sqref="E59">
    <cfRule type="expression" dxfId="3415" priority="638">
      <formula>$H59=0</formula>
    </cfRule>
  </conditionalFormatting>
  <conditionalFormatting sqref="E5">
    <cfRule type="expression" dxfId="3414" priority="616">
      <formula>$H5=0</formula>
    </cfRule>
  </conditionalFormatting>
  <conditionalFormatting sqref="E60">
    <cfRule type="expression" dxfId="3413" priority="594">
      <formula>$H60=0</formula>
    </cfRule>
  </conditionalFormatting>
  <conditionalFormatting sqref="E62">
    <cfRule type="expression" dxfId="3412" priority="583">
      <formula>$H62=0</formula>
    </cfRule>
  </conditionalFormatting>
  <conditionalFormatting sqref="E61">
    <cfRule type="expression" dxfId="3411" priority="572">
      <formula>$H61=0</formula>
    </cfRule>
  </conditionalFormatting>
  <conditionalFormatting sqref="E8">
    <cfRule type="expression" dxfId="3410" priority="557">
      <formula>$H8=0</formula>
    </cfRule>
  </conditionalFormatting>
  <conditionalFormatting sqref="E63">
    <cfRule type="expression" dxfId="3409" priority="547">
      <formula>$H63=0</formula>
    </cfRule>
  </conditionalFormatting>
  <conditionalFormatting sqref="E20">
    <cfRule type="expression" dxfId="3408" priority="537">
      <formula>$H20=0</formula>
    </cfRule>
  </conditionalFormatting>
  <conditionalFormatting sqref="E64">
    <cfRule type="expression" dxfId="3407" priority="528">
      <formula>$H64=0</formula>
    </cfRule>
  </conditionalFormatting>
  <conditionalFormatting sqref="E65">
    <cfRule type="expression" dxfId="3406" priority="521">
      <formula>$H65=0</formula>
    </cfRule>
  </conditionalFormatting>
  <conditionalFormatting sqref="E11">
    <cfRule type="expression" dxfId="3405" priority="512">
      <formula>$H11=0</formula>
    </cfRule>
  </conditionalFormatting>
  <conditionalFormatting sqref="E9">
    <cfRule type="expression" dxfId="3404" priority="505">
      <formula>$H9=0</formula>
    </cfRule>
  </conditionalFormatting>
  <conditionalFormatting sqref="E66">
    <cfRule type="expression" dxfId="3403" priority="496">
      <formula>$H66=0</formula>
    </cfRule>
  </conditionalFormatting>
  <conditionalFormatting sqref="E10">
    <cfRule type="expression" dxfId="3402" priority="487">
      <formula>$H10=0</formula>
    </cfRule>
  </conditionalFormatting>
  <conditionalFormatting sqref="E26:E28 E30 E45:E49 E36:E43">
    <cfRule type="expression" dxfId="3401" priority="483">
      <formula>$H26=0</formula>
    </cfRule>
  </conditionalFormatting>
  <conditionalFormatting sqref="E29">
    <cfRule type="expression" dxfId="3400" priority="482">
      <formula>$H29=0</formula>
    </cfRule>
  </conditionalFormatting>
  <conditionalFormatting sqref="E31">
    <cfRule type="expression" dxfId="3399" priority="481">
      <formula>$H31=0</formula>
    </cfRule>
  </conditionalFormatting>
  <conditionalFormatting sqref="E32">
    <cfRule type="expression" dxfId="3398" priority="480">
      <formula>$H32=0</formula>
    </cfRule>
  </conditionalFormatting>
  <conditionalFormatting sqref="E44">
    <cfRule type="expression" dxfId="3397" priority="479">
      <formula>$H44=0</formula>
    </cfRule>
  </conditionalFormatting>
  <conditionalFormatting sqref="E35">
    <cfRule type="expression" dxfId="3396" priority="478">
      <formula>$H35=0</formula>
    </cfRule>
  </conditionalFormatting>
  <conditionalFormatting sqref="E33">
    <cfRule type="expression" dxfId="3395" priority="477">
      <formula>$H33=0</formula>
    </cfRule>
  </conditionalFormatting>
  <conditionalFormatting sqref="E34">
    <cfRule type="expression" dxfId="3394" priority="476">
      <formula>$H34=0</formula>
    </cfRule>
  </conditionalFormatting>
  <conditionalFormatting sqref="E67">
    <cfRule type="expression" dxfId="3393" priority="472">
      <formula>$H67=0</formula>
    </cfRule>
  </conditionalFormatting>
  <conditionalFormatting sqref="E69:E70">
    <cfRule type="expression" dxfId="3392" priority="465">
      <formula>$H69=0</formula>
    </cfRule>
  </conditionalFormatting>
  <conditionalFormatting sqref="E68">
    <cfRule type="expression" dxfId="3391" priority="458">
      <formula>$H68=0</formula>
    </cfRule>
  </conditionalFormatting>
  <conditionalFormatting sqref="E69:E70">
    <cfRule type="expression" dxfId="3390" priority="450">
      <formula>$H69=0</formula>
    </cfRule>
  </conditionalFormatting>
  <conditionalFormatting sqref="E71">
    <cfRule type="expression" dxfId="3389" priority="443">
      <formula>$H71=0</formula>
    </cfRule>
  </conditionalFormatting>
  <conditionalFormatting sqref="E72">
    <cfRule type="expression" dxfId="3388" priority="420">
      <formula>$H72=0</formula>
    </cfRule>
  </conditionalFormatting>
  <conditionalFormatting sqref="E72">
    <cfRule type="expression" dxfId="3387" priority="412">
      <formula>$H72=0</formula>
    </cfRule>
  </conditionalFormatting>
  <conditionalFormatting sqref="E74">
    <cfRule type="expression" dxfId="3386" priority="405">
      <formula>$H74=0</formula>
    </cfRule>
  </conditionalFormatting>
  <conditionalFormatting sqref="E73">
    <cfRule type="expression" dxfId="3385" priority="398">
      <formula>$H73=0</formula>
    </cfRule>
  </conditionalFormatting>
  <conditionalFormatting sqref="E75">
    <cfRule type="expression" dxfId="3384" priority="381">
      <formula>$H75=0</formula>
    </cfRule>
  </conditionalFormatting>
  <conditionalFormatting sqref="E7">
    <cfRule type="expression" dxfId="3383" priority="373">
      <formula>$H7=0</formula>
    </cfRule>
  </conditionalFormatting>
  <conditionalFormatting sqref="P105:P1048576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382" priority="357">
      <formula>$H76=0</formula>
    </cfRule>
  </conditionalFormatting>
  <conditionalFormatting sqref="E77">
    <cfRule type="expression" dxfId="3381" priority="344">
      <formula>$H77=0</formula>
    </cfRule>
  </conditionalFormatting>
  <conditionalFormatting sqref="E78">
    <cfRule type="expression" dxfId="3380" priority="330">
      <formula>$H78=0</formula>
    </cfRule>
  </conditionalFormatting>
  <conditionalFormatting sqref="P105:P1048576 P1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379" priority="318">
      <formula>$H79=0</formula>
    </cfRule>
  </conditionalFormatting>
  <conditionalFormatting sqref="E80">
    <cfRule type="expression" dxfId="3378" priority="308">
      <formula>$H80=0</formula>
    </cfRule>
  </conditionalFormatting>
  <conditionalFormatting sqref="E81">
    <cfRule type="expression" dxfId="3377" priority="298">
      <formula>$H81=0</formula>
    </cfRule>
  </conditionalFormatting>
  <conditionalFormatting sqref="E82">
    <cfRule type="expression" dxfId="3376" priority="288">
      <formula>$H82=0</formula>
    </cfRule>
  </conditionalFormatting>
  <conditionalFormatting sqref="E83">
    <cfRule type="expression" dxfId="3375" priority="278">
      <formula>$H83=0</formula>
    </cfRule>
  </conditionalFormatting>
  <conditionalFormatting sqref="E84">
    <cfRule type="expression" dxfId="3374" priority="268">
      <formula>$H84=0</formula>
    </cfRule>
  </conditionalFormatting>
  <conditionalFormatting sqref="Q1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373" priority="257">
      <formula>$H85=0</formula>
    </cfRule>
  </conditionalFormatting>
  <conditionalFormatting sqref="R105:R1048576">
    <cfRule type="expression" dxfId="3372" priority="1089">
      <formula>$O105=0</formula>
    </cfRule>
    <cfRule type="dataBar" priority="10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371" priority="231">
      <formula>$O1=0</formula>
    </cfRule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370" priority="229">
      <formula>$L2=0</formula>
    </cfRule>
  </conditionalFormatting>
  <conditionalFormatting sqref="Q1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369" priority="222">
      <formula>K3&gt;0</formula>
    </cfRule>
    <cfRule type="expression" dxfId="3368" priority="223">
      <formula>K3&lt;0</formula>
    </cfRule>
  </conditionalFormatting>
  <conditionalFormatting sqref="K2 K4 K6 K8 K10 K12 K14 K16 K18 K20 K22 K24 K26 K28 K30">
    <cfRule type="expression" dxfId="3367" priority="220">
      <formula>K2&gt;0</formula>
    </cfRule>
    <cfRule type="expression" dxfId="3366" priority="221">
      <formula>K2&lt;0</formula>
    </cfRule>
  </conditionalFormatting>
  <conditionalFormatting sqref="K23 K25 K27 K29">
    <cfRule type="expression" dxfId="3365" priority="218">
      <formula>K23&gt;0</formula>
    </cfRule>
    <cfRule type="expression" dxfId="3364" priority="219">
      <formula>K23&lt;0</formula>
    </cfRule>
  </conditionalFormatting>
  <conditionalFormatting sqref="K31 K33 K40 K35 K42 K37:K38">
    <cfRule type="expression" dxfId="3363" priority="216">
      <formula>K31&gt;0</formula>
    </cfRule>
    <cfRule type="expression" dxfId="3362" priority="217">
      <formula>K31&lt;0</formula>
    </cfRule>
  </conditionalFormatting>
  <conditionalFormatting sqref="K32 K39 K34 K41 K36 K43">
    <cfRule type="expression" dxfId="3361" priority="214">
      <formula>K32&gt;0</formula>
    </cfRule>
    <cfRule type="expression" dxfId="3360" priority="215">
      <formula>K32&lt;0</formula>
    </cfRule>
  </conditionalFormatting>
  <conditionalFormatting sqref="K45 K47 K49 K51 K53">
    <cfRule type="expression" dxfId="3359" priority="212">
      <formula>K45&gt;0</formula>
    </cfRule>
    <cfRule type="expression" dxfId="3358" priority="213">
      <formula>K45&lt;0</formula>
    </cfRule>
  </conditionalFormatting>
  <conditionalFormatting sqref="K46 K48 K50 K52">
    <cfRule type="expression" dxfId="3357" priority="210">
      <formula>K46&gt;0</formula>
    </cfRule>
    <cfRule type="expression" dxfId="3356" priority="211">
      <formula>K46&lt;0</formula>
    </cfRule>
  </conditionalFormatting>
  <conditionalFormatting sqref="K54 K56 K58 K60">
    <cfRule type="expression" dxfId="3355" priority="208">
      <formula>K54&gt;0</formula>
    </cfRule>
    <cfRule type="expression" dxfId="3354" priority="209">
      <formula>K54&lt;0</formula>
    </cfRule>
  </conditionalFormatting>
  <conditionalFormatting sqref="K55 K57 K59">
    <cfRule type="expression" dxfId="3353" priority="206">
      <formula>K55&gt;0</formula>
    </cfRule>
    <cfRule type="expression" dxfId="3352" priority="207">
      <formula>K55&lt;0</formula>
    </cfRule>
  </conditionalFormatting>
  <conditionalFormatting sqref="K68 K70 K72 K74">
    <cfRule type="expression" dxfId="3351" priority="204">
      <formula>K68&gt;0</formula>
    </cfRule>
    <cfRule type="expression" dxfId="3350" priority="205">
      <formula>K68&lt;0</formula>
    </cfRule>
  </conditionalFormatting>
  <conditionalFormatting sqref="K69 K71 K73">
    <cfRule type="expression" dxfId="3349" priority="202">
      <formula>K69&gt;0</formula>
    </cfRule>
    <cfRule type="expression" dxfId="3348" priority="203">
      <formula>K69&lt;0</formula>
    </cfRule>
  </conditionalFormatting>
  <conditionalFormatting sqref="K75 K77 K79 K81 K83">
    <cfRule type="expression" dxfId="3347" priority="200">
      <formula>K75&gt;0</formula>
    </cfRule>
    <cfRule type="expression" dxfId="3346" priority="201">
      <formula>K75&lt;0</formula>
    </cfRule>
  </conditionalFormatting>
  <conditionalFormatting sqref="K76 K78 K80 K82">
    <cfRule type="expression" dxfId="3345" priority="198">
      <formula>K76&gt;0</formula>
    </cfRule>
    <cfRule type="expression" dxfId="3344" priority="199">
      <formula>K76&lt;0</formula>
    </cfRule>
  </conditionalFormatting>
  <conditionalFormatting sqref="K82 K84 K88">
    <cfRule type="expression" dxfId="3343" priority="196">
      <formula>K82&gt;0</formula>
    </cfRule>
    <cfRule type="expression" dxfId="3342" priority="197">
      <formula>K82&lt;0</formula>
    </cfRule>
  </conditionalFormatting>
  <conditionalFormatting sqref="K83 K85">
    <cfRule type="expression" dxfId="3341" priority="194">
      <formula>K83&gt;0</formula>
    </cfRule>
    <cfRule type="expression" dxfId="3340" priority="195">
      <formula>K83&lt;0</formula>
    </cfRule>
  </conditionalFormatting>
  <conditionalFormatting sqref="M105:M200">
    <cfRule type="expression" dxfId="3339" priority="192">
      <formula>$J105=0</formula>
    </cfRule>
  </conditionalFormatting>
  <conditionalFormatting sqref="M105:M458">
    <cfRule type="expression" dxfId="3338" priority="193">
      <formula>$J105&lt;0</formula>
    </cfRule>
  </conditionalFormatting>
  <conditionalFormatting sqref="M3 M5 M7 M9 M11 M13 M15 M17 M19 M21">
    <cfRule type="expression" dxfId="3337" priority="190">
      <formula>M3&gt;0</formula>
    </cfRule>
    <cfRule type="expression" dxfId="3336" priority="191">
      <formula>M3&lt;0</formula>
    </cfRule>
  </conditionalFormatting>
  <conditionalFormatting sqref="M2 M4 M6 M8 M10 M12 M14 M16 M18 M20 M22 M24 M26 M28 M30">
    <cfRule type="expression" dxfId="3335" priority="188">
      <formula>M2&gt;0</formula>
    </cfRule>
    <cfRule type="expression" dxfId="3334" priority="189">
      <formula>M2&lt;0</formula>
    </cfRule>
  </conditionalFormatting>
  <conditionalFormatting sqref="M23 M25 M27 M29">
    <cfRule type="expression" dxfId="3333" priority="186">
      <formula>M23&gt;0</formula>
    </cfRule>
    <cfRule type="expression" dxfId="3332" priority="187">
      <formula>M23&lt;0</formula>
    </cfRule>
  </conditionalFormatting>
  <conditionalFormatting sqref="M31 M33 M40 M35 M42 M37:M38">
    <cfRule type="expression" dxfId="3331" priority="184">
      <formula>M31&gt;0</formula>
    </cfRule>
    <cfRule type="expression" dxfId="3330" priority="185">
      <formula>M31&lt;0</formula>
    </cfRule>
  </conditionalFormatting>
  <conditionalFormatting sqref="M32 M39 M34 M41 M36 M43">
    <cfRule type="expression" dxfId="3329" priority="182">
      <formula>M32&gt;0</formula>
    </cfRule>
    <cfRule type="expression" dxfId="3328" priority="183">
      <formula>M32&lt;0</formula>
    </cfRule>
  </conditionalFormatting>
  <conditionalFormatting sqref="M45 M47 M49 M51 M53">
    <cfRule type="expression" dxfId="3327" priority="180">
      <formula>M45&gt;0</formula>
    </cfRule>
    <cfRule type="expression" dxfId="3326" priority="181">
      <formula>M45&lt;0</formula>
    </cfRule>
  </conditionalFormatting>
  <conditionalFormatting sqref="M46 M48 M50 M52">
    <cfRule type="expression" dxfId="3325" priority="178">
      <formula>M46&gt;0</formula>
    </cfRule>
    <cfRule type="expression" dxfId="3324" priority="179">
      <formula>M46&lt;0</formula>
    </cfRule>
  </conditionalFormatting>
  <conditionalFormatting sqref="M54 M56 M58 M60">
    <cfRule type="expression" dxfId="3323" priority="176">
      <formula>M54&gt;0</formula>
    </cfRule>
    <cfRule type="expression" dxfId="3322" priority="177">
      <formula>M54&lt;0</formula>
    </cfRule>
  </conditionalFormatting>
  <conditionalFormatting sqref="M55 M57 M59 M61">
    <cfRule type="expression" dxfId="3321" priority="174">
      <formula>M55&gt;0</formula>
    </cfRule>
    <cfRule type="expression" dxfId="3320" priority="175">
      <formula>M55&lt;0</formula>
    </cfRule>
  </conditionalFormatting>
  <conditionalFormatting sqref="M68 M70 M72 M74">
    <cfRule type="expression" dxfId="3319" priority="172">
      <formula>M68&gt;0</formula>
    </cfRule>
    <cfRule type="expression" dxfId="3318" priority="173">
      <formula>M68&lt;0</formula>
    </cfRule>
  </conditionalFormatting>
  <conditionalFormatting sqref="M67 M69 M71 M73">
    <cfRule type="expression" dxfId="3317" priority="170">
      <formula>M67&gt;0</formula>
    </cfRule>
    <cfRule type="expression" dxfId="3316" priority="171">
      <formula>M67&lt;0</formula>
    </cfRule>
  </conditionalFormatting>
  <conditionalFormatting sqref="M75 M77 M79 M81 M83">
    <cfRule type="expression" dxfId="3315" priority="168">
      <formula>M75&gt;0</formula>
    </cfRule>
    <cfRule type="expression" dxfId="3314" priority="169">
      <formula>M75&lt;0</formula>
    </cfRule>
  </conditionalFormatting>
  <conditionalFormatting sqref="M76 M78 M80 M82">
    <cfRule type="expression" dxfId="3313" priority="166">
      <formula>M76&gt;0</formula>
    </cfRule>
    <cfRule type="expression" dxfId="3312" priority="167">
      <formula>M76&lt;0</formula>
    </cfRule>
  </conditionalFormatting>
  <conditionalFormatting sqref="M82 M84 M88">
    <cfRule type="expression" dxfId="3311" priority="164">
      <formula>M82&gt;0</formula>
    </cfRule>
    <cfRule type="expression" dxfId="3310" priority="165">
      <formula>M82&lt;0</formula>
    </cfRule>
  </conditionalFormatting>
  <conditionalFormatting sqref="M83 M85">
    <cfRule type="expression" dxfId="3309" priority="162">
      <formula>M83&gt;0</formula>
    </cfRule>
    <cfRule type="expression" dxfId="3308" priority="163">
      <formula>M83&lt;0</formula>
    </cfRule>
  </conditionalFormatting>
  <conditionalFormatting sqref="L105:L200">
    <cfRule type="expression" dxfId="3307" priority="160">
      <formula>$J105=0</formula>
    </cfRule>
  </conditionalFormatting>
  <conditionalFormatting sqref="L105:L458">
    <cfRule type="expression" dxfId="3306" priority="161">
      <formula>$J105&lt;0</formula>
    </cfRule>
  </conditionalFormatting>
  <conditionalFormatting sqref="L3 L5 L7 L9 L11 L13 L15 L17 L19 L21">
    <cfRule type="expression" dxfId="3305" priority="158">
      <formula>L3&gt;0</formula>
    </cfRule>
    <cfRule type="expression" dxfId="3304" priority="159">
      <formula>L3&lt;0</formula>
    </cfRule>
  </conditionalFormatting>
  <conditionalFormatting sqref="L2 L4 L6 L8 L10 L12 L14 L16 L18 L20 L22 L24 L26 L28 L30">
    <cfRule type="expression" dxfId="3303" priority="156">
      <formula>L2&gt;0</formula>
    </cfRule>
    <cfRule type="expression" dxfId="3302" priority="157">
      <formula>L2&lt;0</formula>
    </cfRule>
  </conditionalFormatting>
  <conditionalFormatting sqref="L23 L25 L27 L29">
    <cfRule type="expression" dxfId="3301" priority="154">
      <formula>L23&gt;0</formula>
    </cfRule>
    <cfRule type="expression" dxfId="3300" priority="155">
      <formula>L23&lt;0</formula>
    </cfRule>
  </conditionalFormatting>
  <conditionalFormatting sqref="L31 L33 L40 L35 L42 L37:L38">
    <cfRule type="expression" dxfId="3299" priority="152">
      <formula>L31&gt;0</formula>
    </cfRule>
    <cfRule type="expression" dxfId="3298" priority="153">
      <formula>L31&lt;0</formula>
    </cfRule>
  </conditionalFormatting>
  <conditionalFormatting sqref="L32 L39 L34 L41 L36 L43">
    <cfRule type="expression" dxfId="3297" priority="150">
      <formula>L32&gt;0</formula>
    </cfRule>
    <cfRule type="expression" dxfId="3296" priority="151">
      <formula>L32&lt;0</formula>
    </cfRule>
  </conditionalFormatting>
  <conditionalFormatting sqref="L45 L47 L49 L51 L53">
    <cfRule type="expression" dxfId="3295" priority="148">
      <formula>L45&gt;0</formula>
    </cfRule>
    <cfRule type="expression" dxfId="3294" priority="149">
      <formula>L45&lt;0</formula>
    </cfRule>
  </conditionalFormatting>
  <conditionalFormatting sqref="L46 L48 L50 L52">
    <cfRule type="expression" dxfId="3293" priority="146">
      <formula>L46&gt;0</formula>
    </cfRule>
    <cfRule type="expression" dxfId="3292" priority="147">
      <formula>L46&lt;0</formula>
    </cfRule>
  </conditionalFormatting>
  <conditionalFormatting sqref="L54 L56 L58 L60 L62">
    <cfRule type="expression" dxfId="3291" priority="144">
      <formula>L54&gt;0</formula>
    </cfRule>
    <cfRule type="expression" dxfId="3290" priority="145">
      <formula>L54&lt;0</formula>
    </cfRule>
  </conditionalFormatting>
  <conditionalFormatting sqref="L55 L57 L59 L61">
    <cfRule type="expression" dxfId="3289" priority="142">
      <formula>L55&gt;0</formula>
    </cfRule>
    <cfRule type="expression" dxfId="3288" priority="143">
      <formula>L55&lt;0</formula>
    </cfRule>
  </conditionalFormatting>
  <conditionalFormatting sqref="L66 L68 L70 L72 L74">
    <cfRule type="expression" dxfId="3287" priority="140">
      <formula>L66&gt;0</formula>
    </cfRule>
    <cfRule type="expression" dxfId="3286" priority="141">
      <formula>L66&lt;0</formula>
    </cfRule>
  </conditionalFormatting>
  <conditionalFormatting sqref="L58:L79">
    <cfRule type="expression" dxfId="3285" priority="138">
      <formula>L58&gt;0</formula>
    </cfRule>
    <cfRule type="expression" dxfId="3284" priority="139">
      <formula>L58&lt;0</formula>
    </cfRule>
  </conditionalFormatting>
  <conditionalFormatting sqref="L75 L77 L79 L81 L83">
    <cfRule type="expression" dxfId="3283" priority="136">
      <formula>L75&gt;0</formula>
    </cfRule>
    <cfRule type="expression" dxfId="3282" priority="137">
      <formula>L75&lt;0</formula>
    </cfRule>
  </conditionalFormatting>
  <conditionalFormatting sqref="L76 L78 L80 L82">
    <cfRule type="expression" dxfId="3281" priority="134">
      <formula>L76&gt;0</formula>
    </cfRule>
    <cfRule type="expression" dxfId="3280" priority="135">
      <formula>L76&lt;0</formula>
    </cfRule>
  </conditionalFormatting>
  <conditionalFormatting sqref="L82 L84 L88">
    <cfRule type="expression" dxfId="3279" priority="132">
      <formula>L82&gt;0</formula>
    </cfRule>
    <cfRule type="expression" dxfId="3278" priority="133">
      <formula>L82&lt;0</formula>
    </cfRule>
  </conditionalFormatting>
  <conditionalFormatting sqref="L83 L85">
    <cfRule type="expression" dxfId="3277" priority="130">
      <formula>L83&gt;0</formula>
    </cfRule>
    <cfRule type="expression" dxfId="3276" priority="131">
      <formula>L83&lt;0</formula>
    </cfRule>
  </conditionalFormatting>
  <conditionalFormatting sqref="I1:I85 I94:I96 I99:I1048576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275" priority="127">
      <formula>M44&gt;0</formula>
    </cfRule>
    <cfRule type="expression" dxfId="3274" priority="128">
      <formula>M44&lt;0</formula>
    </cfRule>
  </conditionalFormatting>
  <conditionalFormatting sqref="M62:M66">
    <cfRule type="expression" dxfId="3273" priority="125">
      <formula>M62&gt;0</formula>
    </cfRule>
    <cfRule type="expression" dxfId="3272" priority="126">
      <formula>M62&lt;0</formula>
    </cfRule>
  </conditionalFormatting>
  <conditionalFormatting sqref="E86">
    <cfRule type="expression" dxfId="3271" priority="124">
      <formula>$H86=0</formula>
    </cfRule>
  </conditionalFormatting>
  <conditionalFormatting sqref="K86">
    <cfRule type="expression" dxfId="3270" priority="122">
      <formula>K86&gt;0</formula>
    </cfRule>
    <cfRule type="expression" dxfId="3269" priority="123">
      <formula>K86&lt;0</formula>
    </cfRule>
  </conditionalFormatting>
  <conditionalFormatting sqref="M86">
    <cfRule type="expression" dxfId="3268" priority="120">
      <formula>M86&gt;0</formula>
    </cfRule>
    <cfRule type="expression" dxfId="3267" priority="121">
      <formula>M86&lt;0</formula>
    </cfRule>
  </conditionalFormatting>
  <conditionalFormatting sqref="L86">
    <cfRule type="expression" dxfId="3266" priority="118">
      <formula>L86&gt;0</formula>
    </cfRule>
    <cfRule type="expression" dxfId="3265" priority="119">
      <formula>L86&lt;0</formula>
    </cfRule>
  </conditionalFormatting>
  <conditionalFormatting sqref="J1:J85 J94:J96 J99:J104857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99:J1048576">
    <cfRule type="dataBar" priority="1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264" priority="112">
      <formula>K61&gt;0</formula>
    </cfRule>
    <cfRule type="expression" dxfId="3263" priority="113">
      <formula>K61&lt;0</formula>
    </cfRule>
  </conditionalFormatting>
  <conditionalFormatting sqref="K44">
    <cfRule type="expression" dxfId="3262" priority="110">
      <formula>K44&gt;0</formula>
    </cfRule>
    <cfRule type="expression" dxfId="3261" priority="111">
      <formula>K44&lt;0</formula>
    </cfRule>
  </conditionalFormatting>
  <conditionalFormatting sqref="E87">
    <cfRule type="expression" dxfId="3260" priority="109">
      <formula>$H87=0</formula>
    </cfRule>
  </conditionalFormatting>
  <conditionalFormatting sqref="K87">
    <cfRule type="expression" dxfId="3259" priority="107">
      <formula>K87&gt;0</formula>
    </cfRule>
    <cfRule type="expression" dxfId="3258" priority="108">
      <formula>K87&lt;0</formula>
    </cfRule>
  </conditionalFormatting>
  <conditionalFormatting sqref="M87">
    <cfRule type="expression" dxfId="3257" priority="105">
      <formula>M87&gt;0</formula>
    </cfRule>
    <cfRule type="expression" dxfId="3256" priority="106">
      <formula>M87&lt;0</formula>
    </cfRule>
  </conditionalFormatting>
  <conditionalFormatting sqref="L87">
    <cfRule type="expression" dxfId="3255" priority="103">
      <formula>L87&gt;0</formula>
    </cfRule>
    <cfRule type="expression" dxfId="3254" priority="104">
      <formula>L87&lt;0</formula>
    </cfRule>
  </conditionalFormatting>
  <conditionalFormatting sqref="E88">
    <cfRule type="expression" dxfId="3253" priority="99">
      <formula>$H88=0</formula>
    </cfRule>
  </conditionalFormatting>
  <conditionalFormatting sqref="S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9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252" priority="90">
      <formula>$H89=0</formula>
    </cfRule>
  </conditionalFormatting>
  <conditionalFormatting sqref="E90">
    <cfRule type="expression" dxfId="3251" priority="89">
      <formula>$H90=0</formula>
    </cfRule>
  </conditionalFormatting>
  <conditionalFormatting sqref="E91">
    <cfRule type="expression" dxfId="3250" priority="88">
      <formula>$H91=0</formula>
    </cfRule>
  </conditionalFormatting>
  <conditionalFormatting sqref="K89">
    <cfRule type="expression" dxfId="3249" priority="86">
      <formula>K89&gt;0</formula>
    </cfRule>
    <cfRule type="expression" dxfId="3248" priority="87">
      <formula>K89&lt;0</formula>
    </cfRule>
  </conditionalFormatting>
  <conditionalFormatting sqref="K90">
    <cfRule type="expression" dxfId="3247" priority="84">
      <formula>K90&gt;0</formula>
    </cfRule>
    <cfRule type="expression" dxfId="3246" priority="85">
      <formula>K90&lt;0</formula>
    </cfRule>
  </conditionalFormatting>
  <conditionalFormatting sqref="K89 K91">
    <cfRule type="expression" dxfId="3245" priority="82">
      <formula>K89&gt;0</formula>
    </cfRule>
    <cfRule type="expression" dxfId="3244" priority="83">
      <formula>K89&lt;0</formula>
    </cfRule>
  </conditionalFormatting>
  <conditionalFormatting sqref="M89">
    <cfRule type="expression" dxfId="3243" priority="80">
      <formula>M89&gt;0</formula>
    </cfRule>
    <cfRule type="expression" dxfId="3242" priority="81">
      <formula>M89&lt;0</formula>
    </cfRule>
  </conditionalFormatting>
  <conditionalFormatting sqref="M90">
    <cfRule type="expression" dxfId="3241" priority="78">
      <formula>M90&gt;0</formula>
    </cfRule>
    <cfRule type="expression" dxfId="3240" priority="79">
      <formula>M90&lt;0</formula>
    </cfRule>
  </conditionalFormatting>
  <conditionalFormatting sqref="M89 M91">
    <cfRule type="expression" dxfId="3239" priority="76">
      <formula>M89&gt;0</formula>
    </cfRule>
    <cfRule type="expression" dxfId="3238" priority="77">
      <formula>M89&lt;0</formula>
    </cfRule>
  </conditionalFormatting>
  <conditionalFormatting sqref="L89">
    <cfRule type="expression" dxfId="3237" priority="74">
      <formula>L89&gt;0</formula>
    </cfRule>
    <cfRule type="expression" dxfId="3236" priority="75">
      <formula>L89&lt;0</formula>
    </cfRule>
  </conditionalFormatting>
  <conditionalFormatting sqref="L90">
    <cfRule type="expression" dxfId="3235" priority="72">
      <formula>L90&gt;0</formula>
    </cfRule>
    <cfRule type="expression" dxfId="3234" priority="73">
      <formula>L90&lt;0</formula>
    </cfRule>
  </conditionalFormatting>
  <conditionalFormatting sqref="L89 L91">
    <cfRule type="expression" dxfId="3233" priority="70">
      <formula>L89&gt;0</formula>
    </cfRule>
    <cfRule type="expression" dxfId="3232" priority="71">
      <formula>L89&lt;0</formula>
    </cfRule>
  </conditionalFormatting>
  <conditionalFormatting sqref="I89:I91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231" priority="68">
      <formula>$H92=0</formula>
    </cfRule>
  </conditionalFormatting>
  <conditionalFormatting sqref="K92">
    <cfRule type="expression" dxfId="3230" priority="66">
      <formula>K92&gt;0</formula>
    </cfRule>
    <cfRule type="expression" dxfId="3229" priority="67">
      <formula>K92&lt;0</formula>
    </cfRule>
  </conditionalFormatting>
  <conditionalFormatting sqref="M92">
    <cfRule type="expression" dxfId="3228" priority="64">
      <formula>M92&gt;0</formula>
    </cfRule>
    <cfRule type="expression" dxfId="3227" priority="65">
      <formula>M92&lt;0</formula>
    </cfRule>
  </conditionalFormatting>
  <conditionalFormatting sqref="L92">
    <cfRule type="expression" dxfId="3226" priority="62">
      <formula>L92&gt;0</formula>
    </cfRule>
    <cfRule type="expression" dxfId="3225" priority="63">
      <formula>L92&lt;0</formula>
    </cfRule>
  </conditionalFormatting>
  <conditionalFormatting sqref="J89:J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6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224" priority="59">
      <formula>$H93=0</formula>
    </cfRule>
  </conditionalFormatting>
  <conditionalFormatting sqref="K93">
    <cfRule type="expression" dxfId="3223" priority="57">
      <formula>K93&gt;0</formula>
    </cfRule>
    <cfRule type="expression" dxfId="3222" priority="58">
      <formula>K93&lt;0</formula>
    </cfRule>
  </conditionalFormatting>
  <conditionalFormatting sqref="M93">
    <cfRule type="expression" dxfId="3221" priority="55">
      <formula>M93&gt;0</formula>
    </cfRule>
    <cfRule type="expression" dxfId="3220" priority="56">
      <formula>M93&lt;0</formula>
    </cfRule>
  </conditionalFormatting>
  <conditionalFormatting sqref="L93">
    <cfRule type="expression" dxfId="3219" priority="53">
      <formula>L93&gt;0</formula>
    </cfRule>
    <cfRule type="expression" dxfId="3218" priority="54">
      <formula>L93&lt;0</formula>
    </cfRule>
  </conditionalFormatting>
  <conditionalFormatting sqref="I92:I93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5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217" priority="49">
      <formula>$H92=0</formula>
    </cfRule>
  </conditionalFormatting>
  <conditionalFormatting sqref="E93">
    <cfRule type="expression" dxfId="3216" priority="48">
      <formula>$H93=0</formula>
    </cfRule>
  </conditionalFormatting>
  <conditionalFormatting sqref="E94">
    <cfRule type="expression" dxfId="3215" priority="47">
      <formula>$H94=0</formula>
    </cfRule>
  </conditionalFormatting>
  <conditionalFormatting sqref="K92">
    <cfRule type="expression" dxfId="3214" priority="45">
      <formula>K92&gt;0</formula>
    </cfRule>
    <cfRule type="expression" dxfId="3213" priority="46">
      <formula>K92&lt;0</formula>
    </cfRule>
  </conditionalFormatting>
  <conditionalFormatting sqref="K93">
    <cfRule type="expression" dxfId="3212" priority="43">
      <formula>K93&gt;0</formula>
    </cfRule>
    <cfRule type="expression" dxfId="3211" priority="44">
      <formula>K93&lt;0</formula>
    </cfRule>
  </conditionalFormatting>
  <conditionalFormatting sqref="K92 K94">
    <cfRule type="expression" dxfId="3210" priority="41">
      <formula>K92&gt;0</formula>
    </cfRule>
    <cfRule type="expression" dxfId="3209" priority="42">
      <formula>K92&lt;0</formula>
    </cfRule>
  </conditionalFormatting>
  <conditionalFormatting sqref="M92">
    <cfRule type="expression" dxfId="3208" priority="39">
      <formula>M92&gt;0</formula>
    </cfRule>
    <cfRule type="expression" dxfId="3207" priority="40">
      <formula>M92&lt;0</formula>
    </cfRule>
  </conditionalFormatting>
  <conditionalFormatting sqref="M93">
    <cfRule type="expression" dxfId="3206" priority="37">
      <formula>M93&gt;0</formula>
    </cfRule>
    <cfRule type="expression" dxfId="3205" priority="38">
      <formula>M93&lt;0</formula>
    </cfRule>
  </conditionalFormatting>
  <conditionalFormatting sqref="M92 M94">
    <cfRule type="expression" dxfId="3204" priority="35">
      <formula>M92&gt;0</formula>
    </cfRule>
    <cfRule type="expression" dxfId="3203" priority="36">
      <formula>M92&lt;0</formula>
    </cfRule>
  </conditionalFormatting>
  <conditionalFormatting sqref="L92">
    <cfRule type="expression" dxfId="3202" priority="33">
      <formula>L92&gt;0</formula>
    </cfRule>
    <cfRule type="expression" dxfId="3201" priority="34">
      <formula>L92&lt;0</formula>
    </cfRule>
  </conditionalFormatting>
  <conditionalFormatting sqref="L93">
    <cfRule type="expression" dxfId="3200" priority="31">
      <formula>L93&gt;0</formula>
    </cfRule>
    <cfRule type="expression" dxfId="3199" priority="32">
      <formula>L93&lt;0</formula>
    </cfRule>
  </conditionalFormatting>
  <conditionalFormatting sqref="L92 L94">
    <cfRule type="expression" dxfId="3198" priority="29">
      <formula>L92&gt;0</formula>
    </cfRule>
    <cfRule type="expression" dxfId="3197" priority="30">
      <formula>L92&lt;0</formula>
    </cfRule>
  </conditionalFormatting>
  <conditionalFormatting sqref="I92:I94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196" priority="27">
      <formula>$H95=0</formula>
    </cfRule>
  </conditionalFormatting>
  <conditionalFormatting sqref="K95">
    <cfRule type="expression" dxfId="3195" priority="25">
      <formula>K95&gt;0</formula>
    </cfRule>
    <cfRule type="expression" dxfId="3194" priority="26">
      <formula>K95&lt;0</formula>
    </cfRule>
  </conditionalFormatting>
  <conditionalFormatting sqref="M95">
    <cfRule type="expression" dxfId="3193" priority="23">
      <formula>M95&gt;0</formula>
    </cfRule>
    <cfRule type="expression" dxfId="3192" priority="24">
      <formula>M95&lt;0</formula>
    </cfRule>
  </conditionalFormatting>
  <conditionalFormatting sqref="L95">
    <cfRule type="expression" dxfId="3191" priority="21">
      <formula>L95&gt;0</formula>
    </cfRule>
    <cfRule type="expression" dxfId="3190" priority="22">
      <formula>L95&lt;0</formula>
    </cfRule>
  </conditionalFormatting>
  <conditionalFormatting sqref="J92:J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189" priority="18">
      <formula>$H96=0</formula>
    </cfRule>
  </conditionalFormatting>
  <conditionalFormatting sqref="K96">
    <cfRule type="expression" dxfId="3188" priority="16">
      <formula>K96&gt;0</formula>
    </cfRule>
    <cfRule type="expression" dxfId="3187" priority="17">
      <formula>K96&lt;0</formula>
    </cfRule>
  </conditionalFormatting>
  <conditionalFormatting sqref="M96">
    <cfRule type="expression" dxfId="3186" priority="14">
      <formula>M96&gt;0</formula>
    </cfRule>
    <cfRule type="expression" dxfId="3185" priority="15">
      <formula>M96&lt;0</formula>
    </cfRule>
  </conditionalFormatting>
  <conditionalFormatting sqref="L96">
    <cfRule type="expression" dxfId="3184" priority="12">
      <formula>L96&gt;0</formula>
    </cfRule>
    <cfRule type="expression" dxfId="3183" priority="13">
      <formula>L96&lt;0</formula>
    </cfRule>
  </conditionalFormatting>
  <conditionalFormatting sqref="I95:I9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182" priority="5">
      <formula>$H97=0</formula>
    </cfRule>
  </conditionalFormatting>
  <conditionalFormatting sqref="E98">
    <cfRule type="expression" dxfId="3181" priority="4">
      <formula>$H98=0</formula>
    </cfRule>
  </conditionalFormatting>
  <conditionalFormatting sqref="I97:I98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29" location="ABC!A1" display="ABC"/>
    <hyperlink ref="E7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4" location="DWDP!A1" display="DWDP"/>
    <hyperlink ref="E45" location="GPS!A1" display="GPS"/>
    <hyperlink ref="E46" location="AKAM!A1" display="AKAM"/>
    <hyperlink ref="E47" location="ARNC!A1" display="ARNC"/>
    <hyperlink ref="E5" location="IEMG!A1" display="IEMG"/>
    <hyperlink ref="E20" location="CVS!A1" display="CVS"/>
    <hyperlink ref="E48" location="ADBE!A1" display="ADBE"/>
    <hyperlink ref="E49" location="FDX!A1" display="FDX"/>
    <hyperlink ref="E50" location="PPC!A1" display="PPC"/>
    <hyperlink ref="E32" location="SKX!A1" display="SKX"/>
    <hyperlink ref="E26" location="XLB!A1" display="XLB"/>
    <hyperlink ref="E14" location="EOG!A1" display="EOG"/>
    <hyperlink ref="E16" location="TCEHY!A1" display="TCEHY"/>
    <hyperlink ref="E19" location="DVN!A1" display="DVN"/>
    <hyperlink ref="E2" location="MRO!A1" display="MRO"/>
    <hyperlink ref="E23" location="GE!A1" display="GE"/>
    <hyperlink ref="E9" location="XRAY!A1" display="XRAY"/>
    <hyperlink ref="E25" location="CRI!A1" display="CRI"/>
    <hyperlink ref="E51" location="XLP!A1" display="XLP"/>
    <hyperlink ref="E52" location="KR!A1" display="KR"/>
    <hyperlink ref="E53" location="F!A1" display="F"/>
    <hyperlink ref="E54" location="JNJ!A1" display="JNJ"/>
    <hyperlink ref="E55" location="ULTA!A1" display="ULTA"/>
    <hyperlink ref="E15" location="FRC!A1" display="FRC"/>
    <hyperlink ref="E56" location="AAP!A1" display="AAP"/>
    <hyperlink ref="E31" location="CMCSA!A1" display="CMCSA"/>
    <hyperlink ref="E57" location="XEC!A1" display="XEC"/>
    <hyperlink ref="E8" location="WRK!A1" display="WRK"/>
    <hyperlink ref="E12" location="MO!A1" display="MO"/>
    <hyperlink ref="E3" location="T!A1" display="T"/>
    <hyperlink ref="E58" location="COST!A1" display="COST"/>
    <hyperlink ref="E59" location="CPN!A1" display="CPN"/>
    <hyperlink ref="E60" location="EW!A1" display="EW"/>
    <hyperlink ref="E61" location="TJX!A1" display="TJX"/>
    <hyperlink ref="E6" location="QQQ!A1" display="QQQ"/>
    <hyperlink ref="E62" location="WBA!A1" display="WBA"/>
    <hyperlink ref="E63" location="AZO!A1" display="AZO"/>
    <hyperlink ref="E64" location="FL!A1" display="FL"/>
    <hyperlink ref="E10" location="MLM!A1" display="MLM"/>
    <hyperlink ref="E4" location="KHC!A1" display="KHC"/>
    <hyperlink ref="E65" location="KBWY!A1" display="KBWY"/>
    <hyperlink ref="E18" location="AYI!A1" display="AYI"/>
    <hyperlink ref="E66" location="DIA!A1" display="DIA"/>
    <hyperlink ref="E67" location="ICE!A1" display="ICE"/>
    <hyperlink ref="E68" location="NKE!A1" display="NKE"/>
    <hyperlink ref="E13" location="MOS!A1" display="MOS"/>
    <hyperlink ref="E69" location="VGK!A1" display="VGK"/>
    <hyperlink ref="E70" location="CMG!A1" display="CMG"/>
    <hyperlink ref="E30" location="HAS!A1" display="HAS"/>
    <hyperlink ref="E71" location="HSIC!A1" display="HSIC"/>
    <hyperlink ref="E21" location="PDCO!A1" display="PDCO"/>
    <hyperlink ref="E72" location="MU!A1" display="MU"/>
    <hyperlink ref="E73" location="IP!A1" display="IP"/>
    <hyperlink ref="E74" location="INTC!A1" display="INTC"/>
    <hyperlink ref="E75" location="HES!A1" display="HES"/>
    <hyperlink ref="E76" location="UNP!A1" display="UNP"/>
    <hyperlink ref="E77" location="NCLH!A1" display="NCLH"/>
    <hyperlink ref="E78" location="SPY!A1" display="SPY"/>
    <hyperlink ref="E79" location="SWKS!A1" display="SWKS"/>
    <hyperlink ref="E80" location="CNI!A1" display="CNI"/>
    <hyperlink ref="E22" location="WFC!A1" display="WFC"/>
    <hyperlink ref="E81" location="AA!A1" display="AA"/>
    <hyperlink ref="E82" location="CF!A1" display="CF"/>
    <hyperlink ref="E83" location="TGT!A1" display="TGT"/>
    <hyperlink ref="E11" location="NWL!A1" display="NWL"/>
    <hyperlink ref="E84" location="KORS!A1" display="KORS"/>
    <hyperlink ref="E85" location="ALL!A1" display="ALL"/>
    <hyperlink ref="E86" location="NSC!A1" display="NSC"/>
    <hyperlink ref="E87" location="AVGO!A1" display="AVGO"/>
    <hyperlink ref="E88" location="UAL!A1" display="UAL"/>
    <hyperlink ref="E27" location="CAH!A1" display="CAH"/>
    <hyperlink ref="E89" location="DAL!A1" display="DAL"/>
    <hyperlink ref="E28" location="TEVA!A1" display="TEVA"/>
    <hyperlink ref="E90" location="DIS!A1" display="DIS"/>
    <hyperlink ref="E91" location="FTR!A1" display="FTR"/>
    <hyperlink ref="E92" location="GILD!A1" display="GILD"/>
    <hyperlink ref="E93" location="WWD!A1" display="WWD"/>
    <hyperlink ref="E17" location="GIS!A1" display="GIS"/>
    <hyperlink ref="E94" location="GM!A1" display="GM"/>
    <hyperlink ref="E95" location="TMO!A1" display="TMO"/>
    <hyperlink ref="E96" location="TKR!A1" display="TKR"/>
    <hyperlink ref="E97" location="UTX!A1" display="UTX"/>
    <hyperlink ref="E9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I99:I1048576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J99:J1048576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J99:J1048576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80"/>
  <sheetViews>
    <sheetView tabSelected="1" zoomScaleNormal="100" workbookViewId="0">
      <pane ySplit="1" topLeftCell="A767" activePane="bottomLeft" state="frozen"/>
      <selection pane="bottomLeft" activeCell="AA774" sqref="AA774"/>
    </sheetView>
  </sheetViews>
  <sheetFormatPr defaultColWidth="9.140625" defaultRowHeight="20.100000000000001" customHeight="1" x14ac:dyDescent="0.2"/>
  <cols>
    <col min="1" max="1" width="5" style="802" bestFit="1" customWidth="1"/>
    <col min="2" max="2" width="10.140625" style="872" bestFit="1" customWidth="1"/>
    <col min="3" max="3" width="8" style="802" bestFit="1" customWidth="1"/>
    <col min="4" max="4" width="11.42578125" style="873" bestFit="1" customWidth="1"/>
    <col min="5" max="5" width="11.5703125" style="873" bestFit="1" customWidth="1"/>
    <col min="6" max="6" width="7.7109375" style="873" bestFit="1" customWidth="1"/>
    <col min="7" max="7" width="11.42578125" style="873" bestFit="1" customWidth="1"/>
    <col min="8" max="8" width="12.28515625" style="873" bestFit="1" customWidth="1"/>
    <col min="9" max="9" width="10" style="874" bestFit="1" customWidth="1"/>
    <col min="10" max="10" width="11.42578125" style="802" bestFit="1" customWidth="1"/>
    <col min="11" max="11" width="9.140625" style="802" bestFit="1" customWidth="1"/>
    <col min="12" max="12" width="11.140625" style="802" bestFit="1" customWidth="1"/>
    <col min="13" max="13" width="10.140625" style="846" bestFit="1" customWidth="1"/>
    <col min="14" max="14" width="7.85546875" style="875" bestFit="1" customWidth="1"/>
    <col min="15" max="15" width="8.85546875" style="875" bestFit="1" customWidth="1"/>
    <col min="16" max="16" width="9" style="876" bestFit="1" customWidth="1"/>
    <col min="17" max="17" width="9.85546875" style="877" bestFit="1" customWidth="1"/>
    <col min="18" max="18" width="10.85546875" style="877" bestFit="1" customWidth="1"/>
    <col min="19" max="19" width="9.5703125" style="877" bestFit="1" customWidth="1"/>
    <col min="20" max="20" width="10" style="877" bestFit="1" customWidth="1"/>
    <col min="21" max="21" width="9.5703125" style="877" bestFit="1" customWidth="1"/>
    <col min="22" max="22" width="8.140625" style="875" bestFit="1" customWidth="1"/>
    <col min="23" max="23" width="7.28515625" style="875" bestFit="1" customWidth="1"/>
    <col min="24" max="24" width="10.28515625" style="875" bestFit="1" customWidth="1"/>
    <col min="25" max="25" width="10.7109375" style="846" bestFit="1" customWidth="1"/>
    <col min="26" max="26" width="8.7109375" style="846" bestFit="1" customWidth="1"/>
    <col min="27" max="27" width="9.5703125" style="802" bestFit="1" customWidth="1"/>
    <col min="28" max="28" width="9.140625" style="802"/>
    <col min="29" max="29" width="11.42578125" style="802" bestFit="1" customWidth="1"/>
    <col min="30" max="16384" width="9.140625" style="802"/>
  </cols>
  <sheetData>
    <row r="1" spans="1:45" ht="20.100000000000001" customHeight="1" x14ac:dyDescent="0.2">
      <c r="A1" s="793"/>
      <c r="B1" s="794" t="s">
        <v>86</v>
      </c>
      <c r="C1" s="793" t="s">
        <v>135</v>
      </c>
      <c r="D1" s="795" t="s">
        <v>137</v>
      </c>
      <c r="E1" s="795" t="s">
        <v>1326</v>
      </c>
      <c r="F1" s="795" t="s">
        <v>152</v>
      </c>
      <c r="G1" s="795" t="s">
        <v>274</v>
      </c>
      <c r="H1" s="795" t="s">
        <v>1325</v>
      </c>
      <c r="I1" s="793" t="s">
        <v>85</v>
      </c>
      <c r="J1" s="793" t="s">
        <v>87</v>
      </c>
      <c r="K1" s="793" t="s">
        <v>134</v>
      </c>
      <c r="L1" s="793" t="s">
        <v>136</v>
      </c>
      <c r="M1" s="796" t="s">
        <v>96</v>
      </c>
      <c r="N1" s="796" t="s">
        <v>76</v>
      </c>
      <c r="O1" s="796" t="s">
        <v>751</v>
      </c>
      <c r="P1" s="793" t="s">
        <v>148</v>
      </c>
      <c r="Q1" s="797" t="s">
        <v>1327</v>
      </c>
      <c r="R1" s="797" t="s">
        <v>186</v>
      </c>
      <c r="S1" s="797" t="s">
        <v>187</v>
      </c>
      <c r="T1" s="797" t="s">
        <v>210</v>
      </c>
      <c r="U1" s="797" t="s">
        <v>211</v>
      </c>
      <c r="V1" s="796" t="s">
        <v>215</v>
      </c>
      <c r="W1" s="796" t="s">
        <v>216</v>
      </c>
      <c r="X1" s="796" t="s">
        <v>1328</v>
      </c>
      <c r="Y1" s="796" t="s">
        <v>927</v>
      </c>
      <c r="Z1" s="796" t="s">
        <v>904</v>
      </c>
      <c r="AA1" s="798" t="s">
        <v>149</v>
      </c>
      <c r="AB1" s="799"/>
      <c r="AC1" s="800"/>
      <c r="AD1" s="799"/>
      <c r="AE1" s="800"/>
      <c r="AF1" s="800"/>
      <c r="AG1" s="801"/>
      <c r="AH1" s="801"/>
      <c r="AI1" s="801"/>
      <c r="AJ1" s="801"/>
    </row>
    <row r="2" spans="1:45" ht="20.100000000000001" customHeight="1" x14ac:dyDescent="0.2">
      <c r="A2" s="801"/>
      <c r="B2" s="803">
        <v>42233</v>
      </c>
      <c r="C2" s="804">
        <v>2102.44</v>
      </c>
      <c r="D2" s="805"/>
      <c r="E2" s="805"/>
      <c r="F2" s="806">
        <v>5091.7</v>
      </c>
      <c r="G2" s="805"/>
      <c r="H2" s="805"/>
      <c r="I2" s="807">
        <v>322588.21000000002</v>
      </c>
      <c r="J2" s="808">
        <v>360000</v>
      </c>
      <c r="K2" s="809"/>
      <c r="L2" s="809"/>
      <c r="M2" s="810">
        <f t="shared" ref="M2:M29" si="0">I2-J2</f>
        <v>-37411.789999999979</v>
      </c>
      <c r="N2" s="811">
        <f>M2/J2</f>
        <v>-0.10392163888888883</v>
      </c>
      <c r="O2" s="811"/>
      <c r="P2" s="810" t="b">
        <f>L2&gt;D2</f>
        <v>0</v>
      </c>
      <c r="Q2" s="811">
        <f>COUNTIF(P$2:P2, TRUE)/(COUNTIF(P$2:P2,FALSE) + COUNTIF(P$2:P2, TRUE))</f>
        <v>0</v>
      </c>
      <c r="R2" s="812"/>
      <c r="S2" s="812"/>
      <c r="T2" s="812"/>
      <c r="U2" s="812"/>
      <c r="V2" s="811"/>
      <c r="W2" s="811"/>
      <c r="X2" s="811"/>
      <c r="Y2" s="810"/>
      <c r="Z2" s="813"/>
      <c r="AA2" s="814">
        <f>LOOKUP(2,1/(M:M&lt;&gt;""),M:M)</f>
        <v>103083.15000000002</v>
      </c>
      <c r="AB2" s="799"/>
      <c r="AC2" s="800"/>
      <c r="AD2" s="799"/>
      <c r="AE2" s="800"/>
      <c r="AF2" s="800"/>
      <c r="AG2" s="801"/>
      <c r="AH2" s="801"/>
      <c r="AI2" s="801"/>
      <c r="AJ2" s="801"/>
    </row>
    <row r="3" spans="1:45" ht="20.100000000000001" customHeight="1" x14ac:dyDescent="0.2">
      <c r="A3" s="815" t="s">
        <v>71</v>
      </c>
      <c r="B3" s="803">
        <v>42234</v>
      </c>
      <c r="C3" s="816">
        <v>2096.92</v>
      </c>
      <c r="D3" s="817">
        <f>(C3-C2)/C2</f>
        <v>-2.6255208234242031E-3</v>
      </c>
      <c r="E3" s="818">
        <f>(C3-$C$2)/$C$2</f>
        <v>-2.6255208234242031E-3</v>
      </c>
      <c r="F3" s="819">
        <v>5059.3500000000004</v>
      </c>
      <c r="G3" s="817">
        <f t="shared" ref="G3:G66" si="1">(F3-F2)/F2</f>
        <v>-6.3534772276448836E-3</v>
      </c>
      <c r="H3" s="818">
        <f>(F3-F$2)/F$2</f>
        <v>-6.3534772276448836E-3</v>
      </c>
      <c r="I3" s="807">
        <v>319994.03000000003</v>
      </c>
      <c r="J3" s="808">
        <v>360000</v>
      </c>
      <c r="K3" s="808">
        <f t="shared" ref="K3:K28" si="2">I3-I2-J3+J2</f>
        <v>-2594.179999999993</v>
      </c>
      <c r="L3" s="817">
        <f>K3/I2</f>
        <v>-8.0417694124654861E-3</v>
      </c>
      <c r="M3" s="810">
        <f t="shared" si="0"/>
        <v>-40005.969999999972</v>
      </c>
      <c r="N3" s="811">
        <f t="shared" ref="N3:N29" si="3">M3/J3</f>
        <v>-0.11112769444444437</v>
      </c>
      <c r="O3" s="811"/>
      <c r="P3" s="810" t="b">
        <f>L3&gt;D3</f>
        <v>0</v>
      </c>
      <c r="Q3" s="811">
        <f>COUNTIF(P$2:P3, TRUE)/(COUNTIF(P$2:P3,FALSE) + COUNTIF(P$2:P3, TRUE))</f>
        <v>0</v>
      </c>
      <c r="R3" s="812"/>
      <c r="S3" s="812"/>
      <c r="T3" s="812"/>
      <c r="U3" s="812"/>
      <c r="V3" s="811"/>
      <c r="W3" s="811"/>
      <c r="X3" s="811"/>
      <c r="Y3" s="810"/>
      <c r="Z3" s="813"/>
      <c r="AB3" s="799"/>
      <c r="AC3" s="800"/>
      <c r="AD3" s="799"/>
      <c r="AE3" s="800"/>
      <c r="AF3" s="800"/>
      <c r="AG3" s="801"/>
      <c r="AH3" s="801"/>
      <c r="AI3" s="801"/>
      <c r="AJ3" s="801"/>
    </row>
    <row r="4" spans="1:45" ht="20.100000000000001" customHeight="1" x14ac:dyDescent="0.2">
      <c r="A4" s="801"/>
      <c r="B4" s="803">
        <v>42235</v>
      </c>
      <c r="C4" s="816">
        <v>2079.61</v>
      </c>
      <c r="D4" s="817">
        <f t="shared" ref="D4:D67" si="4">(C4-C3)/C3</f>
        <v>-8.254964424012334E-3</v>
      </c>
      <c r="E4" s="818">
        <f t="shared" ref="E4:E43" si="5">(C4-$C$2)/$C$2</f>
        <v>-1.0858811666444668E-2</v>
      </c>
      <c r="F4" s="819">
        <v>5019.05</v>
      </c>
      <c r="G4" s="817">
        <f t="shared" si="1"/>
        <v>-7.9654501072272486E-3</v>
      </c>
      <c r="H4" s="818">
        <f t="shared" ref="H4:H66" si="6">(F4-F$2)/F$2</f>
        <v>-1.4268319029007923E-2</v>
      </c>
      <c r="I4" s="807">
        <v>311839.78000000003</v>
      </c>
      <c r="J4" s="808">
        <v>360000</v>
      </c>
      <c r="K4" s="808">
        <f t="shared" si="2"/>
        <v>-8154.25</v>
      </c>
      <c r="L4" s="817">
        <f t="shared" ref="L4:L67" si="7">K4/I3</f>
        <v>-2.5482506658014836E-2</v>
      </c>
      <c r="M4" s="810">
        <f t="shared" si="0"/>
        <v>-48160.219999999972</v>
      </c>
      <c r="N4" s="811">
        <f t="shared" si="3"/>
        <v>-0.13377838888888882</v>
      </c>
      <c r="O4" s="811"/>
      <c r="P4" s="810" t="b">
        <f>L4&gt;D4</f>
        <v>0</v>
      </c>
      <c r="Q4" s="811">
        <f>COUNTIF(P$2:P4, TRUE)/(COUNTIF(P$2:P4,FALSE) + COUNTIF(P$2:P4, TRUE))</f>
        <v>0</v>
      </c>
      <c r="R4" s="812"/>
      <c r="S4" s="812"/>
      <c r="T4" s="812"/>
      <c r="U4" s="812"/>
      <c r="V4" s="811">
        <f>STDEV(D$2:D4)*SQRT(252)</f>
        <v>6.3190347694703594E-2</v>
      </c>
      <c r="W4" s="811">
        <f>STDEV(L$2:L4)*SQRT(252)</f>
        <v>0.19577179003677936</v>
      </c>
      <c r="X4" s="811"/>
      <c r="Y4" s="810"/>
      <c r="Z4" s="813"/>
      <c r="AA4" s="801"/>
      <c r="AB4" s="799"/>
      <c r="AC4" s="800"/>
      <c r="AD4" s="799"/>
      <c r="AE4" s="800"/>
      <c r="AF4" s="800"/>
      <c r="AG4" s="801"/>
      <c r="AH4" s="801"/>
      <c r="AI4" s="801"/>
      <c r="AJ4" s="801"/>
    </row>
    <row r="5" spans="1:45" ht="20.100000000000001" customHeight="1" x14ac:dyDescent="0.2">
      <c r="A5" s="801"/>
      <c r="B5" s="803">
        <v>42236</v>
      </c>
      <c r="C5" s="816">
        <v>2035.73</v>
      </c>
      <c r="D5" s="817">
        <f t="shared" si="4"/>
        <v>-2.1100110116800797E-2</v>
      </c>
      <c r="E5" s="818">
        <f t="shared" si="5"/>
        <v>-3.1729799661345884E-2</v>
      </c>
      <c r="F5" s="819">
        <v>4877.49</v>
      </c>
      <c r="G5" s="817">
        <f t="shared" si="1"/>
        <v>-2.8204540699933334E-2</v>
      </c>
      <c r="H5" s="818">
        <f t="shared" si="6"/>
        <v>-4.2070428344167965E-2</v>
      </c>
      <c r="I5" s="807">
        <v>301697.40999999997</v>
      </c>
      <c r="J5" s="808">
        <v>360000</v>
      </c>
      <c r="K5" s="808">
        <f t="shared" si="2"/>
        <v>-10142.370000000054</v>
      </c>
      <c r="L5" s="817">
        <f t="shared" si="7"/>
        <v>-3.2524298214936055E-2</v>
      </c>
      <c r="M5" s="810">
        <f t="shared" si="0"/>
        <v>-58302.590000000026</v>
      </c>
      <c r="N5" s="811">
        <f t="shared" si="3"/>
        <v>-0.16195163888888897</v>
      </c>
      <c r="O5" s="811"/>
      <c r="P5" s="810" t="b">
        <f>L5&gt;D5</f>
        <v>0</v>
      </c>
      <c r="Q5" s="811">
        <f>COUNTIF(P$2:P5, TRUE)/(COUNTIF(P$2:P5,FALSE) + COUNTIF(P$2:P5, TRUE))</f>
        <v>0</v>
      </c>
      <c r="R5" s="812"/>
      <c r="S5" s="812"/>
      <c r="T5" s="812"/>
      <c r="U5" s="812"/>
      <c r="V5" s="811">
        <f>STDEV(D$2:D5)*SQRT(252)</f>
        <v>0.15031949910961184</v>
      </c>
      <c r="W5" s="811">
        <f>STDEV(L$2:L5)*SQRT(252)</f>
        <v>0.20008182112239786</v>
      </c>
      <c r="X5" s="811"/>
      <c r="Y5" s="810"/>
      <c r="Z5" s="813"/>
      <c r="AA5" s="801"/>
      <c r="AB5" s="799"/>
      <c r="AC5" s="800"/>
      <c r="AD5" s="799"/>
      <c r="AE5" s="800"/>
      <c r="AF5" s="800"/>
      <c r="AG5" s="801"/>
      <c r="AH5" s="801"/>
      <c r="AI5" s="801"/>
      <c r="AJ5" s="801"/>
    </row>
    <row r="6" spans="1:45" ht="20.100000000000001" customHeight="1" x14ac:dyDescent="0.2">
      <c r="A6" s="801">
        <f>B6-$B$2</f>
        <v>4</v>
      </c>
      <c r="B6" s="803">
        <v>42237</v>
      </c>
      <c r="C6" s="816">
        <v>1970.89</v>
      </c>
      <c r="D6" s="817">
        <f t="shared" si="4"/>
        <v>-3.1850982202944356E-2</v>
      </c>
      <c r="E6" s="818">
        <f t="shared" si="5"/>
        <v>-6.2570156579973724E-2</v>
      </c>
      <c r="F6" s="819">
        <v>4706.04</v>
      </c>
      <c r="G6" s="817">
        <f t="shared" si="1"/>
        <v>-3.5151276578732057E-2</v>
      </c>
      <c r="H6" s="818">
        <f t="shared" si="6"/>
        <v>-7.5742875660388453E-2</v>
      </c>
      <c r="I6" s="807">
        <v>295093.56</v>
      </c>
      <c r="J6" s="808">
        <v>360000</v>
      </c>
      <c r="K6" s="808">
        <f t="shared" si="2"/>
        <v>-6603.8499999999767</v>
      </c>
      <c r="L6" s="817">
        <f t="shared" si="7"/>
        <v>-2.1888984728108792E-2</v>
      </c>
      <c r="M6" s="810">
        <f t="shared" si="0"/>
        <v>-64906.44</v>
      </c>
      <c r="N6" s="811">
        <f t="shared" si="3"/>
        <v>-0.18029566666666666</v>
      </c>
      <c r="O6" s="811"/>
      <c r="P6" s="810" t="b">
        <f>L6&gt;D6</f>
        <v>1</v>
      </c>
      <c r="Q6" s="811">
        <f>COUNTIF(P$2:P6, TRUE)/(COUNTIF(P$2:P6,FALSE) + COUNTIF(P$2:P6, TRUE))</f>
        <v>0.2</v>
      </c>
      <c r="R6" s="812"/>
      <c r="S6" s="812"/>
      <c r="T6" s="812"/>
      <c r="U6" s="812"/>
      <c r="V6" s="811">
        <f>STDEV(D$2:D6)*SQRT(252)</f>
        <v>0.20821641331654633</v>
      </c>
      <c r="W6" s="811">
        <f>STDEV(L$2:L6)*SQRT(252)</f>
        <v>0.16336924292253127</v>
      </c>
      <c r="X6" s="811"/>
      <c r="Y6" s="810"/>
      <c r="Z6" s="813"/>
      <c r="AA6" s="801"/>
      <c r="AB6" s="799"/>
      <c r="AC6" s="800"/>
      <c r="AD6" s="799"/>
      <c r="AE6" s="800"/>
      <c r="AF6" s="800"/>
      <c r="AG6" s="801"/>
      <c r="AH6" s="801"/>
      <c r="AI6" s="801"/>
      <c r="AJ6" s="801"/>
    </row>
    <row r="7" spans="1:45" ht="20.100000000000001" customHeight="1" x14ac:dyDescent="0.2">
      <c r="A7" s="801">
        <f t="shared" ref="A7:A70" si="8">B7-$B$2</f>
        <v>7</v>
      </c>
      <c r="B7" s="820">
        <v>42240</v>
      </c>
      <c r="C7" s="821">
        <v>1893.21</v>
      </c>
      <c r="D7" s="817">
        <f t="shared" si="4"/>
        <v>-3.9413665907280494E-2</v>
      </c>
      <c r="E7" s="822">
        <f t="shared" si="5"/>
        <v>-9.95177032400449E-2</v>
      </c>
      <c r="F7" s="823">
        <v>4526.25</v>
      </c>
      <c r="G7" s="817">
        <f t="shared" si="1"/>
        <v>-3.8204095162812035E-2</v>
      </c>
      <c r="H7" s="822">
        <f t="shared" si="6"/>
        <v>-0.11105328279356597</v>
      </c>
      <c r="I7" s="824">
        <v>283095.28999999998</v>
      </c>
      <c r="J7" s="825">
        <v>360000</v>
      </c>
      <c r="K7" s="825">
        <f t="shared" si="2"/>
        <v>-11998.270000000019</v>
      </c>
      <c r="L7" s="817">
        <f t="shared" si="7"/>
        <v>-4.0659206524195309E-2</v>
      </c>
      <c r="M7" s="826">
        <f t="shared" si="0"/>
        <v>-76904.710000000021</v>
      </c>
      <c r="N7" s="827">
        <f t="shared" si="3"/>
        <v>-0.2136241944444445</v>
      </c>
      <c r="O7" s="811"/>
      <c r="P7" s="826" t="b">
        <f t="shared" ref="P7:P58" si="9">L7&gt;D7</f>
        <v>0</v>
      </c>
      <c r="Q7" s="827">
        <f>COUNTIF(P$2:P7, TRUE)/(COUNTIF(P$2:P7,FALSE) + COUNTIF(P$2:P7, TRUE))</f>
        <v>0.16666666666666666</v>
      </c>
      <c r="R7" s="828"/>
      <c r="S7" s="828"/>
      <c r="T7" s="828"/>
      <c r="U7" s="828"/>
      <c r="V7" s="827">
        <f>STDEV(D$2:D7)*SQRT(252)</f>
        <v>0.24544711494961968</v>
      </c>
      <c r="W7" s="827">
        <f>STDEV(L$2:L7)*SQRT(252)</f>
        <v>0.19389190476539761</v>
      </c>
      <c r="X7" s="827"/>
      <c r="Y7" s="826"/>
      <c r="Z7" s="829"/>
      <c r="AA7" s="801"/>
      <c r="AB7" s="799"/>
      <c r="AC7" s="800"/>
      <c r="AD7" s="799"/>
      <c r="AE7" s="800"/>
      <c r="AF7" s="800"/>
      <c r="AG7" s="801"/>
      <c r="AH7" s="801"/>
      <c r="AI7" s="801"/>
      <c r="AJ7" s="801"/>
    </row>
    <row r="8" spans="1:45" ht="20.100000000000001" customHeight="1" x14ac:dyDescent="0.2">
      <c r="A8" s="801">
        <f t="shared" si="8"/>
        <v>8</v>
      </c>
      <c r="B8" s="820">
        <v>42241</v>
      </c>
      <c r="C8" s="821">
        <v>1867.61</v>
      </c>
      <c r="D8" s="817">
        <f t="shared" si="4"/>
        <v>-1.3522007595565277E-2</v>
      </c>
      <c r="E8" s="822">
        <f t="shared" si="5"/>
        <v>-0.11169403169650509</v>
      </c>
      <c r="F8" s="823">
        <v>4506.49</v>
      </c>
      <c r="G8" s="817">
        <f t="shared" si="1"/>
        <v>-4.3656448494891397E-3</v>
      </c>
      <c r="H8" s="822">
        <f t="shared" si="6"/>
        <v>-0.11493410845100852</v>
      </c>
      <c r="I8" s="824">
        <v>276943.21000000002</v>
      </c>
      <c r="J8" s="825">
        <v>360000</v>
      </c>
      <c r="K8" s="825">
        <f t="shared" si="2"/>
        <v>-6152.0799999999581</v>
      </c>
      <c r="L8" s="817">
        <f t="shared" si="7"/>
        <v>-2.1731481297339698E-2</v>
      </c>
      <c r="M8" s="826">
        <f t="shared" si="0"/>
        <v>-83056.789999999979</v>
      </c>
      <c r="N8" s="827">
        <f t="shared" si="3"/>
        <v>-0.2307133055555555</v>
      </c>
      <c r="O8" s="811"/>
      <c r="P8" s="826" t="b">
        <f t="shared" si="9"/>
        <v>0</v>
      </c>
      <c r="Q8" s="827">
        <f>COUNTIF(P$2:P8, TRUE)/(COUNTIF(P$2:P8,FALSE) + COUNTIF(P$2:P8, TRUE))</f>
        <v>0.14285714285714285</v>
      </c>
      <c r="R8" s="828"/>
      <c r="S8" s="828"/>
      <c r="T8" s="828"/>
      <c r="U8" s="828"/>
      <c r="V8" s="827">
        <f>STDEV(D$2:D8)*SQRT(252)</f>
        <v>0.22434082778798065</v>
      </c>
      <c r="W8" s="827">
        <f>STDEV(L$2:L8)*SQRT(252)</f>
        <v>0.17533735395795544</v>
      </c>
      <c r="X8" s="827"/>
      <c r="Y8" s="826"/>
      <c r="Z8" s="829"/>
      <c r="AA8" s="801"/>
      <c r="AB8" s="799"/>
      <c r="AC8" s="800"/>
      <c r="AD8" s="799"/>
      <c r="AE8" s="800"/>
      <c r="AF8" s="800"/>
      <c r="AG8" s="801"/>
      <c r="AH8" s="801"/>
      <c r="AI8" s="801"/>
      <c r="AJ8" s="801"/>
      <c r="AS8" s="830"/>
    </row>
    <row r="9" spans="1:45" ht="20.100000000000001" customHeight="1" x14ac:dyDescent="0.2">
      <c r="A9" s="801">
        <f t="shared" si="8"/>
        <v>9</v>
      </c>
      <c r="B9" s="820">
        <v>42242</v>
      </c>
      <c r="C9" s="821">
        <v>1940.51</v>
      </c>
      <c r="D9" s="817">
        <f t="shared" si="4"/>
        <v>3.9033845395987435E-2</v>
      </c>
      <c r="E9" s="822">
        <f t="shared" si="5"/>
        <v>-7.7020033865413548E-2</v>
      </c>
      <c r="F9" s="823">
        <v>4697.54</v>
      </c>
      <c r="G9" s="817">
        <f t="shared" si="1"/>
        <v>4.239441339046579E-2</v>
      </c>
      <c r="H9" s="822">
        <f t="shared" si="6"/>
        <v>-7.741225916687941E-2</v>
      </c>
      <c r="I9" s="824">
        <v>284832.2</v>
      </c>
      <c r="J9" s="825">
        <v>360000</v>
      </c>
      <c r="K9" s="825">
        <f t="shared" si="2"/>
        <v>7888.9899999999907</v>
      </c>
      <c r="L9" s="817">
        <f t="shared" si="7"/>
        <v>2.8485948436865412E-2</v>
      </c>
      <c r="M9" s="826">
        <f t="shared" si="0"/>
        <v>-75167.799999999988</v>
      </c>
      <c r="N9" s="827">
        <f t="shared" si="3"/>
        <v>-0.2087994444444444</v>
      </c>
      <c r="O9" s="811"/>
      <c r="P9" s="826" t="b">
        <f t="shared" si="9"/>
        <v>0</v>
      </c>
      <c r="Q9" s="827">
        <f>COUNTIF(P$2:P9, TRUE)/(COUNTIF(P$2:P9,FALSE) + COUNTIF(P$2:P9, TRUE))</f>
        <v>0.125</v>
      </c>
      <c r="R9" s="828"/>
      <c r="S9" s="828"/>
      <c r="T9" s="828"/>
      <c r="U9" s="828"/>
      <c r="V9" s="827">
        <f>STDEV(D$2:D9)*SQRT(252)</f>
        <v>0.40635063731985605</v>
      </c>
      <c r="W9" s="827">
        <f>STDEV(L$2:L9)*SQRT(252)</f>
        <v>0.35891083910893234</v>
      </c>
      <c r="X9" s="827"/>
      <c r="Y9" s="826"/>
      <c r="Z9" s="829"/>
      <c r="AA9" s="801"/>
      <c r="AB9" s="799"/>
      <c r="AC9" s="800"/>
      <c r="AD9" s="799"/>
      <c r="AE9" s="800"/>
      <c r="AF9" s="800"/>
      <c r="AG9" s="801"/>
      <c r="AH9" s="801"/>
      <c r="AI9" s="801"/>
      <c r="AJ9" s="801"/>
    </row>
    <row r="10" spans="1:45" ht="20.100000000000001" customHeight="1" x14ac:dyDescent="0.2">
      <c r="A10" s="801">
        <f t="shared" si="8"/>
        <v>10</v>
      </c>
      <c r="B10" s="820">
        <v>42243</v>
      </c>
      <c r="C10" s="821">
        <v>1987.66</v>
      </c>
      <c r="D10" s="817">
        <f t="shared" si="4"/>
        <v>2.429773616214299E-2</v>
      </c>
      <c r="E10" s="822">
        <f t="shared" si="5"/>
        <v>-5.4593710165331696E-2</v>
      </c>
      <c r="F10" s="823">
        <v>4812.71</v>
      </c>
      <c r="G10" s="817">
        <f t="shared" si="1"/>
        <v>2.4517087667161978E-2</v>
      </c>
      <c r="H10" s="822">
        <f t="shared" si="6"/>
        <v>-5.4793094644224875E-2</v>
      </c>
      <c r="I10" s="824">
        <v>300742.98</v>
      </c>
      <c r="J10" s="825">
        <v>360000</v>
      </c>
      <c r="K10" s="825">
        <f t="shared" si="2"/>
        <v>15910.77999999997</v>
      </c>
      <c r="L10" s="817">
        <f t="shared" si="7"/>
        <v>5.5860187155806013E-2</v>
      </c>
      <c r="M10" s="826">
        <f t="shared" si="0"/>
        <v>-59257.020000000019</v>
      </c>
      <c r="N10" s="827">
        <f t="shared" si="3"/>
        <v>-0.16460283333333339</v>
      </c>
      <c r="O10" s="811"/>
      <c r="P10" s="826" t="b">
        <f t="shared" si="9"/>
        <v>1</v>
      </c>
      <c r="Q10" s="827">
        <f>COUNTIF(P$2:P10, TRUE)/(COUNTIF(P$2:P10,FALSE) + COUNTIF(P$2:P10, TRUE))</f>
        <v>0.22222222222222221</v>
      </c>
      <c r="R10" s="828"/>
      <c r="S10" s="828"/>
      <c r="T10" s="828"/>
      <c r="U10" s="828"/>
      <c r="V10" s="827">
        <f>STDEV(D$2:D10)*SQRT(252)</f>
        <v>0.42545538355052082</v>
      </c>
      <c r="W10" s="827">
        <f>STDEV(L$2:L10)*SQRT(252)</f>
        <v>0.52868202794227925</v>
      </c>
      <c r="X10" s="827"/>
      <c r="Y10" s="826"/>
      <c r="Z10" s="829"/>
      <c r="AA10" s="801" t="s">
        <v>123</v>
      </c>
      <c r="AB10" s="799"/>
      <c r="AC10" s="800"/>
      <c r="AD10" s="799"/>
      <c r="AE10" s="800"/>
      <c r="AF10" s="800"/>
      <c r="AG10" s="801"/>
      <c r="AH10" s="801"/>
      <c r="AI10" s="801"/>
      <c r="AJ10" s="801"/>
    </row>
    <row r="11" spans="1:45" ht="20.100000000000001" customHeight="1" x14ac:dyDescent="0.2">
      <c r="A11" s="801">
        <f t="shared" si="8"/>
        <v>11</v>
      </c>
      <c r="B11" s="820">
        <v>42244</v>
      </c>
      <c r="C11" s="821">
        <v>1988.87</v>
      </c>
      <c r="D11" s="817">
        <f t="shared" si="4"/>
        <v>6.0875602467213154E-4</v>
      </c>
      <c r="E11" s="822">
        <f t="shared" si="5"/>
        <v>-5.401818839063191E-2</v>
      </c>
      <c r="F11" s="823">
        <v>4828.32</v>
      </c>
      <c r="G11" s="817">
        <f t="shared" si="1"/>
        <v>3.2434948293164709E-3</v>
      </c>
      <c r="H11" s="822">
        <f t="shared" si="6"/>
        <v>-5.1727320934069197E-2</v>
      </c>
      <c r="I11" s="824">
        <v>307941.06</v>
      </c>
      <c r="J11" s="825">
        <v>360000</v>
      </c>
      <c r="K11" s="825">
        <f t="shared" si="2"/>
        <v>7198.0800000000163</v>
      </c>
      <c r="L11" s="817">
        <f t="shared" si="7"/>
        <v>2.3934324252556174E-2</v>
      </c>
      <c r="M11" s="826">
        <f t="shared" si="0"/>
        <v>-52058.94</v>
      </c>
      <c r="N11" s="827">
        <f t="shared" si="3"/>
        <v>-0.14460816666666668</v>
      </c>
      <c r="O11" s="811"/>
      <c r="P11" s="826" t="b">
        <f t="shared" si="9"/>
        <v>1</v>
      </c>
      <c r="Q11" s="827">
        <f>COUNTIF(P$2:P11, TRUE)/(COUNTIF(P$2:P11,FALSE) + COUNTIF(P$2:P11, TRUE))</f>
        <v>0.3</v>
      </c>
      <c r="R11" s="828"/>
      <c r="S11" s="828"/>
      <c r="T11" s="828"/>
      <c r="U11" s="828"/>
      <c r="V11" s="827">
        <f>STDEV(D$2:D11)*SQRT(252)</f>
        <v>0.39984128605241964</v>
      </c>
      <c r="W11" s="827">
        <f>STDEV(L$2:L11)*SQRT(252)</f>
        <v>0.52303521027280186</v>
      </c>
      <c r="X11" s="827"/>
      <c r="Y11" s="826"/>
      <c r="Z11" s="829"/>
      <c r="AA11" s="801"/>
      <c r="AB11" s="799"/>
      <c r="AC11" s="800"/>
      <c r="AD11" s="799"/>
      <c r="AE11" s="800"/>
      <c r="AF11" s="800"/>
      <c r="AG11" s="801"/>
      <c r="AH11" s="801"/>
      <c r="AI11" s="801"/>
      <c r="AJ11" s="801"/>
    </row>
    <row r="12" spans="1:45" ht="20.100000000000001" customHeight="1" x14ac:dyDescent="0.2">
      <c r="A12" s="801">
        <f t="shared" si="8"/>
        <v>14</v>
      </c>
      <c r="B12" s="803">
        <v>42247</v>
      </c>
      <c r="C12" s="816">
        <v>1972.18</v>
      </c>
      <c r="D12" s="817">
        <f t="shared" si="4"/>
        <v>-8.391699809439445E-3</v>
      </c>
      <c r="E12" s="818">
        <f t="shared" si="5"/>
        <v>-6.1956583778847427E-2</v>
      </c>
      <c r="F12" s="819">
        <v>4776.51</v>
      </c>
      <c r="G12" s="817">
        <f t="shared" si="1"/>
        <v>-1.0730440401630277E-2</v>
      </c>
      <c r="H12" s="818">
        <f t="shared" si="6"/>
        <v>-6.1902704401280442E-2</v>
      </c>
      <c r="I12" s="831">
        <v>311200.71000000002</v>
      </c>
      <c r="J12" s="808">
        <v>360000</v>
      </c>
      <c r="K12" s="808">
        <f t="shared" si="2"/>
        <v>3259.6500000000233</v>
      </c>
      <c r="L12" s="817">
        <f t="shared" si="7"/>
        <v>1.0585304863209938E-2</v>
      </c>
      <c r="M12" s="810">
        <f t="shared" si="0"/>
        <v>-48799.289999999979</v>
      </c>
      <c r="N12" s="811">
        <f t="shared" si="3"/>
        <v>-0.13555358333333328</v>
      </c>
      <c r="O12" s="811"/>
      <c r="P12" s="810" t="b">
        <f t="shared" si="9"/>
        <v>1</v>
      </c>
      <c r="Q12" s="811">
        <f>COUNTIF(P$2:P12, TRUE)/(COUNTIF(P$2:P12,FALSE) + COUNTIF(P$2:P12, TRUE))</f>
        <v>0.36363636363636365</v>
      </c>
      <c r="R12" s="812"/>
      <c r="S12" s="812"/>
      <c r="T12" s="812"/>
      <c r="U12" s="812"/>
      <c r="V12" s="811">
        <f>STDEV(D$2:D12)*SQRT(252)</f>
        <v>0.37718652016375942</v>
      </c>
      <c r="W12" s="811">
        <f>STDEV(L$2:L12)*SQRT(252)</f>
        <v>0.49903486890486387</v>
      </c>
      <c r="X12" s="811"/>
      <c r="Y12" s="810"/>
      <c r="Z12" s="813"/>
      <c r="AA12" s="801"/>
      <c r="AB12" s="799"/>
      <c r="AC12" s="800"/>
      <c r="AD12" s="799"/>
      <c r="AE12" s="800"/>
      <c r="AF12" s="800"/>
      <c r="AG12" s="801"/>
      <c r="AH12" s="801"/>
      <c r="AI12" s="801"/>
      <c r="AJ12" s="801"/>
    </row>
    <row r="13" spans="1:45" ht="20.100000000000001" customHeight="1" x14ac:dyDescent="0.2">
      <c r="A13" s="801">
        <f t="shared" si="8"/>
        <v>15</v>
      </c>
      <c r="B13" s="803">
        <v>42248</v>
      </c>
      <c r="C13" s="816">
        <v>1913.85</v>
      </c>
      <c r="D13" s="817">
        <f t="shared" si="4"/>
        <v>-2.9576407832956501E-2</v>
      </c>
      <c r="E13" s="818">
        <f t="shared" si="5"/>
        <v>-8.9700538422023995E-2</v>
      </c>
      <c r="F13" s="819">
        <v>4636.1000000000004</v>
      </c>
      <c r="G13" s="817">
        <f t="shared" si="1"/>
        <v>-2.9395939713305289E-2</v>
      </c>
      <c r="H13" s="818">
        <f t="shared" si="6"/>
        <v>-8.9478955947915134E-2</v>
      </c>
      <c r="I13" s="807">
        <v>307440.78999999998</v>
      </c>
      <c r="J13" s="808">
        <v>365000</v>
      </c>
      <c r="K13" s="808">
        <f t="shared" si="2"/>
        <v>-8759.9200000000419</v>
      </c>
      <c r="L13" s="817">
        <f t="shared" si="7"/>
        <v>-2.8148778966474854E-2</v>
      </c>
      <c r="M13" s="810">
        <f t="shared" si="0"/>
        <v>-57559.210000000021</v>
      </c>
      <c r="N13" s="811">
        <f t="shared" si="3"/>
        <v>-0.15769646575342472</v>
      </c>
      <c r="O13" s="811"/>
      <c r="P13" s="810" t="b">
        <f t="shared" si="9"/>
        <v>1</v>
      </c>
      <c r="Q13" s="811">
        <f>COUNTIF(P$2:P13, TRUE)/(COUNTIF(P$2:P13,FALSE) + COUNTIF(P$2:P13, TRUE))</f>
        <v>0.41666666666666669</v>
      </c>
      <c r="R13" s="812"/>
      <c r="S13" s="812"/>
      <c r="T13" s="812"/>
      <c r="U13" s="812"/>
      <c r="V13" s="811">
        <f>STDEV(D$2:D13)*SQRT(252)</f>
        <v>0.37502713989732378</v>
      </c>
      <c r="W13" s="811">
        <f>STDEV(L$2:L13)*SQRT(252)</f>
        <v>0.48831680410668976</v>
      </c>
      <c r="X13" s="811"/>
      <c r="Y13" s="810"/>
      <c r="Z13" s="813"/>
      <c r="AA13" s="801"/>
      <c r="AB13" s="799"/>
      <c r="AC13" s="800"/>
      <c r="AD13" s="799"/>
      <c r="AE13" s="800"/>
      <c r="AF13" s="800"/>
      <c r="AG13" s="801"/>
      <c r="AH13" s="801"/>
      <c r="AI13" s="801"/>
      <c r="AJ13" s="801"/>
    </row>
    <row r="14" spans="1:45" ht="20.100000000000001" customHeight="1" x14ac:dyDescent="0.2">
      <c r="A14" s="801">
        <f t="shared" si="8"/>
        <v>16</v>
      </c>
      <c r="B14" s="803">
        <v>42249</v>
      </c>
      <c r="C14" s="816">
        <v>1948.86</v>
      </c>
      <c r="D14" s="817">
        <f t="shared" si="4"/>
        <v>1.829296966846931E-2</v>
      </c>
      <c r="E14" s="818">
        <f t="shared" si="5"/>
        <v>-7.3048457982154147E-2</v>
      </c>
      <c r="F14" s="819">
        <v>4749.9799999999996</v>
      </c>
      <c r="G14" s="817">
        <f t="shared" si="1"/>
        <v>2.4563749703414333E-2</v>
      </c>
      <c r="H14" s="818">
        <f t="shared" si="6"/>
        <v>-6.7113144922128221E-2</v>
      </c>
      <c r="I14" s="807">
        <v>326031.94</v>
      </c>
      <c r="J14" s="808">
        <v>380000</v>
      </c>
      <c r="K14" s="808">
        <f t="shared" si="2"/>
        <v>3591.1500000000233</v>
      </c>
      <c r="L14" s="817">
        <f t="shared" si="7"/>
        <v>1.1680785753900852E-2</v>
      </c>
      <c r="M14" s="810">
        <f t="shared" si="0"/>
        <v>-53968.06</v>
      </c>
      <c r="N14" s="811">
        <f t="shared" si="3"/>
        <v>-0.14202121052631578</v>
      </c>
      <c r="O14" s="811"/>
      <c r="P14" s="810" t="b">
        <f t="shared" si="9"/>
        <v>0</v>
      </c>
      <c r="Q14" s="811">
        <f>COUNTIF(P$2:P14, TRUE)/(COUNTIF(P$2:P14,FALSE) + COUNTIF(P$2:P14, TRUE))</f>
        <v>0.38461538461538464</v>
      </c>
      <c r="R14" s="812"/>
      <c r="S14" s="812"/>
      <c r="T14" s="812"/>
      <c r="U14" s="812"/>
      <c r="V14" s="811">
        <f>STDEV(D$2:D14)*SQRT(252)</f>
        <v>0.37770238456909672</v>
      </c>
      <c r="W14" s="811">
        <f>STDEV(L$2:L14)*SQRT(252)</f>
        <v>0.47214016149480637</v>
      </c>
      <c r="X14" s="811"/>
      <c r="Y14" s="810"/>
      <c r="Z14" s="813"/>
      <c r="AB14" s="799"/>
      <c r="AC14" s="800"/>
      <c r="AD14" s="799"/>
      <c r="AE14" s="800"/>
      <c r="AF14" s="800"/>
      <c r="AG14" s="801"/>
      <c r="AH14" s="801"/>
      <c r="AI14" s="801"/>
      <c r="AJ14" s="801"/>
    </row>
    <row r="15" spans="1:45" ht="20.100000000000001" customHeight="1" x14ac:dyDescent="0.2">
      <c r="A15" s="801">
        <f t="shared" si="8"/>
        <v>17</v>
      </c>
      <c r="B15" s="803">
        <v>42250</v>
      </c>
      <c r="C15" s="816">
        <v>1951.13</v>
      </c>
      <c r="D15" s="817">
        <f t="shared" si="4"/>
        <v>1.1647835144649741E-3</v>
      </c>
      <c r="E15" s="818">
        <f t="shared" si="5"/>
        <v>-7.1968760107303867E-2</v>
      </c>
      <c r="F15" s="819">
        <v>4733.5</v>
      </c>
      <c r="G15" s="817">
        <f t="shared" si="1"/>
        <v>-3.469488292582193E-3</v>
      </c>
      <c r="H15" s="818">
        <f t="shared" si="6"/>
        <v>-7.0349784944124721E-2</v>
      </c>
      <c r="I15" s="807">
        <v>328219.34000000003</v>
      </c>
      <c r="J15" s="808">
        <v>380000</v>
      </c>
      <c r="K15" s="808">
        <f t="shared" si="2"/>
        <v>2187.4000000000233</v>
      </c>
      <c r="L15" s="817">
        <f t="shared" si="7"/>
        <v>6.7091586180176802E-3</v>
      </c>
      <c r="M15" s="810">
        <f t="shared" si="0"/>
        <v>-51780.659999999974</v>
      </c>
      <c r="N15" s="811">
        <f t="shared" si="3"/>
        <v>-0.13626489473684203</v>
      </c>
      <c r="O15" s="811"/>
      <c r="P15" s="810" t="b">
        <f t="shared" si="9"/>
        <v>1</v>
      </c>
      <c r="Q15" s="811">
        <f>COUNTIF(P$2:P15, TRUE)/(COUNTIF(P$2:P15,FALSE) + COUNTIF(P$2:P15, TRUE))</f>
        <v>0.42857142857142855</v>
      </c>
      <c r="R15" s="812"/>
      <c r="S15" s="812"/>
      <c r="T15" s="812"/>
      <c r="U15" s="812"/>
      <c r="V15" s="811">
        <f>STDEV(D$2:D15)*SQRT(252)</f>
        <v>0.3630118196770083</v>
      </c>
      <c r="W15" s="811">
        <f>STDEV(L$2:L15)*SQRT(252)</f>
        <v>0.45448950679382538</v>
      </c>
      <c r="X15" s="811"/>
      <c r="Y15" s="810"/>
      <c r="Z15" s="813"/>
      <c r="AA15" s="801"/>
      <c r="AB15" s="799"/>
      <c r="AC15" s="800"/>
      <c r="AD15" s="799"/>
      <c r="AE15" s="800"/>
      <c r="AF15" s="800"/>
      <c r="AG15" s="801"/>
      <c r="AH15" s="801"/>
      <c r="AI15" s="801"/>
      <c r="AJ15" s="801"/>
    </row>
    <row r="16" spans="1:45" ht="20.100000000000001" customHeight="1" x14ac:dyDescent="0.2">
      <c r="A16" s="801">
        <f t="shared" si="8"/>
        <v>18</v>
      </c>
      <c r="B16" s="803">
        <v>42251</v>
      </c>
      <c r="C16" s="816">
        <v>1921.22</v>
      </c>
      <c r="D16" s="817">
        <f t="shared" si="4"/>
        <v>-1.5329578244402004E-2</v>
      </c>
      <c r="E16" s="818">
        <f t="shared" si="5"/>
        <v>-8.6195087612488355E-2</v>
      </c>
      <c r="F16" s="819">
        <v>4683.92</v>
      </c>
      <c r="G16" s="817">
        <f t="shared" si="1"/>
        <v>-1.0474279074680454E-2</v>
      </c>
      <c r="H16" s="818">
        <f t="shared" si="6"/>
        <v>-8.0087200738456654E-2</v>
      </c>
      <c r="I16" s="807">
        <v>324929.40000000002</v>
      </c>
      <c r="J16" s="808">
        <v>380000</v>
      </c>
      <c r="K16" s="808">
        <f t="shared" si="2"/>
        <v>-3289.9400000000023</v>
      </c>
      <c r="L16" s="817">
        <f t="shared" si="7"/>
        <v>-1.0023601899875863E-2</v>
      </c>
      <c r="M16" s="810">
        <f t="shared" si="0"/>
        <v>-55070.599999999977</v>
      </c>
      <c r="N16" s="811">
        <f t="shared" si="3"/>
        <v>-0.1449226315789473</v>
      </c>
      <c r="O16" s="811"/>
      <c r="P16" s="810" t="b">
        <f t="shared" si="9"/>
        <v>1</v>
      </c>
      <c r="Q16" s="811">
        <f>COUNTIF(P$2:P16, TRUE)/(COUNTIF(P$2:P16,FALSE) + COUNTIF(P$2:P16, TRUE))</f>
        <v>0.46666666666666667</v>
      </c>
      <c r="R16" s="812"/>
      <c r="S16" s="812"/>
      <c r="T16" s="812"/>
      <c r="U16" s="812"/>
      <c r="V16" s="811">
        <f>STDEV(D$2:D16)*SQRT(252)</f>
        <v>0.35126122417304334</v>
      </c>
      <c r="W16" s="811">
        <f>STDEV(L$2:L16)*SQRT(252)</f>
        <v>0.43762621603032426</v>
      </c>
      <c r="X16" s="811"/>
      <c r="Y16" s="810"/>
      <c r="Z16" s="813"/>
      <c r="AA16" s="801"/>
      <c r="AB16" s="799"/>
      <c r="AC16" s="800"/>
      <c r="AD16" s="799"/>
      <c r="AE16" s="800"/>
      <c r="AF16" s="800"/>
      <c r="AG16" s="801"/>
      <c r="AH16" s="801"/>
      <c r="AI16" s="801"/>
      <c r="AJ16" s="801"/>
    </row>
    <row r="17" spans="1:36" ht="20.100000000000001" customHeight="1" x14ac:dyDescent="0.2">
      <c r="A17" s="801">
        <f t="shared" si="8"/>
        <v>22</v>
      </c>
      <c r="B17" s="820">
        <v>42255</v>
      </c>
      <c r="C17" s="821">
        <v>1969.41</v>
      </c>
      <c r="D17" s="817">
        <f t="shared" si="4"/>
        <v>2.5083020164270647E-2</v>
      </c>
      <c r="E17" s="822">
        <f t="shared" si="5"/>
        <v>-6.3274100568862832E-2</v>
      </c>
      <c r="F17" s="823">
        <v>4811.93</v>
      </c>
      <c r="G17" s="817">
        <f t="shared" si="1"/>
        <v>2.7329672581939961E-2</v>
      </c>
      <c r="H17" s="822">
        <f t="shared" si="6"/>
        <v>-5.4946285130702821E-2</v>
      </c>
      <c r="I17" s="824">
        <v>331613.90000000002</v>
      </c>
      <c r="J17" s="825">
        <v>380000</v>
      </c>
      <c r="K17" s="825">
        <f t="shared" si="2"/>
        <v>6684.5</v>
      </c>
      <c r="L17" s="817">
        <f t="shared" si="7"/>
        <v>2.0572161214097585E-2</v>
      </c>
      <c r="M17" s="826">
        <f t="shared" si="0"/>
        <v>-48386.099999999977</v>
      </c>
      <c r="N17" s="827">
        <f t="shared" si="3"/>
        <v>-0.1273318421052631</v>
      </c>
      <c r="O17" s="811"/>
      <c r="P17" s="826" t="b">
        <f t="shared" si="9"/>
        <v>0</v>
      </c>
      <c r="Q17" s="827">
        <f>COUNTIF(P$2:P17, TRUE)/(COUNTIF(P$2:P17,FALSE) + COUNTIF(P$2:P17, TRUE))</f>
        <v>0.4375</v>
      </c>
      <c r="R17" s="828"/>
      <c r="S17" s="828"/>
      <c r="T17" s="828"/>
      <c r="U17" s="828"/>
      <c r="V17" s="827">
        <f>STDEV(D$2:D17)*SQRT(252)</f>
        <v>0.36194228365900932</v>
      </c>
      <c r="W17" s="827">
        <f>STDEV(L$2:L17)*SQRT(252)</f>
        <v>0.43324605788841486</v>
      </c>
      <c r="X17" s="827"/>
      <c r="Y17" s="826"/>
      <c r="Z17" s="829"/>
      <c r="AA17" s="801"/>
      <c r="AB17" s="799"/>
      <c r="AC17" s="800"/>
      <c r="AD17" s="799"/>
      <c r="AE17" s="800"/>
      <c r="AF17" s="800"/>
      <c r="AG17" s="801"/>
      <c r="AH17" s="801"/>
      <c r="AI17" s="801"/>
      <c r="AJ17" s="801"/>
    </row>
    <row r="18" spans="1:36" ht="20.100000000000001" customHeight="1" x14ac:dyDescent="0.2">
      <c r="A18" s="801">
        <f t="shared" si="8"/>
        <v>23</v>
      </c>
      <c r="B18" s="820">
        <v>42256</v>
      </c>
      <c r="C18" s="821">
        <v>1942.04</v>
      </c>
      <c r="D18" s="817">
        <f t="shared" si="4"/>
        <v>-1.3897563229596741E-2</v>
      </c>
      <c r="E18" s="822">
        <f t="shared" si="5"/>
        <v>-7.629230798500794E-2</v>
      </c>
      <c r="F18" s="823">
        <v>4756.53</v>
      </c>
      <c r="G18" s="817">
        <f t="shared" si="1"/>
        <v>-1.1513051935502084E-2</v>
      </c>
      <c r="H18" s="822">
        <f t="shared" si="6"/>
        <v>-6.5826737631832208E-2</v>
      </c>
      <c r="I18" s="824">
        <v>321792.48</v>
      </c>
      <c r="J18" s="825">
        <v>380000</v>
      </c>
      <c r="K18" s="825">
        <f t="shared" si="2"/>
        <v>-9821.4200000000419</v>
      </c>
      <c r="L18" s="817">
        <f t="shared" si="7"/>
        <v>-2.9617033544130814E-2</v>
      </c>
      <c r="M18" s="826">
        <f t="shared" si="0"/>
        <v>-58207.520000000019</v>
      </c>
      <c r="N18" s="827">
        <f t="shared" si="3"/>
        <v>-0.15317768421052635</v>
      </c>
      <c r="O18" s="811"/>
      <c r="P18" s="826" t="b">
        <f t="shared" si="9"/>
        <v>0</v>
      </c>
      <c r="Q18" s="827">
        <f>COUNTIF(P$2:P18, TRUE)/(COUNTIF(P$2:P18,FALSE) + COUNTIF(P$2:P18, TRUE))</f>
        <v>0.41176470588235292</v>
      </c>
      <c r="R18" s="828"/>
      <c r="S18" s="828"/>
      <c r="T18" s="828"/>
      <c r="U18" s="828"/>
      <c r="V18" s="827">
        <f>STDEV(D$2:D18)*SQRT(252)</f>
        <v>0.35182224095506454</v>
      </c>
      <c r="W18" s="827">
        <f>STDEV(L$2:L18)*SQRT(252)</f>
        <v>0.43262248943141224</v>
      </c>
      <c r="X18" s="827"/>
      <c r="Y18" s="826"/>
      <c r="Z18" s="829"/>
      <c r="AA18" s="801"/>
      <c r="AB18" s="799"/>
      <c r="AC18" s="800"/>
      <c r="AD18" s="799"/>
      <c r="AE18" s="800"/>
      <c r="AF18" s="800"/>
      <c r="AG18" s="801"/>
      <c r="AH18" s="801"/>
      <c r="AI18" s="801"/>
      <c r="AJ18" s="801"/>
    </row>
    <row r="19" spans="1:36" ht="20.100000000000001" customHeight="1" x14ac:dyDescent="0.2">
      <c r="A19" s="801">
        <f t="shared" si="8"/>
        <v>24</v>
      </c>
      <c r="B19" s="820">
        <v>42257</v>
      </c>
      <c r="C19" s="821">
        <v>1952.29</v>
      </c>
      <c r="D19" s="817">
        <f t="shared" si="4"/>
        <v>5.2779551399559227E-3</v>
      </c>
      <c r="E19" s="822">
        <f t="shared" si="5"/>
        <v>-7.1417020224120581E-2</v>
      </c>
      <c r="F19" s="823">
        <v>4796.25</v>
      </c>
      <c r="G19" s="817">
        <f t="shared" si="1"/>
        <v>8.3506253508335397E-3</v>
      </c>
      <c r="H19" s="822">
        <f t="shared" si="6"/>
        <v>-5.8025806705029721E-2</v>
      </c>
      <c r="I19" s="824">
        <v>323389.99</v>
      </c>
      <c r="J19" s="825">
        <v>380000</v>
      </c>
      <c r="K19" s="825">
        <f t="shared" si="2"/>
        <v>1597.5100000000093</v>
      </c>
      <c r="L19" s="817">
        <f t="shared" si="7"/>
        <v>4.9644106040017139E-3</v>
      </c>
      <c r="M19" s="826">
        <f t="shared" si="0"/>
        <v>-56610.010000000009</v>
      </c>
      <c r="N19" s="827">
        <f t="shared" si="3"/>
        <v>-0.14897371052631581</v>
      </c>
      <c r="O19" s="811"/>
      <c r="P19" s="826" t="b">
        <f t="shared" si="9"/>
        <v>0</v>
      </c>
      <c r="Q19" s="827">
        <f>COUNTIF(P$2:P19, TRUE)/(COUNTIF(P$2:P19,FALSE) + COUNTIF(P$2:P19, TRUE))</f>
        <v>0.3888888888888889</v>
      </c>
      <c r="R19" s="828"/>
      <c r="S19" s="828"/>
      <c r="T19" s="828"/>
      <c r="U19" s="828"/>
      <c r="V19" s="827">
        <f>STDEV(D$2:D19)*SQRT(252)</f>
        <v>0.34281735693264087</v>
      </c>
      <c r="W19" s="827">
        <f>STDEV(L$2:L19)*SQRT(252)</f>
        <v>0.42023205119752755</v>
      </c>
      <c r="X19" s="827"/>
      <c r="Y19" s="826"/>
      <c r="Z19" s="829"/>
      <c r="AA19" s="801"/>
      <c r="AB19" s="799"/>
      <c r="AC19" s="800"/>
      <c r="AD19" s="799"/>
      <c r="AE19" s="800"/>
      <c r="AF19" s="800"/>
      <c r="AG19" s="801"/>
      <c r="AH19" s="801"/>
      <c r="AI19" s="801"/>
      <c r="AJ19" s="801"/>
    </row>
    <row r="20" spans="1:36" ht="20.100000000000001" customHeight="1" x14ac:dyDescent="0.2">
      <c r="A20" s="801">
        <f t="shared" si="8"/>
        <v>25</v>
      </c>
      <c r="B20" s="820">
        <v>42258</v>
      </c>
      <c r="C20" s="821">
        <v>1961.05</v>
      </c>
      <c r="D20" s="817">
        <f t="shared" si="4"/>
        <v>4.4870382986134183E-3</v>
      </c>
      <c r="E20" s="822">
        <f t="shared" si="5"/>
        <v>-6.7250432830425644E-2</v>
      </c>
      <c r="F20" s="823">
        <v>4822.34</v>
      </c>
      <c r="G20" s="817">
        <f t="shared" si="1"/>
        <v>5.4396664060464206E-3</v>
      </c>
      <c r="H20" s="822">
        <f t="shared" si="6"/>
        <v>-5.2901781330400396E-2</v>
      </c>
      <c r="I20" s="824">
        <v>323039.64</v>
      </c>
      <c r="J20" s="825">
        <v>380000</v>
      </c>
      <c r="K20" s="825">
        <f t="shared" si="2"/>
        <v>-350.34999999997672</v>
      </c>
      <c r="L20" s="817">
        <f t="shared" si="7"/>
        <v>-1.0833668661172126E-3</v>
      </c>
      <c r="M20" s="826">
        <f t="shared" si="0"/>
        <v>-56960.359999999986</v>
      </c>
      <c r="N20" s="827">
        <f t="shared" si="3"/>
        <v>-0.14989568421052629</v>
      </c>
      <c r="O20" s="811"/>
      <c r="P20" s="826" t="b">
        <f t="shared" si="9"/>
        <v>0</v>
      </c>
      <c r="Q20" s="827">
        <f>COUNTIF(P$2:P20, TRUE)/(COUNTIF(P$2:P20,FALSE) + COUNTIF(P$2:P20, TRUE))</f>
        <v>0.36842105263157893</v>
      </c>
      <c r="R20" s="828"/>
      <c r="S20" s="828"/>
      <c r="T20" s="828"/>
      <c r="U20" s="828"/>
      <c r="V20" s="827">
        <f>STDEV(D$2:D20)*SQRT(252)</f>
        <v>0.33414073790213511</v>
      </c>
      <c r="W20" s="827">
        <f>STDEV(L$2:L20)*SQRT(252)</f>
        <v>0.40776589668846686</v>
      </c>
      <c r="X20" s="827"/>
      <c r="Y20" s="826"/>
      <c r="Z20" s="829"/>
      <c r="AA20" s="801"/>
      <c r="AB20" s="799"/>
      <c r="AC20" s="800"/>
      <c r="AD20" s="799"/>
      <c r="AE20" s="800"/>
      <c r="AF20" s="800"/>
      <c r="AG20" s="801"/>
      <c r="AH20" s="801"/>
      <c r="AI20" s="801"/>
      <c r="AJ20" s="801"/>
    </row>
    <row r="21" spans="1:36" ht="20.100000000000001" customHeight="1" x14ac:dyDescent="0.2">
      <c r="A21" s="801">
        <f t="shared" si="8"/>
        <v>28</v>
      </c>
      <c r="B21" s="803">
        <v>42261</v>
      </c>
      <c r="C21" s="816">
        <v>1953.03</v>
      </c>
      <c r="D21" s="817">
        <f t="shared" si="4"/>
        <v>-4.0896458529869114E-3</v>
      </c>
      <c r="E21" s="818">
        <f t="shared" si="5"/>
        <v>-7.1065048229676034E-2</v>
      </c>
      <c r="F21" s="819">
        <v>4805.76</v>
      </c>
      <c r="G21" s="817">
        <f t="shared" si="1"/>
        <v>-3.4381648743141147E-3</v>
      </c>
      <c r="H21" s="818">
        <f t="shared" si="6"/>
        <v>-5.6158061158355678E-2</v>
      </c>
      <c r="I21" s="807">
        <v>326015.75</v>
      </c>
      <c r="J21" s="808">
        <v>380000</v>
      </c>
      <c r="K21" s="808">
        <f t="shared" si="2"/>
        <v>2976.109999999986</v>
      </c>
      <c r="L21" s="817">
        <f t="shared" si="7"/>
        <v>9.2128322084558591E-3</v>
      </c>
      <c r="M21" s="810">
        <f t="shared" si="0"/>
        <v>-53984.25</v>
      </c>
      <c r="N21" s="811">
        <f t="shared" si="3"/>
        <v>-0.14206381578947369</v>
      </c>
      <c r="O21" s="811"/>
      <c r="P21" s="810" t="b">
        <f t="shared" si="9"/>
        <v>1</v>
      </c>
      <c r="Q21" s="811">
        <f>COUNTIF(P$2:P21, TRUE)/(COUNTIF(P$2:P21,FALSE) + COUNTIF(P$2:P21, TRUE))</f>
        <v>0.4</v>
      </c>
      <c r="R21" s="812"/>
      <c r="S21" s="812"/>
      <c r="T21" s="812"/>
      <c r="U21" s="812"/>
      <c r="V21" s="811">
        <f>STDEV(D$2:D21)*SQRT(252)</f>
        <v>0.3247303591191491</v>
      </c>
      <c r="W21" s="811">
        <f>STDEV(L$2:L21)*SQRT(252)</f>
        <v>0.39882009643497413</v>
      </c>
      <c r="X21" s="811"/>
      <c r="Y21" s="810"/>
      <c r="Z21" s="813"/>
      <c r="AA21" s="801"/>
      <c r="AB21" s="799"/>
      <c r="AC21" s="800"/>
      <c r="AD21" s="799"/>
      <c r="AE21" s="800"/>
      <c r="AF21" s="800"/>
      <c r="AG21" s="801"/>
      <c r="AH21" s="801"/>
      <c r="AI21" s="801"/>
      <c r="AJ21" s="801"/>
    </row>
    <row r="22" spans="1:36" ht="20.100000000000001" customHeight="1" x14ac:dyDescent="0.2">
      <c r="A22" s="801">
        <f t="shared" si="8"/>
        <v>29</v>
      </c>
      <c r="B22" s="803">
        <v>42262</v>
      </c>
      <c r="C22" s="816">
        <v>1978.09</v>
      </c>
      <c r="D22" s="817">
        <f t="shared" si="4"/>
        <v>1.2831344116577803E-2</v>
      </c>
      <c r="E22" s="818">
        <f t="shared" si="5"/>
        <v>-5.9145564201594399E-2</v>
      </c>
      <c r="F22" s="819">
        <v>4860.5200000000004</v>
      </c>
      <c r="G22" s="817">
        <f t="shared" si="1"/>
        <v>1.1394659741643406E-2</v>
      </c>
      <c r="H22" s="818">
        <f t="shared" si="6"/>
        <v>-4.540330341536214E-2</v>
      </c>
      <c r="I22" s="807">
        <v>328528.74</v>
      </c>
      <c r="J22" s="808">
        <v>380000</v>
      </c>
      <c r="K22" s="808">
        <f t="shared" si="2"/>
        <v>2512.9899999999907</v>
      </c>
      <c r="L22" s="817">
        <f t="shared" si="7"/>
        <v>7.7081858775227595E-3</v>
      </c>
      <c r="M22" s="810">
        <f t="shared" si="0"/>
        <v>-51471.260000000009</v>
      </c>
      <c r="N22" s="811">
        <f t="shared" si="3"/>
        <v>-0.13545068421052633</v>
      </c>
      <c r="O22" s="811"/>
      <c r="P22" s="810" t="b">
        <f t="shared" si="9"/>
        <v>0</v>
      </c>
      <c r="Q22" s="811">
        <f>COUNTIF(P$2:P22, TRUE)/(COUNTIF(P$2:P22,FALSE) + COUNTIF(P$2:P22, TRUE))</f>
        <v>0.38095238095238093</v>
      </c>
      <c r="R22" s="812"/>
      <c r="S22" s="812"/>
      <c r="T22" s="812"/>
      <c r="U22" s="812"/>
      <c r="V22" s="811">
        <f>STDEV(D$2:D22)*SQRT(252)</f>
        <v>0.32145355759875488</v>
      </c>
      <c r="W22" s="811">
        <f>STDEV(L$2:L22)*SQRT(252)</f>
        <v>0.38986525703766828</v>
      </c>
      <c r="X22" s="811"/>
      <c r="Y22" s="810"/>
      <c r="Z22" s="813"/>
      <c r="AA22" s="801"/>
      <c r="AB22" s="799"/>
      <c r="AC22" s="800"/>
      <c r="AD22" s="799"/>
      <c r="AE22" s="800"/>
      <c r="AF22" s="800"/>
      <c r="AG22" s="801"/>
      <c r="AH22" s="801"/>
      <c r="AI22" s="801"/>
      <c r="AJ22" s="801"/>
    </row>
    <row r="23" spans="1:36" ht="20.100000000000001" customHeight="1" x14ac:dyDescent="0.2">
      <c r="A23" s="801">
        <f t="shared" si="8"/>
        <v>30</v>
      </c>
      <c r="B23" s="803">
        <v>42263</v>
      </c>
      <c r="C23" s="816">
        <v>1995.31</v>
      </c>
      <c r="D23" s="817">
        <f t="shared" si="4"/>
        <v>8.7053672987579076E-3</v>
      </c>
      <c r="E23" s="818">
        <f t="shared" si="5"/>
        <v>-5.0955080763303642E-2</v>
      </c>
      <c r="F23" s="819">
        <v>4889.24</v>
      </c>
      <c r="G23" s="817">
        <f t="shared" si="1"/>
        <v>5.908832799782604E-3</v>
      </c>
      <c r="H23" s="818">
        <f t="shared" si="6"/>
        <v>-3.9762751144018706E-2</v>
      </c>
      <c r="I23" s="807">
        <v>333204.93</v>
      </c>
      <c r="J23" s="808">
        <v>380000</v>
      </c>
      <c r="K23" s="808">
        <f t="shared" si="2"/>
        <v>4676.1900000000023</v>
      </c>
      <c r="L23" s="817">
        <f t="shared" si="7"/>
        <v>1.4233731879895812E-2</v>
      </c>
      <c r="M23" s="810">
        <f t="shared" si="0"/>
        <v>-46795.070000000007</v>
      </c>
      <c r="N23" s="811">
        <f t="shared" si="3"/>
        <v>-0.1231449210526316</v>
      </c>
      <c r="O23" s="811"/>
      <c r="P23" s="810" t="b">
        <f t="shared" si="9"/>
        <v>1</v>
      </c>
      <c r="Q23" s="811">
        <f>COUNTIF(P$2:P23, TRUE)/(COUNTIF(P$2:P23,FALSE) + COUNTIF(P$2:P23, TRUE))</f>
        <v>0.40909090909090912</v>
      </c>
      <c r="R23" s="812"/>
      <c r="S23" s="812"/>
      <c r="T23" s="812"/>
      <c r="U23" s="812"/>
      <c r="V23" s="811">
        <f>STDEV(D$2:D23)*SQRT(252)</f>
        <v>0.31586031332458192</v>
      </c>
      <c r="W23" s="811">
        <f>STDEV(L$2:L23)*SQRT(252)</f>
        <v>0.38411926521956707</v>
      </c>
      <c r="X23" s="811"/>
      <c r="Y23" s="810"/>
      <c r="Z23" s="813"/>
      <c r="AA23" s="801"/>
      <c r="AB23" s="799"/>
      <c r="AC23" s="800"/>
      <c r="AD23" s="799"/>
      <c r="AE23" s="800"/>
      <c r="AF23" s="800"/>
      <c r="AG23" s="801"/>
      <c r="AH23" s="801"/>
      <c r="AI23" s="801"/>
      <c r="AJ23" s="801"/>
    </row>
    <row r="24" spans="1:36" ht="20.100000000000001" customHeight="1" x14ac:dyDescent="0.2">
      <c r="A24" s="801">
        <f t="shared" si="8"/>
        <v>31</v>
      </c>
      <c r="B24" s="803">
        <v>42264</v>
      </c>
      <c r="C24" s="816">
        <v>1990.2</v>
      </c>
      <c r="D24" s="817">
        <f t="shared" si="4"/>
        <v>-2.5610055580335385E-3</v>
      </c>
      <c r="E24" s="818">
        <f t="shared" si="5"/>
        <v>-5.3385590076292309E-2</v>
      </c>
      <c r="F24" s="819">
        <v>4893.95</v>
      </c>
      <c r="G24" s="817">
        <f t="shared" si="1"/>
        <v>9.6333990558860607E-4</v>
      </c>
      <c r="H24" s="818">
        <f t="shared" si="6"/>
        <v>-3.8837716283363119E-2</v>
      </c>
      <c r="I24" s="807">
        <v>333913.03999999998</v>
      </c>
      <c r="J24" s="808">
        <v>380000</v>
      </c>
      <c r="K24" s="808">
        <f t="shared" si="2"/>
        <v>708.10999999998603</v>
      </c>
      <c r="L24" s="817">
        <f t="shared" si="7"/>
        <v>2.1251486285031439E-3</v>
      </c>
      <c r="M24" s="810">
        <f t="shared" si="0"/>
        <v>-46086.960000000021</v>
      </c>
      <c r="N24" s="811">
        <f t="shared" si="3"/>
        <v>-0.12128147368421058</v>
      </c>
      <c r="O24" s="811"/>
      <c r="P24" s="810" t="b">
        <f t="shared" si="9"/>
        <v>1</v>
      </c>
      <c r="Q24" s="811">
        <f>COUNTIF(P$2:P24, TRUE)/(COUNTIF(P$2:P24,FALSE) + COUNTIF(P$2:P24, TRUE))</f>
        <v>0.43478260869565216</v>
      </c>
      <c r="R24" s="812"/>
      <c r="S24" s="812"/>
      <c r="T24" s="812"/>
      <c r="U24" s="812"/>
      <c r="V24" s="811">
        <f>STDEV(D$2:D24)*SQRT(252)</f>
        <v>0.30824938276419228</v>
      </c>
      <c r="W24" s="811">
        <f>STDEV(L$2:L24)*SQRT(252)</f>
        <v>0.37503116894241934</v>
      </c>
      <c r="X24" s="811"/>
      <c r="Y24" s="810"/>
      <c r="Z24" s="813"/>
      <c r="AA24" s="801"/>
      <c r="AB24" s="799"/>
      <c r="AC24" s="800"/>
      <c r="AD24" s="799"/>
      <c r="AE24" s="800"/>
      <c r="AF24" s="800"/>
      <c r="AG24" s="801"/>
      <c r="AH24" s="801"/>
      <c r="AI24" s="801"/>
      <c r="AJ24" s="801"/>
    </row>
    <row r="25" spans="1:36" ht="20.100000000000001" customHeight="1" x14ac:dyDescent="0.2">
      <c r="A25" s="801">
        <f t="shared" si="8"/>
        <v>32</v>
      </c>
      <c r="B25" s="803">
        <v>42265</v>
      </c>
      <c r="C25" s="816">
        <v>1958.08</v>
      </c>
      <c r="D25" s="817">
        <f t="shared" si="4"/>
        <v>-1.6139081499346859E-2</v>
      </c>
      <c r="E25" s="818">
        <f t="shared" si="5"/>
        <v>-6.866307718650716E-2</v>
      </c>
      <c r="F25" s="819">
        <v>4827.2299999999996</v>
      </c>
      <c r="G25" s="817">
        <f t="shared" si="1"/>
        <v>-1.3633159308942726E-2</v>
      </c>
      <c r="H25" s="818">
        <f t="shared" si="6"/>
        <v>-5.1941394819019243E-2</v>
      </c>
      <c r="I25" s="807">
        <v>334619.5</v>
      </c>
      <c r="J25" s="808">
        <v>390000</v>
      </c>
      <c r="K25" s="808">
        <f t="shared" si="2"/>
        <v>-9293.539999999979</v>
      </c>
      <c r="L25" s="817">
        <f t="shared" si="7"/>
        <v>-2.7832216435752195E-2</v>
      </c>
      <c r="M25" s="810">
        <f t="shared" si="0"/>
        <v>-55380.5</v>
      </c>
      <c r="N25" s="811">
        <f t="shared" si="3"/>
        <v>-0.14200128205128204</v>
      </c>
      <c r="O25" s="811"/>
      <c r="P25" s="810" t="b">
        <f t="shared" si="9"/>
        <v>0</v>
      </c>
      <c r="Q25" s="811">
        <f>COUNTIF(P$2:P25, TRUE)/(COUNTIF(P$2:P25,FALSE) + COUNTIF(P$2:P25, TRUE))</f>
        <v>0.41666666666666669</v>
      </c>
      <c r="R25" s="812"/>
      <c r="S25" s="812"/>
      <c r="T25" s="812"/>
      <c r="U25" s="812"/>
      <c r="V25" s="811">
        <f>STDEV(D$2:D25)*SQRT(252)</f>
        <v>0.30462094080099172</v>
      </c>
      <c r="W25" s="811">
        <f>STDEV(L$2:L25)*SQRT(252)</f>
        <v>0.37697940519041084</v>
      </c>
      <c r="X25" s="811"/>
      <c r="Y25" s="810"/>
      <c r="Z25" s="813"/>
      <c r="AA25" s="801"/>
      <c r="AB25" s="799"/>
      <c r="AC25" s="800"/>
      <c r="AD25" s="799"/>
      <c r="AE25" s="800"/>
      <c r="AF25" s="800"/>
      <c r="AG25" s="801"/>
      <c r="AH25" s="801"/>
      <c r="AI25" s="801"/>
      <c r="AJ25" s="801"/>
    </row>
    <row r="26" spans="1:36" ht="20.100000000000001" customHeight="1" x14ac:dyDescent="0.2">
      <c r="A26" s="801">
        <f t="shared" si="8"/>
        <v>35</v>
      </c>
      <c r="B26" s="820">
        <v>42268</v>
      </c>
      <c r="C26" s="821">
        <v>1966.97</v>
      </c>
      <c r="D26" s="817">
        <f t="shared" si="4"/>
        <v>4.5401617911423947E-3</v>
      </c>
      <c r="E26" s="822">
        <f t="shared" si="5"/>
        <v>-6.4434656874869212E-2</v>
      </c>
      <c r="F26" s="823">
        <v>4828.95</v>
      </c>
      <c r="G26" s="817">
        <f t="shared" si="1"/>
        <v>3.5631200502156618E-4</v>
      </c>
      <c r="H26" s="822">
        <f t="shared" si="6"/>
        <v>-5.1603590156529253E-2</v>
      </c>
      <c r="I26" s="824">
        <v>336797.05</v>
      </c>
      <c r="J26" s="825">
        <v>390000</v>
      </c>
      <c r="K26" s="825">
        <f t="shared" si="2"/>
        <v>2177.5499999999884</v>
      </c>
      <c r="L26" s="817">
        <f t="shared" si="7"/>
        <v>6.5075406543850202E-3</v>
      </c>
      <c r="M26" s="826">
        <f t="shared" si="0"/>
        <v>-53202.950000000012</v>
      </c>
      <c r="N26" s="827">
        <f t="shared" si="3"/>
        <v>-0.13641782051282053</v>
      </c>
      <c r="O26" s="811">
        <f t="shared" ref="O26:O70" si="10">N26/(A26/365.25)</f>
        <v>-1.4236173983516487</v>
      </c>
      <c r="P26" s="826" t="b">
        <f t="shared" si="9"/>
        <v>1</v>
      </c>
      <c r="Q26" s="827">
        <f>COUNTIF(P$2:P26, TRUE)/(COUNTIF(P$2:P26,FALSE) + COUNTIF(P$2:P26, TRUE))</f>
        <v>0.44</v>
      </c>
      <c r="R26" s="828"/>
      <c r="S26" s="828"/>
      <c r="T26" s="828"/>
      <c r="U26" s="828"/>
      <c r="V26" s="827">
        <f>STDEV(D$2:D26)*SQRT(252)</f>
        <v>0.29890210628506431</v>
      </c>
      <c r="W26" s="827">
        <f>STDEV(L$2:L26)*SQRT(252)</f>
        <v>0.36977509623053162</v>
      </c>
      <c r="X26" s="826">
        <f>E26/(A26/365.25)/V26</f>
        <v>-2.2496384438418087</v>
      </c>
      <c r="Y26" s="826">
        <f>O26/W26</f>
        <v>-3.8499547775497365</v>
      </c>
      <c r="Z26" s="832">
        <f>-(E26-N26)</f>
        <v>-7.198316363795132E-2</v>
      </c>
      <c r="AA26" s="801"/>
      <c r="AB26" s="799"/>
      <c r="AC26" s="800"/>
      <c r="AD26" s="799"/>
      <c r="AE26" s="800"/>
      <c r="AF26" s="800"/>
      <c r="AG26" s="801"/>
      <c r="AH26" s="801"/>
      <c r="AI26" s="801"/>
      <c r="AJ26" s="801"/>
    </row>
    <row r="27" spans="1:36" ht="20.100000000000001" customHeight="1" x14ac:dyDescent="0.2">
      <c r="A27" s="801">
        <f t="shared" si="8"/>
        <v>36</v>
      </c>
      <c r="B27" s="820">
        <v>42269</v>
      </c>
      <c r="C27" s="821">
        <v>1942.74</v>
      </c>
      <c r="D27" s="817">
        <f t="shared" si="4"/>
        <v>-1.2318439020422282E-2</v>
      </c>
      <c r="E27" s="822">
        <f t="shared" si="5"/>
        <v>-7.5959361503776579E-2</v>
      </c>
      <c r="F27" s="823">
        <v>4756.72</v>
      </c>
      <c r="G27" s="817">
        <f t="shared" si="1"/>
        <v>-1.4957703020325239E-2</v>
      </c>
      <c r="H27" s="822">
        <f t="shared" si="6"/>
        <v>-6.578942200051055E-2</v>
      </c>
      <c r="I27" s="824">
        <v>328628.18</v>
      </c>
      <c r="J27" s="825">
        <v>390000</v>
      </c>
      <c r="K27" s="825">
        <f t="shared" si="2"/>
        <v>-8168.8699999999953</v>
      </c>
      <c r="L27" s="817">
        <f t="shared" si="7"/>
        <v>-2.4254577051669533E-2</v>
      </c>
      <c r="M27" s="826">
        <f t="shared" si="0"/>
        <v>-61371.820000000007</v>
      </c>
      <c r="N27" s="827">
        <f t="shared" si="3"/>
        <v>-0.15736364102564104</v>
      </c>
      <c r="O27" s="811">
        <f t="shared" si="10"/>
        <v>-1.5965852745726496</v>
      </c>
      <c r="P27" s="826" t="b">
        <f t="shared" si="9"/>
        <v>0</v>
      </c>
      <c r="Q27" s="827">
        <f>COUNTIF(P$2:P27, TRUE)/(COUNTIF(P$2:P27,FALSE) + COUNTIF(P$2:P27, TRUE))</f>
        <v>0.42307692307692307</v>
      </c>
      <c r="R27" s="828"/>
      <c r="S27" s="828"/>
      <c r="T27" s="828"/>
      <c r="U27" s="828"/>
      <c r="V27" s="827">
        <f>STDEV(D$2:D27)*SQRT(252)</f>
        <v>0.29423063039577757</v>
      </c>
      <c r="W27" s="827">
        <f>STDEV(L$2:L27)*SQRT(252)</f>
        <v>0.36891081336097858</v>
      </c>
      <c r="X27" s="826">
        <f t="shared" ref="X27:X90" si="11">E27/(A27/365.25)/V27</f>
        <v>-2.6192752973648008</v>
      </c>
      <c r="Y27" s="826">
        <f t="shared" ref="Y27:Y90" si="12">O27/W27</f>
        <v>-4.3278353920474375</v>
      </c>
      <c r="Z27" s="832">
        <f t="shared" ref="Z27:Z90" si="13">-(E27-N27)</f>
        <v>-8.1404279521864464E-2</v>
      </c>
      <c r="AA27" s="801"/>
      <c r="AB27" s="799"/>
      <c r="AC27" s="800"/>
      <c r="AD27" s="799"/>
      <c r="AE27" s="800"/>
      <c r="AF27" s="800"/>
      <c r="AG27" s="801"/>
      <c r="AH27" s="801"/>
      <c r="AI27" s="801"/>
      <c r="AJ27" s="801"/>
    </row>
    <row r="28" spans="1:36" ht="20.100000000000001" customHeight="1" x14ac:dyDescent="0.2">
      <c r="A28" s="801">
        <f t="shared" si="8"/>
        <v>37</v>
      </c>
      <c r="B28" s="820">
        <v>42270</v>
      </c>
      <c r="C28" s="821">
        <v>1938.76</v>
      </c>
      <c r="D28" s="817">
        <f t="shared" si="4"/>
        <v>-2.0486529334857047E-3</v>
      </c>
      <c r="E28" s="822">
        <f t="shared" si="5"/>
        <v>-7.7852400068491881E-2</v>
      </c>
      <c r="F28" s="823">
        <v>4752.74</v>
      </c>
      <c r="G28" s="817">
        <f t="shared" si="1"/>
        <v>-8.3671101094882037E-4</v>
      </c>
      <c r="H28" s="822">
        <f t="shared" si="6"/>
        <v>-6.6571086277667585E-2</v>
      </c>
      <c r="I28" s="824">
        <v>321819.21000000002</v>
      </c>
      <c r="J28" s="825">
        <v>390000</v>
      </c>
      <c r="K28" s="825">
        <f t="shared" si="2"/>
        <v>-6808.9699999999721</v>
      </c>
      <c r="L28" s="817">
        <f t="shared" si="7"/>
        <v>-2.0719373487690471E-2</v>
      </c>
      <c r="M28" s="826">
        <f t="shared" si="0"/>
        <v>-68180.789999999979</v>
      </c>
      <c r="N28" s="827">
        <f t="shared" si="3"/>
        <v>-0.17482253846153842</v>
      </c>
      <c r="O28" s="811">
        <f t="shared" si="10"/>
        <v>-1.7257819506237002</v>
      </c>
      <c r="P28" s="826" t="b">
        <f t="shared" si="9"/>
        <v>0</v>
      </c>
      <c r="Q28" s="827">
        <f>COUNTIF(P$2:P28, TRUE)/(COUNTIF(P$2:P28,FALSE) + COUNTIF(P$2:P28, TRUE))</f>
        <v>0.40740740740740738</v>
      </c>
      <c r="R28" s="828"/>
      <c r="S28" s="828"/>
      <c r="T28" s="828"/>
      <c r="U28" s="828"/>
      <c r="V28" s="827">
        <f>STDEV(D$2:D28)*SQRT(252)</f>
        <v>0.288300857286579</v>
      </c>
      <c r="W28" s="827">
        <f>STDEV(L$2:L28)*SQRT(252)</f>
        <v>0.36576166417456935</v>
      </c>
      <c r="X28" s="826">
        <f t="shared" si="11"/>
        <v>-2.6657202584983009</v>
      </c>
      <c r="Y28" s="826">
        <f t="shared" si="12"/>
        <v>-4.7183237601413186</v>
      </c>
      <c r="Z28" s="832">
        <f t="shared" si="13"/>
        <v>-9.6970138393046537E-2</v>
      </c>
      <c r="AA28" s="799"/>
      <c r="AB28" s="800"/>
      <c r="AC28" s="800"/>
      <c r="AD28" s="801"/>
      <c r="AE28" s="801"/>
      <c r="AF28" s="801"/>
      <c r="AG28" s="801"/>
    </row>
    <row r="29" spans="1:36" ht="20.100000000000001" customHeight="1" x14ac:dyDescent="0.2">
      <c r="A29" s="801">
        <f t="shared" si="8"/>
        <v>38</v>
      </c>
      <c r="B29" s="820">
        <v>42271</v>
      </c>
      <c r="C29" s="821">
        <v>1932.24</v>
      </c>
      <c r="D29" s="817">
        <f t="shared" si="4"/>
        <v>-3.3629742722152212E-3</v>
      </c>
      <c r="E29" s="822">
        <f t="shared" si="5"/>
        <v>-8.0953558722246549E-2</v>
      </c>
      <c r="F29" s="823">
        <v>4734.4799999999996</v>
      </c>
      <c r="G29" s="817">
        <f t="shared" si="1"/>
        <v>-3.8419943022341258E-3</v>
      </c>
      <c r="H29" s="822">
        <f t="shared" si="6"/>
        <v>-7.0157314845729374E-2</v>
      </c>
      <c r="I29" s="833">
        <v>323446.15999999997</v>
      </c>
      <c r="J29" s="825">
        <v>390000</v>
      </c>
      <c r="K29" s="825">
        <f t="shared" ref="K29:K49" si="14">I29-I28-J29+J28</f>
        <v>1626.9499999999534</v>
      </c>
      <c r="L29" s="817">
        <f t="shared" si="7"/>
        <v>5.0554781984579267E-3</v>
      </c>
      <c r="M29" s="826">
        <f t="shared" si="0"/>
        <v>-66553.840000000026</v>
      </c>
      <c r="N29" s="827">
        <f t="shared" si="3"/>
        <v>-0.17065087179487187</v>
      </c>
      <c r="O29" s="811">
        <f t="shared" si="10"/>
        <v>-1.6402692348178145</v>
      </c>
      <c r="P29" s="826" t="b">
        <f t="shared" si="9"/>
        <v>1</v>
      </c>
      <c r="Q29" s="827">
        <f>COUNTIF(P$2:P29, TRUE)/(COUNTIF(P$2:P29,FALSE) + COUNTIF(P$2:P29, TRUE))</f>
        <v>0.42857142857142855</v>
      </c>
      <c r="R29" s="828"/>
      <c r="S29" s="828"/>
      <c r="T29" s="828"/>
      <c r="U29" s="828"/>
      <c r="V29" s="827">
        <f>STDEV(D$2:D29)*SQRT(252)</f>
        <v>0.28270501442194107</v>
      </c>
      <c r="W29" s="827">
        <f>STDEV(L$2:L29)*SQRT(252)</f>
        <v>0.35959656379312804</v>
      </c>
      <c r="X29" s="826">
        <f t="shared" si="11"/>
        <v>-2.7523842330438435</v>
      </c>
      <c r="Y29" s="826">
        <f t="shared" si="12"/>
        <v>-4.5614152079646777</v>
      </c>
      <c r="Z29" s="832">
        <f t="shared" si="13"/>
        <v>-8.9697313072625323E-2</v>
      </c>
      <c r="AA29" s="799"/>
      <c r="AB29" s="800"/>
      <c r="AC29" s="800"/>
      <c r="AD29" s="801"/>
      <c r="AE29" s="801"/>
      <c r="AF29" s="801"/>
      <c r="AG29" s="801"/>
    </row>
    <row r="30" spans="1:36" ht="20.100000000000001" customHeight="1" x14ac:dyDescent="0.2">
      <c r="A30" s="801">
        <f t="shared" si="8"/>
        <v>39</v>
      </c>
      <c r="B30" s="820">
        <v>42272</v>
      </c>
      <c r="C30" s="821">
        <v>1931.34</v>
      </c>
      <c r="D30" s="817">
        <f t="shared" si="4"/>
        <v>-4.6578064836670961E-4</v>
      </c>
      <c r="E30" s="822">
        <f t="shared" si="5"/>
        <v>-8.1381632769544021E-2</v>
      </c>
      <c r="F30" s="823">
        <v>4686.5</v>
      </c>
      <c r="G30" s="817">
        <f t="shared" si="1"/>
        <v>-1.0134164681232061E-2</v>
      </c>
      <c r="H30" s="822">
        <f t="shared" si="6"/>
        <v>-7.9580493744721773E-2</v>
      </c>
      <c r="I30" s="824">
        <v>320711.92</v>
      </c>
      <c r="J30" s="825">
        <v>390000</v>
      </c>
      <c r="K30" s="825">
        <f t="shared" si="14"/>
        <v>-2734.2399999999907</v>
      </c>
      <c r="L30" s="817">
        <f t="shared" si="7"/>
        <v>-8.4534625484500754E-3</v>
      </c>
      <c r="M30" s="826">
        <f t="shared" ref="M30:M61" si="15">I30-J30</f>
        <v>-69288.080000000016</v>
      </c>
      <c r="N30" s="827">
        <f t="shared" ref="N30:N61" si="16">M30/J30</f>
        <v>-0.17766174358974363</v>
      </c>
      <c r="O30" s="811">
        <f t="shared" si="10"/>
        <v>-1.6638705601577912</v>
      </c>
      <c r="P30" s="826" t="b">
        <f t="shared" si="9"/>
        <v>0</v>
      </c>
      <c r="Q30" s="827">
        <f>COUNTIF(P$2:P30, TRUE)/(COUNTIF(P$2:P30,FALSE) + COUNTIF(P$2:P30, TRUE))</f>
        <v>0.41379310344827586</v>
      </c>
      <c r="R30" s="828"/>
      <c r="S30" s="828"/>
      <c r="T30" s="828"/>
      <c r="U30" s="828"/>
      <c r="V30" s="827">
        <f>STDEV(D$2:D30)*SQRT(252)</f>
        <v>0.27752195461786261</v>
      </c>
      <c r="W30" s="827">
        <f>STDEV(L$2:L30)*SQRT(252)</f>
        <v>0.35323644241397795</v>
      </c>
      <c r="X30" s="826">
        <f t="shared" si="11"/>
        <v>-2.7463423301563585</v>
      </c>
      <c r="Y30" s="826">
        <f t="shared" si="12"/>
        <v>-4.7103592958503597</v>
      </c>
      <c r="Z30" s="832">
        <f t="shared" si="13"/>
        <v>-9.6280110820199605E-2</v>
      </c>
      <c r="AA30" s="799"/>
      <c r="AB30" s="800"/>
      <c r="AC30" s="800"/>
      <c r="AD30" s="801"/>
      <c r="AE30" s="801"/>
      <c r="AF30" s="801"/>
      <c r="AG30" s="801"/>
    </row>
    <row r="31" spans="1:36" ht="20.100000000000001" customHeight="1" x14ac:dyDescent="0.2">
      <c r="A31" s="801">
        <f t="shared" si="8"/>
        <v>42</v>
      </c>
      <c r="B31" s="803">
        <v>42275</v>
      </c>
      <c r="C31" s="816">
        <v>1881.77</v>
      </c>
      <c r="D31" s="817">
        <f t="shared" si="4"/>
        <v>-2.5666117824929811E-2</v>
      </c>
      <c r="E31" s="818">
        <f t="shared" si="5"/>
        <v>-0.10495900001902554</v>
      </c>
      <c r="F31" s="819">
        <v>4543.97</v>
      </c>
      <c r="G31" s="817">
        <f t="shared" si="1"/>
        <v>-3.041288808279094E-2</v>
      </c>
      <c r="H31" s="818">
        <f t="shared" si="6"/>
        <v>-0.10757310917768124</v>
      </c>
      <c r="I31" s="807">
        <v>308867.92</v>
      </c>
      <c r="J31" s="808">
        <v>390000</v>
      </c>
      <c r="K31" s="808">
        <f t="shared" si="14"/>
        <v>-11844</v>
      </c>
      <c r="L31" s="817">
        <f t="shared" si="7"/>
        <v>-3.693033922780295E-2</v>
      </c>
      <c r="M31" s="810">
        <f t="shared" si="15"/>
        <v>-81132.080000000016</v>
      </c>
      <c r="N31" s="811">
        <f t="shared" si="16"/>
        <v>-0.20803097435897441</v>
      </c>
      <c r="O31" s="811">
        <f t="shared" si="10"/>
        <v>-1.8091265091575097</v>
      </c>
      <c r="P31" s="810" t="b">
        <f t="shared" si="9"/>
        <v>0</v>
      </c>
      <c r="Q31" s="811">
        <f>COUNTIF(P$2:P31, TRUE)/(COUNTIF(P$2:P31,FALSE) + COUNTIF(P$2:P31, TRUE))</f>
        <v>0.4</v>
      </c>
      <c r="R31" s="812"/>
      <c r="S31" s="812"/>
      <c r="T31" s="812"/>
      <c r="U31" s="812"/>
      <c r="V31" s="811">
        <f>STDEV(D$2:D31)*SQRT(252)</f>
        <v>0.28067725027853285</v>
      </c>
      <c r="W31" s="811">
        <f>STDEV(L$2:L31)*SQRT(252)</f>
        <v>0.36074758156117998</v>
      </c>
      <c r="X31" s="826">
        <f t="shared" si="11"/>
        <v>-3.2520214790768787</v>
      </c>
      <c r="Y31" s="826">
        <f t="shared" si="12"/>
        <v>-5.0149373180224526</v>
      </c>
      <c r="Z31" s="832">
        <f t="shared" si="13"/>
        <v>-0.10307197433994887</v>
      </c>
      <c r="AA31" s="799"/>
      <c r="AB31" s="800"/>
      <c r="AC31" s="800"/>
      <c r="AD31" s="801"/>
      <c r="AE31" s="801"/>
      <c r="AF31" s="801"/>
      <c r="AG31" s="801"/>
    </row>
    <row r="32" spans="1:36" ht="20.100000000000001" customHeight="1" x14ac:dyDescent="0.2">
      <c r="A32" s="801">
        <f t="shared" si="8"/>
        <v>43</v>
      </c>
      <c r="B32" s="803">
        <v>42276</v>
      </c>
      <c r="C32" s="816">
        <v>1884.09</v>
      </c>
      <c r="D32" s="817">
        <f t="shared" si="4"/>
        <v>1.2328818080849075E-3</v>
      </c>
      <c r="E32" s="818">
        <f t="shared" si="5"/>
        <v>-0.10385552025265887</v>
      </c>
      <c r="F32" s="819">
        <v>4517.32</v>
      </c>
      <c r="G32" s="817">
        <f t="shared" si="1"/>
        <v>-5.8649154813963439E-3</v>
      </c>
      <c r="H32" s="818">
        <f t="shared" si="6"/>
        <v>-0.11280711746567947</v>
      </c>
      <c r="I32" s="807">
        <v>312033</v>
      </c>
      <c r="J32" s="808">
        <v>390000</v>
      </c>
      <c r="K32" s="808">
        <f t="shared" si="14"/>
        <v>3165.0800000000163</v>
      </c>
      <c r="L32" s="817">
        <f t="shared" si="7"/>
        <v>1.0247357511262472E-2</v>
      </c>
      <c r="M32" s="810">
        <f t="shared" si="15"/>
        <v>-77967</v>
      </c>
      <c r="N32" s="811">
        <f t="shared" si="16"/>
        <v>-0.19991538461538461</v>
      </c>
      <c r="O32" s="811">
        <f t="shared" si="10"/>
        <v>-1.6981184704830052</v>
      </c>
      <c r="P32" s="810" t="b">
        <f t="shared" si="9"/>
        <v>1</v>
      </c>
      <c r="Q32" s="811">
        <f>COUNTIF(P$2:P32, TRUE)/(COUNTIF(P$2:P32,FALSE) + COUNTIF(P$2:P32, TRUE))</f>
        <v>0.41935483870967744</v>
      </c>
      <c r="R32" s="812"/>
      <c r="S32" s="812"/>
      <c r="T32" s="812"/>
      <c r="U32" s="812"/>
      <c r="V32" s="811">
        <f>STDEV(D$2:D32)*SQRT(252)</f>
        <v>0.27616064910345123</v>
      </c>
      <c r="W32" s="811">
        <f>STDEV(L$2:L32)*SQRT(252)</f>
        <v>0.35703191736213136</v>
      </c>
      <c r="X32" s="826">
        <f t="shared" si="11"/>
        <v>-3.1944019318004857</v>
      </c>
      <c r="Y32" s="826">
        <f t="shared" si="12"/>
        <v>-4.7562091451914448</v>
      </c>
      <c r="Z32" s="832">
        <f t="shared" si="13"/>
        <v>-9.6059864362725733E-2</v>
      </c>
      <c r="AA32" s="799"/>
      <c r="AB32" s="800"/>
      <c r="AC32" s="800"/>
      <c r="AD32" s="801"/>
      <c r="AE32" s="801"/>
      <c r="AF32" s="801"/>
      <c r="AG32" s="801"/>
    </row>
    <row r="33" spans="1:33" ht="20.100000000000001" customHeight="1" x14ac:dyDescent="0.2">
      <c r="A33" s="801">
        <f t="shared" si="8"/>
        <v>44</v>
      </c>
      <c r="B33" s="803">
        <v>42277</v>
      </c>
      <c r="C33" s="816">
        <v>1920.03</v>
      </c>
      <c r="D33" s="817">
        <f t="shared" si="4"/>
        <v>1.9075521869974393E-2</v>
      </c>
      <c r="E33" s="818">
        <f t="shared" si="5"/>
        <v>-8.6761096630581652E-2</v>
      </c>
      <c r="F33" s="819">
        <v>4620.16</v>
      </c>
      <c r="G33" s="817">
        <f t="shared" si="1"/>
        <v>2.2765710642593431E-2</v>
      </c>
      <c r="H33" s="818">
        <f t="shared" si="6"/>
        <v>-9.2609541017734748E-2</v>
      </c>
      <c r="I33" s="834">
        <v>320653.48</v>
      </c>
      <c r="J33" s="808">
        <v>390000</v>
      </c>
      <c r="K33" s="808">
        <f t="shared" si="14"/>
        <v>8620.4799999999814</v>
      </c>
      <c r="L33" s="817">
        <f t="shared" si="7"/>
        <v>2.762682152208254E-2</v>
      </c>
      <c r="M33" s="810">
        <f t="shared" si="15"/>
        <v>-69346.520000000019</v>
      </c>
      <c r="N33" s="811">
        <f t="shared" si="16"/>
        <v>-0.17781158974358979</v>
      </c>
      <c r="O33" s="811">
        <f t="shared" si="10"/>
        <v>-1.476038253496504</v>
      </c>
      <c r="P33" s="810" t="b">
        <f t="shared" si="9"/>
        <v>1</v>
      </c>
      <c r="Q33" s="811">
        <f>COUNTIF(P$2:P33, TRUE)/(COUNTIF(P$2:P33,FALSE) + COUNTIF(P$2:P33, TRUE))</f>
        <v>0.4375</v>
      </c>
      <c r="R33" s="812"/>
      <c r="S33" s="812"/>
      <c r="T33" s="812"/>
      <c r="U33" s="812"/>
      <c r="V33" s="811">
        <f>STDEV(D$2:D33)*SQRT(252)</f>
        <v>0.27904525871697899</v>
      </c>
      <c r="W33" s="811">
        <f>STDEV(L$2:L33)*SQRT(252)</f>
        <v>0.36241608593546876</v>
      </c>
      <c r="X33" s="826">
        <f t="shared" si="11"/>
        <v>-2.5809995751247179</v>
      </c>
      <c r="Y33" s="826">
        <f t="shared" si="12"/>
        <v>-4.0727724589998608</v>
      </c>
      <c r="Z33" s="832">
        <f t="shared" si="13"/>
        <v>-9.1050493113008141E-2</v>
      </c>
      <c r="AA33" s="799"/>
      <c r="AB33" s="800"/>
      <c r="AC33" s="800"/>
      <c r="AD33" s="801"/>
      <c r="AE33" s="801"/>
      <c r="AF33" s="801"/>
      <c r="AG33" s="801"/>
    </row>
    <row r="34" spans="1:33" ht="20.100000000000001" customHeight="1" x14ac:dyDescent="0.2">
      <c r="A34" s="801">
        <f t="shared" si="8"/>
        <v>45</v>
      </c>
      <c r="B34" s="803">
        <v>42278</v>
      </c>
      <c r="C34" s="816">
        <v>1923.82</v>
      </c>
      <c r="D34" s="817">
        <f t="shared" si="4"/>
        <v>1.9739274907162718E-3</v>
      </c>
      <c r="E34" s="818">
        <f t="shared" si="5"/>
        <v>-8.4958429253629175E-2</v>
      </c>
      <c r="F34" s="819">
        <v>4627.08</v>
      </c>
      <c r="G34" s="817">
        <f t="shared" si="1"/>
        <v>1.497783626541088E-3</v>
      </c>
      <c r="H34" s="818">
        <f t="shared" si="6"/>
        <v>-9.1250466445391504E-2</v>
      </c>
      <c r="I34" s="807">
        <v>321963.56</v>
      </c>
      <c r="J34" s="808">
        <v>390000</v>
      </c>
      <c r="K34" s="808">
        <f t="shared" si="14"/>
        <v>1310.0800000000163</v>
      </c>
      <c r="L34" s="817">
        <f t="shared" si="7"/>
        <v>4.0856565785595605E-3</v>
      </c>
      <c r="M34" s="810">
        <f t="shared" si="15"/>
        <v>-68036.44</v>
      </c>
      <c r="N34" s="811">
        <f t="shared" si="16"/>
        <v>-0.17445241025641026</v>
      </c>
      <c r="O34" s="811">
        <f t="shared" si="10"/>
        <v>-1.4159720632478634</v>
      </c>
      <c r="P34" s="810" t="b">
        <f t="shared" si="9"/>
        <v>1</v>
      </c>
      <c r="Q34" s="811">
        <f>COUNTIF(P$2:P34, TRUE)/(COUNTIF(P$2:P34,FALSE) + COUNTIF(P$2:P34, TRUE))</f>
        <v>0.45454545454545453</v>
      </c>
      <c r="R34" s="812"/>
      <c r="S34" s="812"/>
      <c r="T34" s="812"/>
      <c r="U34" s="812"/>
      <c r="V34" s="811">
        <f>STDEV(D$2:D34)*SQRT(252)</f>
        <v>0.27483074679675301</v>
      </c>
      <c r="W34" s="811">
        <f>STDEV(L$2:L34)*SQRT(252)</f>
        <v>0.35707118458821713</v>
      </c>
      <c r="X34" s="826">
        <f t="shared" si="11"/>
        <v>-2.5091051813255021</v>
      </c>
      <c r="Y34" s="826">
        <f t="shared" si="12"/>
        <v>-3.9655175896671575</v>
      </c>
      <c r="Z34" s="832">
        <f t="shared" si="13"/>
        <v>-8.9493981002781081E-2</v>
      </c>
    </row>
    <row r="35" spans="1:33" ht="20.100000000000001" customHeight="1" x14ac:dyDescent="0.2">
      <c r="A35" s="801">
        <f t="shared" si="8"/>
        <v>46</v>
      </c>
      <c r="B35" s="803">
        <v>42279</v>
      </c>
      <c r="C35" s="816">
        <v>1951.36</v>
      </c>
      <c r="D35" s="817">
        <f t="shared" si="4"/>
        <v>1.4315268580220584E-2</v>
      </c>
      <c r="E35" s="818">
        <f t="shared" si="5"/>
        <v>-7.1859363406327953E-2</v>
      </c>
      <c r="F35" s="819">
        <v>4707.78</v>
      </c>
      <c r="G35" s="817">
        <f t="shared" si="1"/>
        <v>1.7440805000129633E-2</v>
      </c>
      <c r="H35" s="818">
        <f t="shared" si="6"/>
        <v>-7.5401143036706808E-2</v>
      </c>
      <c r="I35" s="807">
        <v>336327.01</v>
      </c>
      <c r="J35" s="808">
        <v>390000</v>
      </c>
      <c r="K35" s="808">
        <f t="shared" si="14"/>
        <v>14363.450000000012</v>
      </c>
      <c r="L35" s="817">
        <f t="shared" si="7"/>
        <v>4.4612036219254164E-2</v>
      </c>
      <c r="M35" s="810">
        <f t="shared" si="15"/>
        <v>-53672.989999999991</v>
      </c>
      <c r="N35" s="811">
        <f t="shared" si="16"/>
        <v>-0.13762305128205127</v>
      </c>
      <c r="O35" s="811">
        <f t="shared" si="10"/>
        <v>-1.0927569452341137</v>
      </c>
      <c r="P35" s="810" t="b">
        <f t="shared" si="9"/>
        <v>1</v>
      </c>
      <c r="Q35" s="811">
        <f>COUNTIF(P$2:P35, TRUE)/(COUNTIF(P$2:P35,FALSE) + COUNTIF(P$2:P35, TRUE))</f>
        <v>0.47058823529411764</v>
      </c>
      <c r="R35" s="812"/>
      <c r="S35" s="812"/>
      <c r="T35" s="812"/>
      <c r="U35" s="812"/>
      <c r="V35" s="811">
        <f>STDEV(D$2:D35)*SQRT(252)</f>
        <v>0.27452334333609368</v>
      </c>
      <c r="W35" s="811">
        <f>STDEV(L$2:L35)*SQRT(252)</f>
        <v>0.37502060427916972</v>
      </c>
      <c r="X35" s="826">
        <f t="shared" si="11"/>
        <v>-2.0784351527747336</v>
      </c>
      <c r="Y35" s="826">
        <f t="shared" si="12"/>
        <v>-2.9138584194180774</v>
      </c>
      <c r="Z35" s="832">
        <f t="shared" si="13"/>
        <v>-6.5763687875723315E-2</v>
      </c>
    </row>
    <row r="36" spans="1:33" ht="20.100000000000001" customHeight="1" x14ac:dyDescent="0.2">
      <c r="A36" s="801">
        <f t="shared" si="8"/>
        <v>49</v>
      </c>
      <c r="B36" s="820">
        <v>42282</v>
      </c>
      <c r="C36" s="821">
        <v>1987.05</v>
      </c>
      <c r="D36" s="817">
        <f t="shared" si="4"/>
        <v>1.8289808133814395E-2</v>
      </c>
      <c r="E36" s="822">
        <f t="shared" si="5"/>
        <v>-5.4883849241833343E-2</v>
      </c>
      <c r="F36" s="823">
        <v>4781.26</v>
      </c>
      <c r="G36" s="817">
        <f t="shared" si="1"/>
        <v>1.5608205990934257E-2</v>
      </c>
      <c r="H36" s="822">
        <f t="shared" si="6"/>
        <v>-6.0969813618241372E-2</v>
      </c>
      <c r="I36" s="824">
        <v>348049.53</v>
      </c>
      <c r="J36" s="825">
        <v>390000</v>
      </c>
      <c r="K36" s="825">
        <f t="shared" si="14"/>
        <v>11722.520000000019</v>
      </c>
      <c r="L36" s="817">
        <f t="shared" si="7"/>
        <v>3.4854530416691835E-2</v>
      </c>
      <c r="M36" s="826">
        <f t="shared" si="15"/>
        <v>-41950.469999999972</v>
      </c>
      <c r="N36" s="827">
        <f t="shared" si="16"/>
        <v>-0.10756530769230763</v>
      </c>
      <c r="O36" s="811">
        <f t="shared" si="10"/>
        <v>-0.80180058437990531</v>
      </c>
      <c r="P36" s="826" t="b">
        <f t="shared" si="9"/>
        <v>1</v>
      </c>
      <c r="Q36" s="827">
        <f>COUNTIF(P$2:P36, TRUE)/(COUNTIF(P$2:P36,FALSE) + COUNTIF(P$2:P36, TRUE))</f>
        <v>0.48571428571428571</v>
      </c>
      <c r="R36" s="828"/>
      <c r="S36" s="828"/>
      <c r="T36" s="828"/>
      <c r="U36" s="828"/>
      <c r="V36" s="827">
        <f>STDEV(D$2:D36)*SQRT(252)</f>
        <v>0.27597887919090974</v>
      </c>
      <c r="W36" s="827">
        <f>STDEV(L$2:L36)*SQRT(252)</f>
        <v>0.38219304301343621</v>
      </c>
      <c r="X36" s="826">
        <f t="shared" si="11"/>
        <v>-1.4823913111113354</v>
      </c>
      <c r="Y36" s="826">
        <f t="shared" si="12"/>
        <v>-2.0978942422866593</v>
      </c>
      <c r="Z36" s="832">
        <f t="shared" si="13"/>
        <v>-5.2681458450474283E-2</v>
      </c>
    </row>
    <row r="37" spans="1:33" ht="20.100000000000001" customHeight="1" x14ac:dyDescent="0.2">
      <c r="A37" s="801">
        <f t="shared" si="8"/>
        <v>50</v>
      </c>
      <c r="B37" s="820">
        <v>42283</v>
      </c>
      <c r="C37" s="821">
        <v>1979.92</v>
      </c>
      <c r="D37" s="817">
        <f t="shared" si="4"/>
        <v>-3.5882338139452364E-3</v>
      </c>
      <c r="E37" s="822">
        <f t="shared" si="5"/>
        <v>-5.8275146972089562E-2</v>
      </c>
      <c r="F37" s="823">
        <v>4748.3599999999997</v>
      </c>
      <c r="G37" s="817">
        <f t="shared" si="1"/>
        <v>-6.8810313599345242E-3</v>
      </c>
      <c r="H37" s="822">
        <f t="shared" si="6"/>
        <v>-6.7431309778659423E-2</v>
      </c>
      <c r="I37" s="824">
        <v>349442.62</v>
      </c>
      <c r="J37" s="825">
        <v>390000</v>
      </c>
      <c r="K37" s="825">
        <f t="shared" si="14"/>
        <v>1393.0899999999674</v>
      </c>
      <c r="L37" s="817">
        <f t="shared" si="7"/>
        <v>4.0025625088474254E-3</v>
      </c>
      <c r="M37" s="826">
        <f t="shared" si="15"/>
        <v>-40557.380000000005</v>
      </c>
      <c r="N37" s="827">
        <f t="shared" si="16"/>
        <v>-0.10399328205128207</v>
      </c>
      <c r="O37" s="811">
        <f t="shared" si="10"/>
        <v>-0.75967092538461556</v>
      </c>
      <c r="P37" s="826" t="b">
        <f t="shared" si="9"/>
        <v>1</v>
      </c>
      <c r="Q37" s="827">
        <f>COUNTIF(P$2:P37, TRUE)/(COUNTIF(P$2:P37,FALSE) + COUNTIF(P$2:P37, TRUE))</f>
        <v>0.5</v>
      </c>
      <c r="R37" s="828"/>
      <c r="S37" s="828"/>
      <c r="T37" s="828"/>
      <c r="U37" s="828"/>
      <c r="V37" s="827">
        <f>STDEV(D$2:D37)*SQRT(252)</f>
        <v>0.27194715501453054</v>
      </c>
      <c r="W37" s="827">
        <f>STDEV(L$2:L37)*SQRT(252)</f>
        <v>0.37670306697854899</v>
      </c>
      <c r="X37" s="826">
        <f t="shared" si="11"/>
        <v>-1.5653774668404548</v>
      </c>
      <c r="Y37" s="826">
        <f t="shared" si="12"/>
        <v>-2.0166305824844115</v>
      </c>
      <c r="Z37" s="832">
        <f t="shared" si="13"/>
        <v>-4.5718135079192507E-2</v>
      </c>
    </row>
    <row r="38" spans="1:33" ht="20.100000000000001" customHeight="1" x14ac:dyDescent="0.2">
      <c r="A38" s="801">
        <f t="shared" si="8"/>
        <v>51</v>
      </c>
      <c r="B38" s="820">
        <v>42284</v>
      </c>
      <c r="C38" s="821">
        <v>1995.83</v>
      </c>
      <c r="D38" s="817">
        <f t="shared" si="4"/>
        <v>8.0356782092205013E-3</v>
      </c>
      <c r="E38" s="822">
        <f t="shared" si="5"/>
        <v>-5.0707749091531806E-2</v>
      </c>
      <c r="F38" s="823">
        <v>4791.1499999999996</v>
      </c>
      <c r="G38" s="817">
        <f t="shared" si="1"/>
        <v>9.0115324027664218E-3</v>
      </c>
      <c r="H38" s="822">
        <f t="shared" si="6"/>
        <v>-5.9027436808924368E-2</v>
      </c>
      <c r="I38" s="824">
        <v>351672.29</v>
      </c>
      <c r="J38" s="825">
        <v>390000</v>
      </c>
      <c r="K38" s="825">
        <f t="shared" si="14"/>
        <v>2229.6699999999837</v>
      </c>
      <c r="L38" s="817">
        <f t="shared" si="7"/>
        <v>6.3806469857625942E-3</v>
      </c>
      <c r="M38" s="826">
        <f t="shared" si="15"/>
        <v>-38327.710000000021</v>
      </c>
      <c r="N38" s="827">
        <f t="shared" si="16"/>
        <v>-9.8276179487179538E-2</v>
      </c>
      <c r="O38" s="811">
        <f t="shared" si="10"/>
        <v>-0.70383087368024178</v>
      </c>
      <c r="P38" s="826" t="b">
        <f t="shared" si="9"/>
        <v>0</v>
      </c>
      <c r="Q38" s="827">
        <f>COUNTIF(P$2:P38, TRUE)/(COUNTIF(P$2:P38,FALSE) + COUNTIF(P$2:P38, TRUE))</f>
        <v>0.48648648648648651</v>
      </c>
      <c r="R38" s="828"/>
      <c r="S38" s="828"/>
      <c r="T38" s="828"/>
      <c r="U38" s="828"/>
      <c r="V38" s="827">
        <f>STDEV(D$2:D38)*SQRT(252)</f>
        <v>0.26923649970087526</v>
      </c>
      <c r="W38" s="827">
        <f>STDEV(L$2:L38)*SQRT(252)</f>
        <v>0.37168118749449619</v>
      </c>
      <c r="X38" s="826">
        <f t="shared" si="11"/>
        <v>-1.3488400278637624</v>
      </c>
      <c r="Y38" s="826">
        <f t="shared" si="12"/>
        <v>-1.8936413715872129</v>
      </c>
      <c r="Z38" s="832">
        <f t="shared" si="13"/>
        <v>-4.7568430395647732E-2</v>
      </c>
    </row>
    <row r="39" spans="1:33" ht="20.100000000000001" customHeight="1" x14ac:dyDescent="0.2">
      <c r="A39" s="801">
        <f t="shared" si="8"/>
        <v>52</v>
      </c>
      <c r="B39" s="820">
        <v>42285</v>
      </c>
      <c r="C39" s="821">
        <v>2013.43</v>
      </c>
      <c r="D39" s="817">
        <f t="shared" si="4"/>
        <v>8.8183863355096054E-3</v>
      </c>
      <c r="E39" s="822">
        <f t="shared" si="5"/>
        <v>-4.2336523277715414E-2</v>
      </c>
      <c r="F39" s="823">
        <v>4810.79</v>
      </c>
      <c r="G39" s="817">
        <f t="shared" si="1"/>
        <v>4.0992246120451934E-3</v>
      </c>
      <c r="H39" s="822">
        <f t="shared" si="6"/>
        <v>-5.5170178918632254E-2</v>
      </c>
      <c r="I39" s="824">
        <v>354527.57</v>
      </c>
      <c r="J39" s="825">
        <v>390000</v>
      </c>
      <c r="K39" s="825">
        <f t="shared" si="14"/>
        <v>2855.2800000000279</v>
      </c>
      <c r="L39" s="817">
        <f t="shared" si="7"/>
        <v>8.119149791415264E-3</v>
      </c>
      <c r="M39" s="826">
        <f t="shared" si="15"/>
        <v>-35472.429999999993</v>
      </c>
      <c r="N39" s="827">
        <f t="shared" si="16"/>
        <v>-9.0954948717948694E-2</v>
      </c>
      <c r="O39" s="811">
        <f t="shared" si="10"/>
        <v>-0.63887105806212996</v>
      </c>
      <c r="P39" s="826" t="b">
        <f t="shared" si="9"/>
        <v>0</v>
      </c>
      <c r="Q39" s="827">
        <f>COUNTIF(P$2:P39, TRUE)/(COUNTIF(P$2:P39,FALSE) + COUNTIF(P$2:P39, TRUE))</f>
        <v>0.47368421052631576</v>
      </c>
      <c r="R39" s="828"/>
      <c r="S39" s="828"/>
      <c r="T39" s="828"/>
      <c r="U39" s="828"/>
      <c r="V39" s="827">
        <f>STDEV(D$2:D39)*SQRT(252)</f>
        <v>0.26678199068533232</v>
      </c>
      <c r="W39" s="827">
        <f>STDEV(L$2:L39)*SQRT(252)</f>
        <v>0.36708606132795213</v>
      </c>
      <c r="X39" s="826">
        <f t="shared" si="11"/>
        <v>-1.1146680743575432</v>
      </c>
      <c r="Y39" s="826">
        <f t="shared" si="12"/>
        <v>-1.7403849542828786</v>
      </c>
      <c r="Z39" s="832">
        <f t="shared" si="13"/>
        <v>-4.861842544023328E-2</v>
      </c>
    </row>
    <row r="40" spans="1:33" ht="20.100000000000001" customHeight="1" x14ac:dyDescent="0.2">
      <c r="A40" s="801">
        <f t="shared" si="8"/>
        <v>53</v>
      </c>
      <c r="B40" s="820">
        <v>42286</v>
      </c>
      <c r="C40" s="821">
        <v>2014.89</v>
      </c>
      <c r="D40" s="817">
        <f t="shared" si="4"/>
        <v>7.2513074703368691E-4</v>
      </c>
      <c r="E40" s="822">
        <f t="shared" si="5"/>
        <v>-4.1642092045432906E-2</v>
      </c>
      <c r="F40" s="823">
        <v>4830.47</v>
      </c>
      <c r="G40" s="817">
        <f t="shared" si="1"/>
        <v>4.0908042130295211E-3</v>
      </c>
      <c r="H40" s="822">
        <f t="shared" si="6"/>
        <v>-5.1305065105956671E-2</v>
      </c>
      <c r="I40" s="824">
        <v>351691.92</v>
      </c>
      <c r="J40" s="825">
        <v>390000</v>
      </c>
      <c r="K40" s="825">
        <f t="shared" si="14"/>
        <v>-2835.6500000000233</v>
      </c>
      <c r="L40" s="817">
        <f t="shared" si="7"/>
        <v>-7.9983906470236527E-3</v>
      </c>
      <c r="M40" s="835">
        <f t="shared" si="15"/>
        <v>-38308.080000000016</v>
      </c>
      <c r="N40" s="827">
        <f t="shared" si="16"/>
        <v>-9.8225846153846191E-2</v>
      </c>
      <c r="O40" s="811">
        <f t="shared" si="10"/>
        <v>-0.67692434542815694</v>
      </c>
      <c r="P40" s="835" t="b">
        <f t="shared" si="9"/>
        <v>0</v>
      </c>
      <c r="Q40" s="827">
        <f>COUNTIF(P$2:P40, TRUE)/(COUNTIF(P$2:P40,FALSE) + COUNTIF(P$2:P40, TRUE))</f>
        <v>0.46153846153846156</v>
      </c>
      <c r="R40" s="828"/>
      <c r="S40" s="828"/>
      <c r="T40" s="828"/>
      <c r="U40" s="828"/>
      <c r="V40" s="827">
        <f>STDEV(D$2:D40)*SQRT(252)</f>
        <v>0.26319098013674441</v>
      </c>
      <c r="W40" s="827">
        <f>STDEV(L$2:L40)*SQRT(252)</f>
        <v>0.36271772022566956</v>
      </c>
      <c r="X40" s="826">
        <f t="shared" si="11"/>
        <v>-1.090375019812317</v>
      </c>
      <c r="Y40" s="826">
        <f t="shared" si="12"/>
        <v>-1.8662566168727561</v>
      </c>
      <c r="Z40" s="832">
        <f t="shared" si="13"/>
        <v>-5.6583754108413285E-2</v>
      </c>
    </row>
    <row r="41" spans="1:33" ht="20.100000000000001" customHeight="1" x14ac:dyDescent="0.2">
      <c r="A41" s="801">
        <f t="shared" si="8"/>
        <v>56</v>
      </c>
      <c r="B41" s="803">
        <v>42289</v>
      </c>
      <c r="C41" s="804">
        <v>2017.46</v>
      </c>
      <c r="D41" s="817">
        <f t="shared" si="4"/>
        <v>1.2755038736605652E-3</v>
      </c>
      <c r="E41" s="805">
        <f t="shared" si="5"/>
        <v>-4.0419702821483619E-2</v>
      </c>
      <c r="F41" s="806">
        <v>4838.6400000000003</v>
      </c>
      <c r="G41" s="817">
        <f t="shared" si="1"/>
        <v>1.6913468047622844E-3</v>
      </c>
      <c r="H41" s="818">
        <f t="shared" si="6"/>
        <v>-4.9700492959129462E-2</v>
      </c>
      <c r="I41" s="807">
        <v>348866.78</v>
      </c>
      <c r="J41" s="808">
        <v>390000</v>
      </c>
      <c r="K41" s="808">
        <f t="shared" si="14"/>
        <v>-2825.1399999999558</v>
      </c>
      <c r="L41" s="817">
        <f t="shared" si="7"/>
        <v>-8.0329966068027839E-3</v>
      </c>
      <c r="M41" s="836">
        <f t="shared" si="15"/>
        <v>-41133.219999999972</v>
      </c>
      <c r="N41" s="811">
        <f t="shared" si="16"/>
        <v>-0.10546979487179479</v>
      </c>
      <c r="O41" s="811">
        <f t="shared" si="10"/>
        <v>-0.68790790315934025</v>
      </c>
      <c r="P41" s="836" t="b">
        <f t="shared" si="9"/>
        <v>0</v>
      </c>
      <c r="Q41" s="811">
        <f>COUNTIF(P$2:P41, TRUE)/(COUNTIF(P$2:P41,FALSE) + COUNTIF(P$2:P41, TRUE))</f>
        <v>0.45</v>
      </c>
      <c r="R41" s="812"/>
      <c r="S41" s="812"/>
      <c r="T41" s="812"/>
      <c r="U41" s="812"/>
      <c r="V41" s="811">
        <f>STDEV(D$2:D41)*SQRT(252)</f>
        <v>0.25976838750277326</v>
      </c>
      <c r="W41" s="811">
        <f>STDEV(L$2:L41)*SQRT(252)</f>
        <v>0.35850362464103236</v>
      </c>
      <c r="X41" s="826">
        <f t="shared" si="11"/>
        <v>-1.014866729487002</v>
      </c>
      <c r="Y41" s="826">
        <f t="shared" si="12"/>
        <v>-1.918831096472563</v>
      </c>
      <c r="Z41" s="832">
        <f t="shared" si="13"/>
        <v>-6.5050092050311176E-2</v>
      </c>
    </row>
    <row r="42" spans="1:33" ht="20.100000000000001" customHeight="1" x14ac:dyDescent="0.2">
      <c r="A42" s="801">
        <f t="shared" si="8"/>
        <v>57</v>
      </c>
      <c r="B42" s="803">
        <v>42290</v>
      </c>
      <c r="C42" s="804">
        <v>2003.69</v>
      </c>
      <c r="D42" s="817">
        <f t="shared" si="4"/>
        <v>-6.8254141346048899E-3</v>
      </c>
      <c r="E42" s="805">
        <f t="shared" si="5"/>
        <v>-4.6969235745134223E-2</v>
      </c>
      <c r="F42" s="806">
        <v>4796.6099999999997</v>
      </c>
      <c r="G42" s="817">
        <f t="shared" si="1"/>
        <v>-8.6863250830813317E-3</v>
      </c>
      <c r="H42" s="818">
        <f t="shared" si="6"/>
        <v>-5.7955103403578401E-2</v>
      </c>
      <c r="I42" s="807">
        <v>347508.59</v>
      </c>
      <c r="J42" s="808">
        <v>390000</v>
      </c>
      <c r="K42" s="808">
        <f t="shared" si="14"/>
        <v>-1358.1900000000023</v>
      </c>
      <c r="L42" s="817">
        <f t="shared" si="7"/>
        <v>-3.8931479804411363E-3</v>
      </c>
      <c r="M42" s="836">
        <f t="shared" si="15"/>
        <v>-42491.409999999974</v>
      </c>
      <c r="N42" s="811">
        <f t="shared" si="16"/>
        <v>-0.10895233333333326</v>
      </c>
      <c r="O42" s="811">
        <f t="shared" si="10"/>
        <v>-0.69815508333333287</v>
      </c>
      <c r="P42" s="836" t="b">
        <f t="shared" si="9"/>
        <v>1</v>
      </c>
      <c r="Q42" s="811">
        <f>COUNTIF(P$2:P42, TRUE)/(COUNTIF(P$2:P42,FALSE) + COUNTIF(P$2:P42, TRUE))</f>
        <v>0.46341463414634149</v>
      </c>
      <c r="R42" s="812"/>
      <c r="S42" s="812"/>
      <c r="T42" s="812"/>
      <c r="U42" s="812"/>
      <c r="V42" s="811">
        <f>STDEV(D$2:D42)*SQRT(252)</f>
        <v>0.2568435001245859</v>
      </c>
      <c r="W42" s="811">
        <f>STDEV(L$2:L42)*SQRT(252)</f>
        <v>0.35400225993009587</v>
      </c>
      <c r="X42" s="826">
        <f t="shared" si="11"/>
        <v>-1.1718183188546707</v>
      </c>
      <c r="Y42" s="826">
        <f t="shared" si="12"/>
        <v>-1.9721769105971136</v>
      </c>
      <c r="Z42" s="832">
        <f t="shared" si="13"/>
        <v>-6.1983097588199039E-2</v>
      </c>
    </row>
    <row r="43" spans="1:33" ht="20.100000000000001" customHeight="1" x14ac:dyDescent="0.2">
      <c r="A43" s="801">
        <f t="shared" si="8"/>
        <v>58</v>
      </c>
      <c r="B43" s="803">
        <v>42291</v>
      </c>
      <c r="C43" s="837">
        <v>1994.24</v>
      </c>
      <c r="D43" s="817">
        <f t="shared" si="4"/>
        <v>-4.7162984293977837E-3</v>
      </c>
      <c r="E43" s="805">
        <f t="shared" si="5"/>
        <v>-5.1464013241757214E-2</v>
      </c>
      <c r="F43" s="806">
        <v>4782.8500000000004</v>
      </c>
      <c r="G43" s="817">
        <f t="shared" si="1"/>
        <v>-2.8686926808723888E-3</v>
      </c>
      <c r="H43" s="818">
        <f t="shared" si="6"/>
        <v>-6.0657540703497742E-2</v>
      </c>
      <c r="I43" s="807">
        <v>350349.65</v>
      </c>
      <c r="J43" s="808">
        <v>390000</v>
      </c>
      <c r="K43" s="808">
        <f t="shared" si="14"/>
        <v>2841.0599999999977</v>
      </c>
      <c r="L43" s="817">
        <f t="shared" si="7"/>
        <v>8.1755101363105796E-3</v>
      </c>
      <c r="M43" s="836">
        <f t="shared" si="15"/>
        <v>-39650.349999999977</v>
      </c>
      <c r="N43" s="811">
        <f t="shared" si="16"/>
        <v>-0.10166756410256404</v>
      </c>
      <c r="O43" s="811">
        <f t="shared" si="10"/>
        <v>-0.64024272049071573</v>
      </c>
      <c r="P43" s="836" t="b">
        <f t="shared" si="9"/>
        <v>1</v>
      </c>
      <c r="Q43" s="811">
        <f>COUNTIF(P$2:P43, TRUE)/(COUNTIF(P$2:P43,FALSE) + COUNTIF(P$2:P43, TRUE))</f>
        <v>0.47619047619047616</v>
      </c>
      <c r="R43" s="812"/>
      <c r="S43" s="812"/>
      <c r="T43" s="812"/>
      <c r="U43" s="812"/>
      <c r="V43" s="811">
        <f>STDEV(D$2:D43)*SQRT(252)</f>
        <v>0.25377333453127793</v>
      </c>
      <c r="W43" s="811">
        <f>STDEV(L$2:L43)*SQRT(252)</f>
        <v>0.35017187352757795</v>
      </c>
      <c r="X43" s="826">
        <f t="shared" si="11"/>
        <v>-1.2770852675900659</v>
      </c>
      <c r="Y43" s="826">
        <f t="shared" si="12"/>
        <v>-1.8283670645532104</v>
      </c>
      <c r="Z43" s="832">
        <f t="shared" si="13"/>
        <v>-5.0203550860806828E-2</v>
      </c>
    </row>
    <row r="44" spans="1:33" ht="20.100000000000001" customHeight="1" x14ac:dyDescent="0.2">
      <c r="A44" s="801">
        <f t="shared" si="8"/>
        <v>59</v>
      </c>
      <c r="B44" s="803">
        <v>42292</v>
      </c>
      <c r="C44" s="837">
        <v>2023.86</v>
      </c>
      <c r="D44" s="817">
        <f t="shared" si="4"/>
        <v>1.4852775994865158E-2</v>
      </c>
      <c r="E44" s="805">
        <f>(C44-$C$2)/$C$2</f>
        <v>-3.7375620707368655E-2</v>
      </c>
      <c r="F44" s="806">
        <v>4870.1000000000004</v>
      </c>
      <c r="G44" s="817">
        <f t="shared" si="1"/>
        <v>1.8242261413174154E-2</v>
      </c>
      <c r="H44" s="818">
        <f t="shared" si="6"/>
        <v>-4.3521810004517048E-2</v>
      </c>
      <c r="I44" s="807">
        <v>353686.58</v>
      </c>
      <c r="J44" s="808">
        <v>390000</v>
      </c>
      <c r="K44" s="808">
        <f t="shared" si="14"/>
        <v>3336.929999999993</v>
      </c>
      <c r="L44" s="817">
        <f t="shared" si="7"/>
        <v>9.5245706681881745E-3</v>
      </c>
      <c r="M44" s="836">
        <f t="shared" si="15"/>
        <v>-36313.419999999984</v>
      </c>
      <c r="N44" s="811">
        <f t="shared" si="16"/>
        <v>-9.3111333333333296E-2</v>
      </c>
      <c r="O44" s="811">
        <f t="shared" si="10"/>
        <v>-0.57642227966101678</v>
      </c>
      <c r="P44" s="836" t="b">
        <f t="shared" si="9"/>
        <v>0</v>
      </c>
      <c r="Q44" s="811">
        <f>COUNTIF(P$2:P44, TRUE)/(COUNTIF(P$2:P44,FALSE) + COUNTIF(P$2:P44, TRUE))</f>
        <v>0.46511627906976744</v>
      </c>
      <c r="R44" s="812"/>
      <c r="S44" s="812"/>
      <c r="T44" s="812"/>
      <c r="U44" s="812"/>
      <c r="V44" s="811">
        <f>STDEV(D$2:D44)*SQRT(252)</f>
        <v>0.25371078720500778</v>
      </c>
      <c r="W44" s="811">
        <f>STDEV(L$2:L44)*SQRT(252)</f>
        <v>0.34666743153233776</v>
      </c>
      <c r="X44" s="826">
        <f t="shared" si="11"/>
        <v>-0.91198499729346294</v>
      </c>
      <c r="Y44" s="826">
        <f t="shared" si="12"/>
        <v>-1.6627529073415339</v>
      </c>
      <c r="Z44" s="832">
        <f t="shared" si="13"/>
        <v>-5.5735712625964641E-2</v>
      </c>
    </row>
    <row r="45" spans="1:33" ht="20.100000000000001" customHeight="1" x14ac:dyDescent="0.2">
      <c r="A45" s="801">
        <f t="shared" si="8"/>
        <v>60</v>
      </c>
      <c r="B45" s="803">
        <v>42293</v>
      </c>
      <c r="C45" s="837">
        <v>2033.11</v>
      </c>
      <c r="D45" s="817">
        <f t="shared" si="4"/>
        <v>4.5704742422894868E-3</v>
      </c>
      <c r="E45" s="805">
        <f t="shared" ref="E45:E53" si="17">(C45-$C$2)/$C$2</f>
        <v>-3.2975970776811775E-2</v>
      </c>
      <c r="F45" s="806">
        <v>4886.6899999999996</v>
      </c>
      <c r="G45" s="817">
        <f t="shared" si="1"/>
        <v>3.4065008932053211E-3</v>
      </c>
      <c r="H45" s="818">
        <f t="shared" si="6"/>
        <v>-4.0263566195966029E-2</v>
      </c>
      <c r="I45" s="807">
        <v>351968.34</v>
      </c>
      <c r="J45" s="808">
        <v>390000</v>
      </c>
      <c r="K45" s="808">
        <f t="shared" si="14"/>
        <v>-1718.2399999999907</v>
      </c>
      <c r="L45" s="817">
        <f t="shared" si="7"/>
        <v>-4.8580865013311799E-3</v>
      </c>
      <c r="M45" s="836">
        <f t="shared" si="15"/>
        <v>-38031.659999999974</v>
      </c>
      <c r="N45" s="811">
        <f t="shared" si="16"/>
        <v>-9.7517076923076859E-2</v>
      </c>
      <c r="O45" s="811">
        <f t="shared" si="10"/>
        <v>-0.59363520576923046</v>
      </c>
      <c r="P45" s="836" t="b">
        <f t="shared" si="9"/>
        <v>0</v>
      </c>
      <c r="Q45" s="811">
        <f>COUNTIF(P$2:P45, TRUE)/(COUNTIF(P$2:P45,FALSE) + COUNTIF(P$2:P45, TRUE))</f>
        <v>0.45454545454545453</v>
      </c>
      <c r="R45" s="812"/>
      <c r="S45" s="812"/>
      <c r="T45" s="812"/>
      <c r="U45" s="812"/>
      <c r="V45" s="811">
        <f>STDEV(D$2:D45)*SQRT(252)</f>
        <v>0.25100684114352073</v>
      </c>
      <c r="W45" s="811">
        <f>STDEV(L$2:L45)*SQRT(252)</f>
        <v>0.34273345139982825</v>
      </c>
      <c r="X45" s="826">
        <f t="shared" si="11"/>
        <v>-0.79974402765007446</v>
      </c>
      <c r="Y45" s="826">
        <f t="shared" si="12"/>
        <v>-1.7320608868047245</v>
      </c>
      <c r="Z45" s="832">
        <f t="shared" si="13"/>
        <v>-6.4541106146265084E-2</v>
      </c>
    </row>
    <row r="46" spans="1:33" ht="20.100000000000001" customHeight="1" x14ac:dyDescent="0.2">
      <c r="A46" s="801">
        <f t="shared" si="8"/>
        <v>63</v>
      </c>
      <c r="B46" s="838">
        <v>42296</v>
      </c>
      <c r="C46" s="839">
        <v>2033.66</v>
      </c>
      <c r="D46" s="817">
        <f t="shared" si="4"/>
        <v>2.7052151629778119E-4</v>
      </c>
      <c r="E46" s="840">
        <f t="shared" si="17"/>
        <v>-3.2714369970129928E-2</v>
      </c>
      <c r="F46" s="841">
        <v>4905.47</v>
      </c>
      <c r="G46" s="817">
        <f t="shared" si="1"/>
        <v>3.843092154403217E-3</v>
      </c>
      <c r="H46" s="822">
        <f t="shared" si="6"/>
        <v>-3.657521063691882E-2</v>
      </c>
      <c r="I46" s="824">
        <v>353616.79</v>
      </c>
      <c r="J46" s="825">
        <v>390000</v>
      </c>
      <c r="K46" s="825">
        <f t="shared" si="14"/>
        <v>1648.4499999999534</v>
      </c>
      <c r="L46" s="817">
        <f t="shared" si="7"/>
        <v>4.6835178414057167E-3</v>
      </c>
      <c r="M46" s="842">
        <f t="shared" si="15"/>
        <v>-36383.210000000021</v>
      </c>
      <c r="N46" s="827">
        <f t="shared" si="16"/>
        <v>-9.3290282051282106E-2</v>
      </c>
      <c r="O46" s="811">
        <f t="shared" si="10"/>
        <v>-0.5408615161782665</v>
      </c>
      <c r="P46" s="842" t="b">
        <f t="shared" si="9"/>
        <v>1</v>
      </c>
      <c r="Q46" s="827">
        <f>COUNTIF(P$2:P46, TRUE)/(COUNTIF(P$2:P46,FALSE) + COUNTIF(P$2:P46, TRUE))</f>
        <v>0.46666666666666667</v>
      </c>
      <c r="R46" s="828"/>
      <c r="S46" s="828"/>
      <c r="T46" s="828"/>
      <c r="U46" s="828"/>
      <c r="V46" s="827">
        <f>STDEV(D$2:D46)*SQRT(252)</f>
        <v>0.24808092074482793</v>
      </c>
      <c r="W46" s="827">
        <f>STDEV(L$2:L46)*SQRT(252)</f>
        <v>0.33890448472804552</v>
      </c>
      <c r="X46" s="826">
        <f t="shared" si="11"/>
        <v>-0.76453059711419202</v>
      </c>
      <c r="Y46" s="826">
        <f t="shared" si="12"/>
        <v>-1.5959113571845522</v>
      </c>
      <c r="Z46" s="832">
        <f t="shared" si="13"/>
        <v>-6.0575912081152178E-2</v>
      </c>
    </row>
    <row r="47" spans="1:33" ht="20.100000000000001" customHeight="1" x14ac:dyDescent="0.2">
      <c r="A47" s="801">
        <f t="shared" si="8"/>
        <v>64</v>
      </c>
      <c r="B47" s="838">
        <v>42297</v>
      </c>
      <c r="C47" s="839">
        <v>2030.77</v>
      </c>
      <c r="D47" s="817">
        <f t="shared" si="4"/>
        <v>-1.4210831702448296E-3</v>
      </c>
      <c r="E47" s="840">
        <f t="shared" si="17"/>
        <v>-3.4088963299785044E-2</v>
      </c>
      <c r="F47" s="841">
        <v>4880.97</v>
      </c>
      <c r="G47" s="817">
        <f t="shared" si="1"/>
        <v>-4.9944245913235629E-3</v>
      </c>
      <c r="H47" s="822">
        <f t="shared" si="6"/>
        <v>-4.1386963096804522E-2</v>
      </c>
      <c r="I47" s="824">
        <v>352193</v>
      </c>
      <c r="J47" s="825">
        <v>395000</v>
      </c>
      <c r="K47" s="825">
        <f t="shared" si="14"/>
        <v>-6423.789999999979</v>
      </c>
      <c r="L47" s="817">
        <f t="shared" si="7"/>
        <v>-1.8165964348016334E-2</v>
      </c>
      <c r="M47" s="842">
        <f t="shared" si="15"/>
        <v>-42807</v>
      </c>
      <c r="N47" s="827">
        <f t="shared" si="16"/>
        <v>-0.10837215189873417</v>
      </c>
      <c r="O47" s="811">
        <f t="shared" si="10"/>
        <v>-0.61848325751582278</v>
      </c>
      <c r="P47" s="842" t="b">
        <f t="shared" si="9"/>
        <v>0</v>
      </c>
      <c r="Q47" s="827">
        <f>COUNTIF(P$2:P47, TRUE)/(COUNTIF(P$2:P47,FALSE) + COUNTIF(P$2:P47, TRUE))</f>
        <v>0.45652173913043476</v>
      </c>
      <c r="R47" s="828"/>
      <c r="S47" s="828"/>
      <c r="T47" s="828"/>
      <c r="U47" s="828"/>
      <c r="V47" s="827">
        <f>STDEV(D$2:D47)*SQRT(252)</f>
        <v>0.24525265348900513</v>
      </c>
      <c r="W47" s="827">
        <f>STDEV(L$2:L47)*SQRT(252)</f>
        <v>0.33783134123152347</v>
      </c>
      <c r="X47" s="826">
        <f t="shared" si="11"/>
        <v>-0.79325045443676745</v>
      </c>
      <c r="Y47" s="826">
        <f t="shared" si="12"/>
        <v>-1.8307456474026849</v>
      </c>
      <c r="Z47" s="832">
        <f t="shared" si="13"/>
        <v>-7.4283188598949126E-2</v>
      </c>
    </row>
    <row r="48" spans="1:33" ht="20.100000000000001" customHeight="1" x14ac:dyDescent="0.2">
      <c r="A48" s="801">
        <f t="shared" si="8"/>
        <v>65</v>
      </c>
      <c r="B48" s="838">
        <v>42298</v>
      </c>
      <c r="C48" s="839">
        <v>2018.94</v>
      </c>
      <c r="D48" s="817">
        <f t="shared" si="4"/>
        <v>-5.8253765812967141E-3</v>
      </c>
      <c r="E48" s="840">
        <f t="shared" si="17"/>
        <v>-3.9715758832594511E-2</v>
      </c>
      <c r="F48" s="841">
        <v>4840.12</v>
      </c>
      <c r="G48" s="817">
        <f t="shared" si="1"/>
        <v>-8.3692380817748033E-3</v>
      </c>
      <c r="H48" s="822">
        <f t="shared" si="6"/>
        <v>-4.9409823830940537E-2</v>
      </c>
      <c r="I48" s="824">
        <v>350311.35</v>
      </c>
      <c r="J48" s="825">
        <v>400000</v>
      </c>
      <c r="K48" s="825">
        <f t="shared" si="14"/>
        <v>-6881.6500000000233</v>
      </c>
      <c r="L48" s="817">
        <f t="shared" si="7"/>
        <v>-1.9539428665532883E-2</v>
      </c>
      <c r="M48" s="842">
        <f t="shared" si="15"/>
        <v>-49688.650000000023</v>
      </c>
      <c r="N48" s="827">
        <f t="shared" si="16"/>
        <v>-0.12422162500000006</v>
      </c>
      <c r="O48" s="811">
        <f t="shared" si="10"/>
        <v>-0.69802997740384654</v>
      </c>
      <c r="P48" s="842" t="b">
        <f t="shared" si="9"/>
        <v>0</v>
      </c>
      <c r="Q48" s="827">
        <f>COUNTIF(P$2:P48, TRUE)/(COUNTIF(P$2:P48,FALSE) + COUNTIF(P$2:P48, TRUE))</f>
        <v>0.44680851063829785</v>
      </c>
      <c r="R48" s="828"/>
      <c r="S48" s="828"/>
      <c r="T48" s="828"/>
      <c r="U48" s="828"/>
      <c r="V48" s="827">
        <f>STDEV(D$2:D48)*SQRT(252)</f>
        <v>0.24281424638505256</v>
      </c>
      <c r="W48" s="827">
        <f>STDEV(L$2:L48)*SQRT(252)</f>
        <v>0.33709966873657005</v>
      </c>
      <c r="X48" s="826">
        <f t="shared" si="11"/>
        <v>-0.91910593129515017</v>
      </c>
      <c r="Y48" s="826">
        <f t="shared" si="12"/>
        <v>-2.0706931573680341</v>
      </c>
      <c r="Z48" s="832">
        <f t="shared" si="13"/>
        <v>-8.4505866167405547E-2</v>
      </c>
    </row>
    <row r="49" spans="1:27" ht="20.100000000000001" customHeight="1" x14ac:dyDescent="0.2">
      <c r="A49" s="801">
        <f t="shared" si="8"/>
        <v>66</v>
      </c>
      <c r="B49" s="838">
        <v>42299</v>
      </c>
      <c r="C49" s="839">
        <v>2052.5100000000002</v>
      </c>
      <c r="D49" s="817">
        <f t="shared" si="4"/>
        <v>1.6627537222502979E-2</v>
      </c>
      <c r="E49" s="840">
        <f t="shared" si="17"/>
        <v>-2.3748596868400446E-2</v>
      </c>
      <c r="F49" s="841">
        <v>4920.05</v>
      </c>
      <c r="G49" s="817">
        <f t="shared" si="1"/>
        <v>1.6514053370577649E-2</v>
      </c>
      <c r="H49" s="822">
        <f t="shared" si="6"/>
        <v>-3.3711726928137876E-2</v>
      </c>
      <c r="I49" s="824">
        <v>353557.89</v>
      </c>
      <c r="J49" s="825">
        <v>400000</v>
      </c>
      <c r="K49" s="825">
        <f t="shared" si="14"/>
        <v>3246.5400000000373</v>
      </c>
      <c r="L49" s="817">
        <f t="shared" si="7"/>
        <v>9.2675843931406664E-3</v>
      </c>
      <c r="M49" s="842">
        <f t="shared" si="15"/>
        <v>-46442.109999999986</v>
      </c>
      <c r="N49" s="827">
        <f t="shared" si="16"/>
        <v>-0.11610527499999997</v>
      </c>
      <c r="O49" s="811">
        <f t="shared" si="10"/>
        <v>-0.64253714687499974</v>
      </c>
      <c r="P49" s="842" t="b">
        <f t="shared" si="9"/>
        <v>0</v>
      </c>
      <c r="Q49" s="827">
        <f>COUNTIF(P$2:P49, TRUE)/(COUNTIF(P$2:P49,FALSE) + COUNTIF(P$2:P49, TRUE))</f>
        <v>0.4375</v>
      </c>
      <c r="R49" s="828"/>
      <c r="S49" s="828"/>
      <c r="T49" s="828"/>
      <c r="U49" s="828"/>
      <c r="V49" s="827">
        <f>STDEV(D$2:D49)*SQRT(252)</f>
        <v>0.24351413133026822</v>
      </c>
      <c r="W49" s="827">
        <f>STDEV(L$2:L49)*SQRT(252)</f>
        <v>0.33420544036824928</v>
      </c>
      <c r="X49" s="826">
        <f t="shared" si="11"/>
        <v>-0.53970951630248853</v>
      </c>
      <c r="Y49" s="826">
        <f t="shared" si="12"/>
        <v>-1.9225813504621905</v>
      </c>
      <c r="Z49" s="832">
        <f t="shared" si="13"/>
        <v>-9.2356678131599521E-2</v>
      </c>
    </row>
    <row r="50" spans="1:27" ht="20.100000000000001" customHeight="1" x14ac:dyDescent="0.2">
      <c r="A50" s="801">
        <f t="shared" si="8"/>
        <v>67</v>
      </c>
      <c r="B50" s="838">
        <v>42300</v>
      </c>
      <c r="C50" s="839">
        <v>2075.15</v>
      </c>
      <c r="D50" s="817">
        <f t="shared" si="4"/>
        <v>1.103039692863853E-2</v>
      </c>
      <c r="E50" s="840">
        <f t="shared" si="17"/>
        <v>-1.2980156389718596E-2</v>
      </c>
      <c r="F50" s="841">
        <v>5031.8599999999997</v>
      </c>
      <c r="G50" s="817">
        <f t="shared" si="1"/>
        <v>2.2725378807125839E-2</v>
      </c>
      <c r="H50" s="822">
        <f t="shared" si="6"/>
        <v>-1.1752459885696358E-2</v>
      </c>
      <c r="I50" s="824">
        <v>354948.58</v>
      </c>
      <c r="J50" s="825">
        <v>400000</v>
      </c>
      <c r="K50" s="825">
        <f t="shared" ref="K50:K55" si="18">I50-I49-J50+J49</f>
        <v>1390.6900000000023</v>
      </c>
      <c r="L50" s="817">
        <f t="shared" si="7"/>
        <v>3.93341526051081E-3</v>
      </c>
      <c r="M50" s="842">
        <f t="shared" si="15"/>
        <v>-45051.419999999984</v>
      </c>
      <c r="N50" s="827">
        <f t="shared" si="16"/>
        <v>-0.11262854999999997</v>
      </c>
      <c r="O50" s="811">
        <f t="shared" si="10"/>
        <v>-0.61399369981343266</v>
      </c>
      <c r="P50" s="842" t="b">
        <f t="shared" si="9"/>
        <v>0</v>
      </c>
      <c r="Q50" s="827">
        <f>COUNTIF(P$2:P50, TRUE)/(COUNTIF(P$2:P50,FALSE) + COUNTIF(P$2:P50, TRUE))</f>
        <v>0.42857142857142855</v>
      </c>
      <c r="R50" s="828"/>
      <c r="S50" s="828"/>
      <c r="T50" s="828"/>
      <c r="U50" s="828"/>
      <c r="V50" s="827">
        <f>STDEV(D$2:D50)*SQRT(252)</f>
        <v>0.2423280462112376</v>
      </c>
      <c r="W50" s="827">
        <f>STDEV(L$2:L50)*SQRT(252)</f>
        <v>0.33078274353135961</v>
      </c>
      <c r="X50" s="826">
        <f t="shared" si="11"/>
        <v>-0.29200592666863479</v>
      </c>
      <c r="Y50" s="826">
        <f t="shared" si="12"/>
        <v>-1.8561841928589706</v>
      </c>
      <c r="Z50" s="832">
        <f t="shared" si="13"/>
        <v>-9.9648393610281369E-2</v>
      </c>
    </row>
    <row r="51" spans="1:27" ht="20.100000000000001" customHeight="1" x14ac:dyDescent="0.2">
      <c r="A51" s="801">
        <f t="shared" si="8"/>
        <v>70</v>
      </c>
      <c r="B51" s="803">
        <v>42303</v>
      </c>
      <c r="C51" s="804">
        <v>2071.1799999999998</v>
      </c>
      <c r="D51" s="817">
        <f t="shared" si="4"/>
        <v>-1.9131147145990672E-3</v>
      </c>
      <c r="E51" s="805">
        <f t="shared" si="17"/>
        <v>-1.4868438576130695E-2</v>
      </c>
      <c r="F51" s="806">
        <v>5034.7</v>
      </c>
      <c r="G51" s="817">
        <f t="shared" si="1"/>
        <v>5.644036201325446E-4</v>
      </c>
      <c r="H51" s="818">
        <f t="shared" si="6"/>
        <v>-1.1194689396468763E-2</v>
      </c>
      <c r="I51" s="807">
        <v>346950.72</v>
      </c>
      <c r="J51" s="808">
        <v>400000</v>
      </c>
      <c r="K51" s="808">
        <f t="shared" si="18"/>
        <v>-7997.8600000000442</v>
      </c>
      <c r="L51" s="817">
        <f t="shared" si="7"/>
        <v>-2.2532446812437011E-2</v>
      </c>
      <c r="M51" s="836">
        <f t="shared" si="15"/>
        <v>-53049.280000000028</v>
      </c>
      <c r="N51" s="811">
        <f t="shared" si="16"/>
        <v>-0.13262320000000008</v>
      </c>
      <c r="O51" s="811">
        <f t="shared" si="10"/>
        <v>-0.6920089114285719</v>
      </c>
      <c r="P51" s="836" t="b">
        <f t="shared" si="9"/>
        <v>0</v>
      </c>
      <c r="Q51" s="811">
        <f>COUNTIF(P$2:P51, TRUE)/(COUNTIF(P$2:P51,FALSE) + COUNTIF(P$2:P51, TRUE))</f>
        <v>0.42</v>
      </c>
      <c r="R51" s="812"/>
      <c r="S51" s="812"/>
      <c r="T51" s="812"/>
      <c r="U51" s="812"/>
      <c r="V51" s="811">
        <f>STDEV(D$2:D51)*SQRT(252)</f>
        <v>0.23982354896201158</v>
      </c>
      <c r="W51" s="811">
        <f>STDEV(L$2:L51)*SQRT(252)</f>
        <v>0.33116253966336157</v>
      </c>
      <c r="X51" s="826">
        <f t="shared" si="11"/>
        <v>-0.32349362172054774</v>
      </c>
      <c r="Y51" s="826">
        <f t="shared" si="12"/>
        <v>-2.0896352351084859</v>
      </c>
      <c r="Z51" s="832">
        <f t="shared" si="13"/>
        <v>-0.11775476142386938</v>
      </c>
    </row>
    <row r="52" spans="1:27" ht="20.100000000000001" customHeight="1" x14ac:dyDescent="0.2">
      <c r="A52" s="801">
        <f t="shared" si="8"/>
        <v>71</v>
      </c>
      <c r="B52" s="803">
        <v>42304</v>
      </c>
      <c r="C52" s="804">
        <v>2065.89</v>
      </c>
      <c r="D52" s="817">
        <f t="shared" si="4"/>
        <v>-2.5540995953997063E-3</v>
      </c>
      <c r="E52" s="805">
        <f t="shared" si="17"/>
        <v>-1.7384562698578881E-2</v>
      </c>
      <c r="F52" s="806">
        <v>5030.1499999999996</v>
      </c>
      <c r="G52" s="817">
        <f t="shared" si="1"/>
        <v>-9.0372812680004412E-4</v>
      </c>
      <c r="H52" s="818">
        <f t="shared" si="6"/>
        <v>-1.2088300567590428E-2</v>
      </c>
      <c r="I52" s="807">
        <v>345588.46</v>
      </c>
      <c r="J52" s="808">
        <v>400000</v>
      </c>
      <c r="K52" s="808">
        <f t="shared" si="18"/>
        <v>-1362.2599999999511</v>
      </c>
      <c r="L52" s="817">
        <f t="shared" si="7"/>
        <v>-3.9263789393489401E-3</v>
      </c>
      <c r="M52" s="836">
        <f t="shared" si="15"/>
        <v>-54411.539999999979</v>
      </c>
      <c r="N52" s="811">
        <f t="shared" si="16"/>
        <v>-0.13602884999999995</v>
      </c>
      <c r="O52" s="811">
        <f t="shared" si="10"/>
        <v>-0.69978221778168981</v>
      </c>
      <c r="P52" s="836" t="b">
        <f t="shared" si="9"/>
        <v>0</v>
      </c>
      <c r="Q52" s="811">
        <f>COUNTIF(P$2:P52, TRUE)/(COUNTIF(P$2:P52,FALSE) + COUNTIF(P$2:P52, TRUE))</f>
        <v>0.41176470588235292</v>
      </c>
      <c r="R52" s="812"/>
      <c r="S52" s="812"/>
      <c r="T52" s="812"/>
      <c r="U52" s="812"/>
      <c r="V52" s="811">
        <f>STDEV(D$2:D52)*SQRT(252)</f>
        <v>0.2374229026669446</v>
      </c>
      <c r="W52" s="811">
        <f>STDEV(L$2:L52)*SQRT(252)</f>
        <v>0.32784098915228843</v>
      </c>
      <c r="X52" s="826">
        <f t="shared" si="11"/>
        <v>-0.3766804115980118</v>
      </c>
      <c r="Y52" s="826">
        <f t="shared" si="12"/>
        <v>-2.134517162088684</v>
      </c>
      <c r="Z52" s="832">
        <f t="shared" si="13"/>
        <v>-0.11864428730142107</v>
      </c>
    </row>
    <row r="53" spans="1:27" ht="20.100000000000001" customHeight="1" x14ac:dyDescent="0.2">
      <c r="A53" s="801">
        <f t="shared" si="8"/>
        <v>72</v>
      </c>
      <c r="B53" s="803">
        <v>42305</v>
      </c>
      <c r="C53" s="837">
        <v>2090.31</v>
      </c>
      <c r="D53" s="817">
        <f t="shared" si="4"/>
        <v>1.1820571279206576E-2</v>
      </c>
      <c r="E53" s="805">
        <f t="shared" si="17"/>
        <v>-5.7694868819086909E-3</v>
      </c>
      <c r="F53" s="806">
        <v>5095.6899999999996</v>
      </c>
      <c r="G53" s="817">
        <f t="shared" si="1"/>
        <v>1.3029432521892979E-2</v>
      </c>
      <c r="H53" s="818">
        <f t="shared" si="6"/>
        <v>7.836282577527706E-4</v>
      </c>
      <c r="I53" s="807">
        <v>353348</v>
      </c>
      <c r="J53" s="808">
        <v>400000</v>
      </c>
      <c r="K53" s="808">
        <f t="shared" si="18"/>
        <v>7759.539999999979</v>
      </c>
      <c r="L53" s="817">
        <f t="shared" si="7"/>
        <v>2.2453122421969698E-2</v>
      </c>
      <c r="M53" s="836">
        <f t="shared" si="15"/>
        <v>-46652</v>
      </c>
      <c r="N53" s="811">
        <f t="shared" si="16"/>
        <v>-0.11663</v>
      </c>
      <c r="O53" s="811">
        <f t="shared" si="10"/>
        <v>-0.59165427083333333</v>
      </c>
      <c r="P53" s="836" t="b">
        <f t="shared" si="9"/>
        <v>1</v>
      </c>
      <c r="Q53" s="811">
        <f>COUNTIF(P$2:P53, TRUE)/(COUNTIF(P$2:P53,FALSE) + COUNTIF(P$2:P53, TRUE))</f>
        <v>0.42307692307692307</v>
      </c>
      <c r="R53" s="812"/>
      <c r="S53" s="812"/>
      <c r="T53" s="812"/>
      <c r="U53" s="812"/>
      <c r="V53" s="811">
        <f>STDEV(D$2:D53)*SQRT(252)</f>
        <v>0.23656092323249167</v>
      </c>
      <c r="W53" s="811">
        <f>STDEV(L$2:L53)*SQRT(252)</f>
        <v>0.32865868284465172</v>
      </c>
      <c r="X53" s="826">
        <f t="shared" si="11"/>
        <v>-0.12372341873465142</v>
      </c>
      <c r="Y53" s="826">
        <f t="shared" si="12"/>
        <v>-1.8002088540986232</v>
      </c>
      <c r="Z53" s="832">
        <f t="shared" si="13"/>
        <v>-0.11086051311809131</v>
      </c>
    </row>
    <row r="54" spans="1:27" ht="20.100000000000001" customHeight="1" x14ac:dyDescent="0.2">
      <c r="A54" s="801">
        <f t="shared" si="8"/>
        <v>73</v>
      </c>
      <c r="B54" s="803">
        <v>42306</v>
      </c>
      <c r="C54" s="837">
        <v>2089.41</v>
      </c>
      <c r="D54" s="817">
        <f t="shared" si="4"/>
        <v>-4.3055814687777935E-4</v>
      </c>
      <c r="E54" s="805">
        <f>(C54-$C$2)/$C$2</f>
        <v>-6.1975609292061603E-3</v>
      </c>
      <c r="F54" s="806">
        <v>5074.2700000000004</v>
      </c>
      <c r="G54" s="817">
        <f t="shared" si="1"/>
        <v>-4.203552413902566E-3</v>
      </c>
      <c r="H54" s="818">
        <f t="shared" si="6"/>
        <v>-3.4232181786042742E-3</v>
      </c>
      <c r="I54" s="807">
        <v>349127.55</v>
      </c>
      <c r="J54" s="808">
        <v>400000</v>
      </c>
      <c r="K54" s="808">
        <f t="shared" si="18"/>
        <v>-4220.4500000000116</v>
      </c>
      <c r="L54" s="817">
        <f t="shared" si="7"/>
        <v>-1.1944174015418261E-2</v>
      </c>
      <c r="M54" s="836">
        <f t="shared" si="15"/>
        <v>-50872.450000000012</v>
      </c>
      <c r="N54" s="811">
        <f t="shared" si="16"/>
        <v>-0.12718112500000003</v>
      </c>
      <c r="O54" s="811">
        <f t="shared" si="10"/>
        <v>-0.63634117679794533</v>
      </c>
      <c r="P54" s="836" t="b">
        <f t="shared" si="9"/>
        <v>0</v>
      </c>
      <c r="Q54" s="811">
        <f>COUNTIF(P$2:P54, TRUE)/(COUNTIF(P$2:P54,FALSE) + COUNTIF(P$2:P54, TRUE))</f>
        <v>0.41509433962264153</v>
      </c>
      <c r="R54" s="812"/>
      <c r="S54" s="812"/>
      <c r="T54" s="812"/>
      <c r="U54" s="812"/>
      <c r="V54" s="811">
        <f>STDEV(D$2:D54)*SQRT(252)</f>
        <v>0.23423209631374151</v>
      </c>
      <c r="W54" s="811">
        <f>STDEV(L$2:L54)*SQRT(252)</f>
        <v>0.32641026079746971</v>
      </c>
      <c r="X54" s="826">
        <f t="shared" si="11"/>
        <v>-0.13238590977824835</v>
      </c>
      <c r="Y54" s="826">
        <f t="shared" si="12"/>
        <v>-1.949513398393995</v>
      </c>
      <c r="Z54" s="832">
        <f t="shared" si="13"/>
        <v>-0.12098356407079387</v>
      </c>
    </row>
    <row r="55" spans="1:27" ht="20.100000000000001" customHeight="1" x14ac:dyDescent="0.2">
      <c r="A55" s="801">
        <f t="shared" si="8"/>
        <v>74</v>
      </c>
      <c r="B55" s="803">
        <v>42307</v>
      </c>
      <c r="C55" s="837">
        <v>2079.36</v>
      </c>
      <c r="D55" s="817">
        <f t="shared" si="4"/>
        <v>-4.8099702786909837E-3</v>
      </c>
      <c r="E55" s="805">
        <f>(C55-$C$2)/$C$2</f>
        <v>-1.0977721124027286E-2</v>
      </c>
      <c r="F55" s="806">
        <v>5053.75</v>
      </c>
      <c r="G55" s="817">
        <f t="shared" si="1"/>
        <v>-4.0439314423553405E-3</v>
      </c>
      <c r="H55" s="818">
        <f t="shared" si="6"/>
        <v>-7.4533063613331143E-3</v>
      </c>
      <c r="I55" s="834">
        <v>351138.5</v>
      </c>
      <c r="J55" s="808">
        <v>400000</v>
      </c>
      <c r="K55" s="808">
        <f t="shared" si="18"/>
        <v>2010.9500000000116</v>
      </c>
      <c r="L55" s="817">
        <f t="shared" si="7"/>
        <v>5.759929286588846E-3</v>
      </c>
      <c r="M55" s="836">
        <f t="shared" si="15"/>
        <v>-48861.5</v>
      </c>
      <c r="N55" s="811">
        <f t="shared" si="16"/>
        <v>-0.12215375000000001</v>
      </c>
      <c r="O55" s="811">
        <f t="shared" si="10"/>
        <v>-0.60292779983108113</v>
      </c>
      <c r="P55" s="836" t="b">
        <f t="shared" si="9"/>
        <v>1</v>
      </c>
      <c r="Q55" s="811">
        <f>COUNTIF(P$2:P55, TRUE)/(COUNTIF(P$2:P55,FALSE) + COUNTIF(P$2:P55, TRUE))</f>
        <v>0.42592592592592593</v>
      </c>
      <c r="R55" s="812"/>
      <c r="S55" s="812"/>
      <c r="T55" s="812"/>
      <c r="U55" s="812"/>
      <c r="V55" s="811">
        <f>STDEV(D$2:D55)*SQRT(252)</f>
        <v>0.23220468856265722</v>
      </c>
      <c r="W55" s="811">
        <f>STDEV(L$2:L55)*SQRT(252)</f>
        <v>0.32355647040832186</v>
      </c>
      <c r="X55" s="826">
        <f t="shared" si="11"/>
        <v>-0.23334565265429297</v>
      </c>
      <c r="Y55" s="826">
        <f t="shared" si="12"/>
        <v>-1.8634391674201358</v>
      </c>
      <c r="Z55" s="832">
        <f t="shared" si="13"/>
        <v>-0.11117602887597272</v>
      </c>
    </row>
    <row r="56" spans="1:27" ht="20.100000000000001" customHeight="1" x14ac:dyDescent="0.2">
      <c r="A56" s="801">
        <f t="shared" si="8"/>
        <v>77</v>
      </c>
      <c r="B56" s="820">
        <v>42310</v>
      </c>
      <c r="C56" s="843">
        <v>2104.0500000000002</v>
      </c>
      <c r="D56" s="817">
        <f t="shared" si="4"/>
        <v>1.187384579870732E-2</v>
      </c>
      <c r="E56" s="844">
        <f t="shared" ref="E56:E62" si="19">(C56-$C$2)/$C$2</f>
        <v>7.6577690683212233E-4</v>
      </c>
      <c r="F56" s="841">
        <v>5053.75</v>
      </c>
      <c r="G56" s="817">
        <f t="shared" si="1"/>
        <v>0</v>
      </c>
      <c r="H56" s="822">
        <f t="shared" si="6"/>
        <v>-7.4533063613331143E-3</v>
      </c>
      <c r="I56" s="824">
        <v>356948.81</v>
      </c>
      <c r="J56" s="825">
        <v>400000</v>
      </c>
      <c r="K56" s="825">
        <f t="shared" ref="K56:K87" si="20">I56-I55-J56+J55</f>
        <v>5810.3099999999977</v>
      </c>
      <c r="L56" s="817">
        <f t="shared" si="7"/>
        <v>1.6547060490376297E-2</v>
      </c>
      <c r="M56" s="842">
        <f t="shared" si="15"/>
        <v>-43051.19</v>
      </c>
      <c r="N56" s="827">
        <f t="shared" si="16"/>
        <v>-0.107627975</v>
      </c>
      <c r="O56" s="811">
        <f t="shared" si="10"/>
        <v>-0.51053399829545454</v>
      </c>
      <c r="P56" s="842" t="b">
        <f t="shared" si="9"/>
        <v>1</v>
      </c>
      <c r="Q56" s="827">
        <f>COUNTIF(P$2:P56, TRUE)/(COUNTIF(P$2:P56,FALSE) + COUNTIF(P$2:P56, TRUE))</f>
        <v>0.43636363636363634</v>
      </c>
      <c r="R56" s="828"/>
      <c r="S56" s="828"/>
      <c r="T56" s="828"/>
      <c r="U56" s="828"/>
      <c r="V56" s="827">
        <f>STDEV(D$2:D56)*SQRT(252)</f>
        <v>0.23145429539624826</v>
      </c>
      <c r="W56" s="827">
        <f>STDEV(L$2:L56)*SQRT(252)</f>
        <v>0.32260027221647702</v>
      </c>
      <c r="X56" s="826">
        <f t="shared" si="11"/>
        <v>1.5694103770754083E-2</v>
      </c>
      <c r="Y56" s="826">
        <f t="shared" si="12"/>
        <v>-1.5825591056937076</v>
      </c>
      <c r="Z56" s="832">
        <f t="shared" si="13"/>
        <v>-0.10839375190683212</v>
      </c>
    </row>
    <row r="57" spans="1:27" ht="20.100000000000001" customHeight="1" x14ac:dyDescent="0.2">
      <c r="A57" s="801">
        <f t="shared" si="8"/>
        <v>78</v>
      </c>
      <c r="B57" s="820">
        <v>42311</v>
      </c>
      <c r="C57" s="843">
        <v>2109.79</v>
      </c>
      <c r="D57" s="817">
        <f t="shared" si="4"/>
        <v>2.7280720515195844E-3</v>
      </c>
      <c r="E57" s="844">
        <f t="shared" si="19"/>
        <v>3.4959380529289343E-3</v>
      </c>
      <c r="F57" s="841">
        <v>5145.13</v>
      </c>
      <c r="G57" s="817">
        <f t="shared" si="1"/>
        <v>1.8081622557506824E-2</v>
      </c>
      <c r="H57" s="822">
        <f t="shared" si="6"/>
        <v>1.049354832374262E-2</v>
      </c>
      <c r="I57" s="824">
        <v>362269.44</v>
      </c>
      <c r="J57" s="825">
        <v>400000</v>
      </c>
      <c r="K57" s="825">
        <f t="shared" si="20"/>
        <v>5320.6300000000047</v>
      </c>
      <c r="L57" s="817">
        <f t="shared" si="7"/>
        <v>1.4905862832264393E-2</v>
      </c>
      <c r="M57" s="842">
        <f t="shared" si="15"/>
        <v>-37730.559999999998</v>
      </c>
      <c r="N57" s="827">
        <f t="shared" si="16"/>
        <v>-9.4326399999999991E-2</v>
      </c>
      <c r="O57" s="811">
        <f t="shared" si="10"/>
        <v>-0.44170150769230765</v>
      </c>
      <c r="P57" s="842" t="b">
        <f t="shared" si="9"/>
        <v>1</v>
      </c>
      <c r="Q57" s="827">
        <f>COUNTIF(P$2:P57, TRUE)/(COUNTIF(P$2:P57,FALSE) + COUNTIF(P$2:P57, TRUE))</f>
        <v>0.44642857142857145</v>
      </c>
      <c r="R57" s="828"/>
      <c r="S57" s="828"/>
      <c r="T57" s="828"/>
      <c r="U57" s="828"/>
      <c r="V57" s="827">
        <f>STDEV(D$2:D57)*SQRT(252)</f>
        <v>0.22936919812964679</v>
      </c>
      <c r="W57" s="827">
        <f>STDEV(L$2:L57)*SQRT(252)</f>
        <v>0.32122906847311467</v>
      </c>
      <c r="X57" s="826">
        <f t="shared" si="11"/>
        <v>7.1371406283445571E-2</v>
      </c>
      <c r="Y57" s="826">
        <f t="shared" si="12"/>
        <v>-1.3750359199801869</v>
      </c>
      <c r="Z57" s="832">
        <f t="shared" si="13"/>
        <v>-9.782233805292892E-2</v>
      </c>
    </row>
    <row r="58" spans="1:27" ht="20.100000000000001" customHeight="1" x14ac:dyDescent="0.2">
      <c r="A58" s="801">
        <f t="shared" si="8"/>
        <v>79</v>
      </c>
      <c r="B58" s="820">
        <v>42312</v>
      </c>
      <c r="C58" s="843">
        <v>2102.31</v>
      </c>
      <c r="D58" s="817">
        <f t="shared" si="4"/>
        <v>-3.5453765540646312E-3</v>
      </c>
      <c r="E58" s="844">
        <f t="shared" si="19"/>
        <v>-6.1832917943013417E-5</v>
      </c>
      <c r="F58" s="841">
        <v>5142.4799999999996</v>
      </c>
      <c r="G58" s="817">
        <f t="shared" si="1"/>
        <v>-5.1505015422361453E-4</v>
      </c>
      <c r="H58" s="822">
        <f t="shared" si="6"/>
        <v>9.9730934658365071E-3</v>
      </c>
      <c r="I58" s="824">
        <v>361654.42</v>
      </c>
      <c r="J58" s="825">
        <v>400000</v>
      </c>
      <c r="K58" s="825">
        <f t="shared" si="20"/>
        <v>-615.02000000001863</v>
      </c>
      <c r="L58" s="817">
        <f t="shared" si="7"/>
        <v>-1.697686672107972E-3</v>
      </c>
      <c r="M58" s="842">
        <f t="shared" si="15"/>
        <v>-38345.580000000016</v>
      </c>
      <c r="N58" s="827">
        <f t="shared" si="16"/>
        <v>-9.5863950000000045E-2</v>
      </c>
      <c r="O58" s="811">
        <f t="shared" si="10"/>
        <v>-0.44321908528481035</v>
      </c>
      <c r="P58" s="842" t="b">
        <f t="shared" si="9"/>
        <v>1</v>
      </c>
      <c r="Q58" s="827">
        <f>COUNTIF(P$2:P58, TRUE)/(COUNTIF(P$2:P58,FALSE) + COUNTIF(P$2:P58, TRUE))</f>
        <v>0.45614035087719296</v>
      </c>
      <c r="R58" s="828"/>
      <c r="S58" s="828"/>
      <c r="T58" s="828"/>
      <c r="U58" s="828"/>
      <c r="V58" s="827">
        <f>STDEV(D$2:D58)*SQRT(252)</f>
        <v>0.22741079678230972</v>
      </c>
      <c r="W58" s="827">
        <f>STDEV(L$2:L58)*SQRT(252)</f>
        <v>0.31831780697519846</v>
      </c>
      <c r="X58" s="826">
        <f t="shared" si="11"/>
        <v>-1.2571056987440105E-3</v>
      </c>
      <c r="Y58" s="826">
        <f t="shared" si="12"/>
        <v>-1.392379174437274</v>
      </c>
      <c r="Z58" s="832">
        <f t="shared" si="13"/>
        <v>-9.5802117082057034E-2</v>
      </c>
    </row>
    <row r="59" spans="1:27" ht="20.100000000000001" customHeight="1" x14ac:dyDescent="0.2">
      <c r="A59" s="801">
        <f t="shared" si="8"/>
        <v>80</v>
      </c>
      <c r="B59" s="820">
        <v>42313</v>
      </c>
      <c r="C59" s="843">
        <v>2099.9299999999998</v>
      </c>
      <c r="D59" s="817">
        <f t="shared" si="4"/>
        <v>-1.1320880364932427E-3</v>
      </c>
      <c r="E59" s="844">
        <f t="shared" si="19"/>
        <v>-1.1938509541295915E-3</v>
      </c>
      <c r="F59" s="841">
        <v>5127.74</v>
      </c>
      <c r="G59" s="817">
        <f t="shared" si="1"/>
        <v>-2.8663213080069895E-3</v>
      </c>
      <c r="H59" s="822">
        <f t="shared" si="6"/>
        <v>7.0781860675216456E-3</v>
      </c>
      <c r="I59" s="824">
        <v>351667.44</v>
      </c>
      <c r="J59" s="825">
        <v>400000</v>
      </c>
      <c r="K59" s="825">
        <f t="shared" si="20"/>
        <v>-9986.9799999999814</v>
      </c>
      <c r="L59" s="817">
        <f t="shared" si="7"/>
        <v>-2.7614704667510995E-2</v>
      </c>
      <c r="M59" s="842">
        <f t="shared" si="15"/>
        <v>-48332.56</v>
      </c>
      <c r="N59" s="827">
        <f t="shared" si="16"/>
        <v>-0.12083139999999999</v>
      </c>
      <c r="O59" s="811">
        <f t="shared" si="10"/>
        <v>-0.55167086062500004</v>
      </c>
      <c r="P59" s="842" t="b">
        <f t="shared" ref="P59:P90" si="21">L59&gt;D59</f>
        <v>0</v>
      </c>
      <c r="Q59" s="827">
        <f>COUNTIF(P$2:P59, TRUE)/(COUNTIF(P$2:P59,FALSE) + COUNTIF(P$2:P59, TRUE))</f>
        <v>0.44827586206896552</v>
      </c>
      <c r="R59" s="828"/>
      <c r="S59" s="828"/>
      <c r="T59" s="828"/>
      <c r="U59" s="828"/>
      <c r="V59" s="827">
        <f>STDEV(D$2:D59)*SQRT(252)</f>
        <v>0.2253860839795564</v>
      </c>
      <c r="W59" s="827">
        <f>STDEV(L$2:L59)*SQRT(252)</f>
        <v>0.32078118980306136</v>
      </c>
      <c r="X59" s="826">
        <f t="shared" si="11"/>
        <v>-2.4183728055465568E-2</v>
      </c>
      <c r="Y59" s="826">
        <f t="shared" si="12"/>
        <v>-1.7197730981785118</v>
      </c>
      <c r="Z59" s="832">
        <f t="shared" si="13"/>
        <v>-0.1196375490458704</v>
      </c>
    </row>
    <row r="60" spans="1:27" ht="20.100000000000001" customHeight="1" x14ac:dyDescent="0.2">
      <c r="A60" s="801">
        <f t="shared" si="8"/>
        <v>81</v>
      </c>
      <c r="B60" s="820">
        <v>42314</v>
      </c>
      <c r="C60" s="845">
        <v>2099.1999999999998</v>
      </c>
      <c r="D60" s="817">
        <f t="shared" si="4"/>
        <v>-3.4763063530689989E-4</v>
      </c>
      <c r="E60" s="844">
        <f t="shared" si="19"/>
        <v>-1.5410665702708455E-3</v>
      </c>
      <c r="F60" s="841">
        <v>5147.12</v>
      </c>
      <c r="G60" s="817">
        <f t="shared" si="1"/>
        <v>3.7794427954615699E-3</v>
      </c>
      <c r="H60" s="822">
        <f t="shared" si="6"/>
        <v>1.0884380462321047E-2</v>
      </c>
      <c r="I60" s="824">
        <v>351454.25</v>
      </c>
      <c r="J60" s="825">
        <v>400000</v>
      </c>
      <c r="K60" s="825">
        <f t="shared" si="20"/>
        <v>-213.19000000000233</v>
      </c>
      <c r="L60" s="817">
        <f t="shared" si="7"/>
        <v>-6.0622615502874632E-4</v>
      </c>
      <c r="M60" s="842">
        <f t="shared" si="15"/>
        <v>-48545.75</v>
      </c>
      <c r="N60" s="827">
        <f t="shared" si="16"/>
        <v>-0.121364375</v>
      </c>
      <c r="O60" s="811">
        <f t="shared" si="10"/>
        <v>-0.54726343171296288</v>
      </c>
      <c r="P60" s="842" t="b">
        <f t="shared" si="21"/>
        <v>0</v>
      </c>
      <c r="Q60" s="827">
        <f>COUNTIF(P$2:P60, TRUE)/(COUNTIF(P$2:P60,FALSE) + COUNTIF(P$2:P60, TRUE))</f>
        <v>0.44067796610169491</v>
      </c>
      <c r="R60" s="828"/>
      <c r="S60" s="828"/>
      <c r="T60" s="828"/>
      <c r="U60" s="828"/>
      <c r="V60" s="827">
        <f>STDEV(D$2:D60)*SQRT(252)</f>
        <v>0.22340202899589548</v>
      </c>
      <c r="W60" s="827">
        <f>STDEV(L$2:L60)*SQRT(252)</f>
        <v>0.31795506965896425</v>
      </c>
      <c r="X60" s="826">
        <f t="shared" si="11"/>
        <v>-3.110566512024111E-2</v>
      </c>
      <c r="Y60" s="826">
        <f t="shared" si="12"/>
        <v>-1.7211973764090402</v>
      </c>
      <c r="Z60" s="832">
        <f t="shared" si="13"/>
        <v>-0.11982330842972914</v>
      </c>
      <c r="AA60" s="846"/>
    </row>
    <row r="61" spans="1:27" ht="20.100000000000001" customHeight="1" x14ac:dyDescent="0.2">
      <c r="A61" s="801">
        <f t="shared" si="8"/>
        <v>84</v>
      </c>
      <c r="B61" s="803">
        <v>42317</v>
      </c>
      <c r="C61" s="804">
        <v>2078.58</v>
      </c>
      <c r="D61" s="817">
        <f t="shared" si="4"/>
        <v>-9.8227896341462895E-3</v>
      </c>
      <c r="E61" s="805">
        <f t="shared" si="19"/>
        <v>-1.1348718631685149E-2</v>
      </c>
      <c r="F61" s="806">
        <v>5095.3</v>
      </c>
      <c r="G61" s="817">
        <f t="shared" si="1"/>
        <v>-1.0067766051694873E-2</v>
      </c>
      <c r="H61" s="818">
        <f t="shared" si="6"/>
        <v>7.0703301451388806E-4</v>
      </c>
      <c r="I61" s="807">
        <v>347015.14</v>
      </c>
      <c r="J61" s="808">
        <v>400000</v>
      </c>
      <c r="K61" s="808">
        <f t="shared" si="20"/>
        <v>-4439.109999999986</v>
      </c>
      <c r="L61" s="817">
        <f t="shared" si="7"/>
        <v>-1.2630690907849275E-2</v>
      </c>
      <c r="M61" s="836">
        <f t="shared" si="15"/>
        <v>-52984.859999999986</v>
      </c>
      <c r="N61" s="811">
        <f t="shared" si="16"/>
        <v>-0.13246214999999997</v>
      </c>
      <c r="O61" s="811">
        <f t="shared" si="10"/>
        <v>-0.57597381294642847</v>
      </c>
      <c r="P61" s="836" t="b">
        <f t="shared" si="21"/>
        <v>0</v>
      </c>
      <c r="Q61" s="811">
        <f>COUNTIF(P$2:P61, TRUE)/(COUNTIF(P$2:P61,FALSE) + COUNTIF(P$2:P61, TRUE))</f>
        <v>0.43333333333333335</v>
      </c>
      <c r="R61" s="812"/>
      <c r="S61" s="812"/>
      <c r="T61" s="812"/>
      <c r="U61" s="812"/>
      <c r="V61" s="811">
        <f>STDEV(D$2:D61)*SQRT(252)</f>
        <v>0.2224096817728117</v>
      </c>
      <c r="W61" s="811">
        <f>STDEV(L$2:L61)*SQRT(252)</f>
        <v>0.31620783635013966</v>
      </c>
      <c r="X61" s="826">
        <f t="shared" si="11"/>
        <v>-0.22187280735940332</v>
      </c>
      <c r="Y61" s="826">
        <f t="shared" si="12"/>
        <v>-1.821503918418542</v>
      </c>
      <c r="Z61" s="832">
        <f t="shared" si="13"/>
        <v>-0.12111343136831482</v>
      </c>
    </row>
    <row r="62" spans="1:27" ht="20.100000000000001" customHeight="1" x14ac:dyDescent="0.2">
      <c r="A62" s="801">
        <f t="shared" si="8"/>
        <v>85</v>
      </c>
      <c r="B62" s="803">
        <v>42318</v>
      </c>
      <c r="C62" s="804">
        <v>2081.7199999999998</v>
      </c>
      <c r="D62" s="817">
        <f t="shared" si="4"/>
        <v>1.5106466914912454E-3</v>
      </c>
      <c r="E62" s="805">
        <f t="shared" si="19"/>
        <v>-9.8552158444475246E-3</v>
      </c>
      <c r="F62" s="806">
        <v>5083.24</v>
      </c>
      <c r="G62" s="817">
        <f t="shared" si="1"/>
        <v>-2.3668871312779228E-3</v>
      </c>
      <c r="H62" s="818">
        <f t="shared" si="6"/>
        <v>-1.6615275841074762E-3</v>
      </c>
      <c r="I62" s="807">
        <v>346488.34</v>
      </c>
      <c r="J62" s="808">
        <v>400000</v>
      </c>
      <c r="K62" s="808">
        <f t="shared" si="20"/>
        <v>-526.79999999998836</v>
      </c>
      <c r="L62" s="817">
        <f t="shared" si="7"/>
        <v>-1.5180893836504894E-3</v>
      </c>
      <c r="M62" s="836">
        <f t="shared" ref="M62:M93" si="22">I62-J62</f>
        <v>-53511.659999999974</v>
      </c>
      <c r="N62" s="811">
        <f t="shared" ref="N62:N93" si="23">M62/J62</f>
        <v>-0.13377914999999993</v>
      </c>
      <c r="O62" s="811">
        <f t="shared" si="10"/>
        <v>-0.57485687691176446</v>
      </c>
      <c r="P62" s="836" t="b">
        <f t="shared" si="21"/>
        <v>0</v>
      </c>
      <c r="Q62" s="811">
        <f>COUNTIF(P$2:P62, TRUE)/(COUNTIF(P$2:P62,FALSE) + COUNTIF(P$2:P62, TRUE))</f>
        <v>0.42622950819672129</v>
      </c>
      <c r="R62" s="812"/>
      <c r="S62" s="812"/>
      <c r="T62" s="812"/>
      <c r="U62" s="812"/>
      <c r="V62" s="811">
        <f>STDEV(D$2:D62)*SQRT(252)</f>
        <v>0.22054140197015909</v>
      </c>
      <c r="W62" s="811">
        <f>STDEV(L$2:L62)*SQRT(252)</f>
        <v>0.31352177036879675</v>
      </c>
      <c r="X62" s="826">
        <f t="shared" si="11"/>
        <v>-0.1920203727003611</v>
      </c>
      <c r="Y62" s="826">
        <f t="shared" si="12"/>
        <v>-1.8335469215919467</v>
      </c>
      <c r="Z62" s="832">
        <f t="shared" si="13"/>
        <v>-0.1239239341555524</v>
      </c>
    </row>
    <row r="63" spans="1:27" ht="20.100000000000001" customHeight="1" x14ac:dyDescent="0.2">
      <c r="A63" s="801">
        <f t="shared" si="8"/>
        <v>86</v>
      </c>
      <c r="B63" s="803">
        <v>42319</v>
      </c>
      <c r="C63" s="804">
        <v>2075</v>
      </c>
      <c r="D63" s="817">
        <f t="shared" si="4"/>
        <v>-3.2280998405164003E-3</v>
      </c>
      <c r="E63" s="805">
        <f t="shared" ref="E63:E84" si="24">(C63-$C$2)/$C$2</f>
        <v>-1.305150206426821E-2</v>
      </c>
      <c r="F63" s="806">
        <v>5067.0200000000004</v>
      </c>
      <c r="G63" s="817">
        <f t="shared" si="1"/>
        <v>-3.1908782587482289E-3</v>
      </c>
      <c r="H63" s="818">
        <f t="shared" si="6"/>
        <v>-4.8471041106112655E-3</v>
      </c>
      <c r="I63" s="807">
        <v>341384.62</v>
      </c>
      <c r="J63" s="808">
        <v>400000</v>
      </c>
      <c r="K63" s="808">
        <f t="shared" si="20"/>
        <v>-5103.7200000000303</v>
      </c>
      <c r="L63" s="817">
        <f t="shared" si="7"/>
        <v>-1.472984632036977E-2</v>
      </c>
      <c r="M63" s="836">
        <f t="shared" si="22"/>
        <v>-58615.380000000005</v>
      </c>
      <c r="N63" s="811">
        <f t="shared" si="23"/>
        <v>-0.14653845000000001</v>
      </c>
      <c r="O63" s="811">
        <f t="shared" si="10"/>
        <v>-0.62236242863372093</v>
      </c>
      <c r="P63" s="836" t="b">
        <f t="shared" si="21"/>
        <v>0</v>
      </c>
      <c r="Q63" s="811">
        <f>COUNTIF(P$2:P63, TRUE)/(COUNTIF(P$2:P63,FALSE) + COUNTIF(P$2:P63, TRUE))</f>
        <v>0.41935483870967744</v>
      </c>
      <c r="R63" s="812"/>
      <c r="S63" s="812"/>
      <c r="T63" s="812"/>
      <c r="U63" s="812"/>
      <c r="V63" s="811">
        <f>STDEV(D$2:D63)*SQRT(252)</f>
        <v>0.21879001839109452</v>
      </c>
      <c r="W63" s="811">
        <f>STDEV(L$2:L63)*SQRT(252)</f>
        <v>0.31221077177668255</v>
      </c>
      <c r="X63" s="826">
        <f t="shared" si="11"/>
        <v>-0.25335224964914849</v>
      </c>
      <c r="Y63" s="826">
        <f t="shared" si="12"/>
        <v>-1.9934047281330927</v>
      </c>
      <c r="Z63" s="832">
        <f t="shared" si="13"/>
        <v>-0.13348694793573179</v>
      </c>
    </row>
    <row r="64" spans="1:27" ht="20.100000000000001" customHeight="1" x14ac:dyDescent="0.2">
      <c r="A64" s="801">
        <f t="shared" si="8"/>
        <v>87</v>
      </c>
      <c r="B64" s="803">
        <v>42320</v>
      </c>
      <c r="C64" s="837">
        <v>2045.97</v>
      </c>
      <c r="D64" s="817">
        <f t="shared" si="4"/>
        <v>-1.3990361445783119E-2</v>
      </c>
      <c r="E64" s="805">
        <f t="shared" si="24"/>
        <v>-2.6859268278761832E-2</v>
      </c>
      <c r="F64" s="806">
        <v>5005.08</v>
      </c>
      <c r="G64" s="817">
        <f t="shared" si="1"/>
        <v>-1.222414752655417E-2</v>
      </c>
      <c r="H64" s="818">
        <f t="shared" si="6"/>
        <v>-1.7011999921440757E-2</v>
      </c>
      <c r="I64" s="807">
        <v>335500.62</v>
      </c>
      <c r="J64" s="808">
        <v>400000</v>
      </c>
      <c r="K64" s="808">
        <f t="shared" si="20"/>
        <v>-5884</v>
      </c>
      <c r="L64" s="817">
        <f t="shared" si="7"/>
        <v>-1.7235691520022196E-2</v>
      </c>
      <c r="M64" s="836">
        <f t="shared" si="22"/>
        <v>-64499.380000000005</v>
      </c>
      <c r="N64" s="811">
        <f t="shared" si="23"/>
        <v>-0.16124845000000002</v>
      </c>
      <c r="O64" s="811">
        <f t="shared" si="10"/>
        <v>-0.67696547543103458</v>
      </c>
      <c r="P64" s="836" t="b">
        <f t="shared" si="21"/>
        <v>0</v>
      </c>
      <c r="Q64" s="811">
        <f>COUNTIF(P$2:P64, TRUE)/(COUNTIF(P$2:P64,FALSE) + COUNTIF(P$2:P64, TRUE))</f>
        <v>0.41269841269841268</v>
      </c>
      <c r="R64" s="812"/>
      <c r="S64" s="812"/>
      <c r="T64" s="812"/>
      <c r="U64" s="812"/>
      <c r="V64" s="811">
        <f>STDEV(D$2:D64)*SQRT(252)</f>
        <v>0.21878322617502383</v>
      </c>
      <c r="W64" s="811">
        <f>STDEV(L$2:L64)*SQRT(252)</f>
        <v>0.311389828072407</v>
      </c>
      <c r="X64" s="826">
        <f t="shared" si="11"/>
        <v>-0.5154079664103306</v>
      </c>
      <c r="Y64" s="826">
        <f t="shared" si="12"/>
        <v>-2.1740128109567562</v>
      </c>
      <c r="Z64" s="832">
        <f t="shared" si="13"/>
        <v>-0.13438918172123818</v>
      </c>
    </row>
    <row r="65" spans="1:26" ht="20.100000000000001" customHeight="1" x14ac:dyDescent="0.2">
      <c r="A65" s="801">
        <f t="shared" si="8"/>
        <v>88</v>
      </c>
      <c r="B65" s="803">
        <v>42321</v>
      </c>
      <c r="C65" s="837">
        <v>2023.04</v>
      </c>
      <c r="D65" s="817">
        <f t="shared" si="4"/>
        <v>-1.1207397957936852E-2</v>
      </c>
      <c r="E65" s="805">
        <f t="shared" si="24"/>
        <v>-3.7765643728239609E-2</v>
      </c>
      <c r="F65" s="806">
        <v>4927.88</v>
      </c>
      <c r="G65" s="817">
        <f t="shared" si="1"/>
        <v>-1.5424328881855999E-2</v>
      </c>
      <c r="H65" s="818">
        <f t="shared" si="6"/>
        <v>-3.217393012157034E-2</v>
      </c>
      <c r="I65" s="807">
        <v>335955</v>
      </c>
      <c r="J65" s="808">
        <v>400000</v>
      </c>
      <c r="K65" s="808">
        <f t="shared" si="20"/>
        <v>454.38000000000466</v>
      </c>
      <c r="L65" s="817">
        <f t="shared" si="7"/>
        <v>1.3543343079366133E-3</v>
      </c>
      <c r="M65" s="836">
        <f t="shared" si="22"/>
        <v>-64045</v>
      </c>
      <c r="N65" s="811">
        <f t="shared" si="23"/>
        <v>-0.16011249999999999</v>
      </c>
      <c r="O65" s="811">
        <f t="shared" si="10"/>
        <v>-0.66455784801136364</v>
      </c>
      <c r="P65" s="836" t="b">
        <f t="shared" si="21"/>
        <v>1</v>
      </c>
      <c r="Q65" s="811">
        <f>COUNTIF(P$2:P65, TRUE)/(COUNTIF(P$2:P65,FALSE) + COUNTIF(P$2:P65, TRUE))</f>
        <v>0.421875</v>
      </c>
      <c r="R65" s="812"/>
      <c r="S65" s="812"/>
      <c r="T65" s="812"/>
      <c r="U65" s="812"/>
      <c r="V65" s="811">
        <f>STDEV(D$2:D65)*SQRT(252)</f>
        <v>0.21809630494176296</v>
      </c>
      <c r="W65" s="811">
        <f>STDEV(L$2:L65)*SQRT(252)</f>
        <v>0.30890912442956392</v>
      </c>
      <c r="X65" s="826">
        <f t="shared" si="11"/>
        <v>-0.71871405279501854</v>
      </c>
      <c r="Y65" s="826">
        <f t="shared" si="12"/>
        <v>-2.1513053369289294</v>
      </c>
      <c r="Z65" s="832">
        <f t="shared" si="13"/>
        <v>-0.12234685627176038</v>
      </c>
    </row>
    <row r="66" spans="1:26" ht="20.100000000000001" customHeight="1" x14ac:dyDescent="0.2">
      <c r="A66" s="801">
        <f t="shared" si="8"/>
        <v>91</v>
      </c>
      <c r="B66" s="820">
        <v>42324</v>
      </c>
      <c r="C66" s="843">
        <v>2053.19</v>
      </c>
      <c r="D66" s="817">
        <f t="shared" si="4"/>
        <v>1.4903313824739053E-2</v>
      </c>
      <c r="E66" s="844">
        <f t="shared" si="24"/>
        <v>-2.3425163143775803E-2</v>
      </c>
      <c r="F66" s="841">
        <v>4984.62</v>
      </c>
      <c r="G66" s="817">
        <f t="shared" si="1"/>
        <v>1.1514079076600847E-2</v>
      </c>
      <c r="H66" s="822">
        <f t="shared" si="6"/>
        <v>-2.1030304220594286E-2</v>
      </c>
      <c r="I66" s="824">
        <v>342834.39</v>
      </c>
      <c r="J66" s="825">
        <v>400000</v>
      </c>
      <c r="K66" s="825">
        <f t="shared" si="20"/>
        <v>6879.390000000014</v>
      </c>
      <c r="L66" s="817">
        <f t="shared" si="7"/>
        <v>2.047711747108992E-2</v>
      </c>
      <c r="M66" s="842">
        <f t="shared" si="22"/>
        <v>-57165.609999999986</v>
      </c>
      <c r="N66" s="827">
        <f t="shared" si="23"/>
        <v>-0.14291402499999997</v>
      </c>
      <c r="O66" s="811">
        <f t="shared" si="10"/>
        <v>-0.57361920473901085</v>
      </c>
      <c r="P66" s="842" t="b">
        <f t="shared" si="21"/>
        <v>1</v>
      </c>
      <c r="Q66" s="827">
        <f>COUNTIF(P$2:P66, TRUE)/(COUNTIF(P$2:P66,FALSE) + COUNTIF(P$2:P66, TRUE))</f>
        <v>0.43076923076923079</v>
      </c>
      <c r="R66" s="828"/>
      <c r="S66" s="828"/>
      <c r="T66" s="828"/>
      <c r="U66" s="828"/>
      <c r="V66" s="827">
        <f>STDEV(D$2:D66)*SQRT(252)</f>
        <v>0.2185117014996438</v>
      </c>
      <c r="W66" s="827">
        <f>STDEV(L$2:L66)*SQRT(252)</f>
        <v>0.30942792293284299</v>
      </c>
      <c r="X66" s="826">
        <f t="shared" si="11"/>
        <v>-0.43028554603179631</v>
      </c>
      <c r="Y66" s="826">
        <f t="shared" si="12"/>
        <v>-1.8538055625429346</v>
      </c>
      <c r="Z66" s="832">
        <f t="shared" si="13"/>
        <v>-0.11948886185622418</v>
      </c>
    </row>
    <row r="67" spans="1:26" ht="20.100000000000001" customHeight="1" x14ac:dyDescent="0.2">
      <c r="A67" s="801">
        <f t="shared" si="8"/>
        <v>92</v>
      </c>
      <c r="B67" s="820">
        <v>42325</v>
      </c>
      <c r="C67" s="843">
        <v>2050.44</v>
      </c>
      <c r="D67" s="817">
        <f t="shared" si="4"/>
        <v>-1.3393792099123801E-3</v>
      </c>
      <c r="E67" s="844">
        <f t="shared" si="24"/>
        <v>-2.4733167177184604E-2</v>
      </c>
      <c r="F67" s="841">
        <v>4986.01</v>
      </c>
      <c r="G67" s="817">
        <f t="shared" ref="G67:G131" si="25">(F67-F66)/F66</f>
        <v>2.7885776648978807E-4</v>
      </c>
      <c r="H67" s="822">
        <f t="shared" ref="H67:H84" si="26">(F67-F$2)/F$2</f>
        <v>-2.0757310917768054E-2</v>
      </c>
      <c r="I67" s="824">
        <v>341363.07</v>
      </c>
      <c r="J67" s="825">
        <v>400000</v>
      </c>
      <c r="K67" s="825">
        <f t="shared" si="20"/>
        <v>-1471.320000000007</v>
      </c>
      <c r="L67" s="817">
        <f t="shared" si="7"/>
        <v>-4.2916348036146747E-3</v>
      </c>
      <c r="M67" s="842">
        <f t="shared" si="22"/>
        <v>-58636.929999999993</v>
      </c>
      <c r="N67" s="827">
        <f t="shared" si="23"/>
        <v>-0.146592325</v>
      </c>
      <c r="O67" s="811">
        <f t="shared" si="10"/>
        <v>-0.58198746419836955</v>
      </c>
      <c r="P67" s="842" t="b">
        <f t="shared" si="21"/>
        <v>0</v>
      </c>
      <c r="Q67" s="827">
        <f>COUNTIF(P$2:P67, TRUE)/(COUNTIF(P$2:P67,FALSE) + COUNTIF(P$2:P67, TRUE))</f>
        <v>0.42424242424242425</v>
      </c>
      <c r="R67" s="828"/>
      <c r="S67" s="828"/>
      <c r="T67" s="828"/>
      <c r="U67" s="828"/>
      <c r="V67" s="827">
        <f>STDEV(D$2:D67)*SQRT(252)</f>
        <v>0.21680795188349017</v>
      </c>
      <c r="W67" s="827">
        <f>STDEV(L$2:L67)*SQRT(252)</f>
        <v>0.30707902780871166</v>
      </c>
      <c r="X67" s="826">
        <f t="shared" si="11"/>
        <v>-0.45290479997674349</v>
      </c>
      <c r="Y67" s="826">
        <f t="shared" si="12"/>
        <v>-1.8952367680443036</v>
      </c>
      <c r="Z67" s="832">
        <f t="shared" si="13"/>
        <v>-0.12185915782281539</v>
      </c>
    </row>
    <row r="68" spans="1:26" ht="20.100000000000001" customHeight="1" x14ac:dyDescent="0.2">
      <c r="A68" s="801">
        <f t="shared" si="8"/>
        <v>93</v>
      </c>
      <c r="B68" s="820">
        <v>42326</v>
      </c>
      <c r="C68" s="843">
        <v>2083.58</v>
      </c>
      <c r="D68" s="817">
        <f t="shared" ref="D68:D132" si="27">(C68-C67)/C67</f>
        <v>1.6162384658902417E-2</v>
      </c>
      <c r="E68" s="844">
        <f t="shared" si="24"/>
        <v>-8.970529480032784E-3</v>
      </c>
      <c r="F68" s="841">
        <v>5075.2</v>
      </c>
      <c r="G68" s="817">
        <f t="shared" si="25"/>
        <v>1.7888050766043308E-2</v>
      </c>
      <c r="H68" s="822">
        <f t="shared" si="26"/>
        <v>-3.2405679831883261E-3</v>
      </c>
      <c r="I68" s="824">
        <v>349578.29</v>
      </c>
      <c r="J68" s="825">
        <v>400000</v>
      </c>
      <c r="K68" s="825">
        <f t="shared" si="20"/>
        <v>8215.2199999999721</v>
      </c>
      <c r="L68" s="817">
        <f t="shared" ref="L68:L131" si="28">K68/I67</f>
        <v>2.4065930740545461E-2</v>
      </c>
      <c r="M68" s="842">
        <f t="shared" si="22"/>
        <v>-50421.710000000021</v>
      </c>
      <c r="N68" s="827">
        <f t="shared" si="23"/>
        <v>-0.12605427500000005</v>
      </c>
      <c r="O68" s="811">
        <f t="shared" si="10"/>
        <v>-0.4950679993951615</v>
      </c>
      <c r="P68" s="842" t="b">
        <f t="shared" si="21"/>
        <v>1</v>
      </c>
      <c r="Q68" s="827">
        <f>COUNTIF(P$2:P68, TRUE)/(COUNTIF(P$2:P68,FALSE) + COUNTIF(P$2:P68, TRUE))</f>
        <v>0.43283582089552236</v>
      </c>
      <c r="R68" s="828"/>
      <c r="S68" s="828"/>
      <c r="T68" s="828"/>
      <c r="U68" s="828"/>
      <c r="V68" s="827">
        <f>STDEV(D$2:D68)*SQRT(252)</f>
        <v>0.21752341302178005</v>
      </c>
      <c r="W68" s="827">
        <f>STDEV(L$2:L68)*SQRT(252)</f>
        <v>0.30856663188820815</v>
      </c>
      <c r="X68" s="826">
        <f t="shared" si="11"/>
        <v>-0.16196431737444461</v>
      </c>
      <c r="Y68" s="826">
        <f t="shared" si="12"/>
        <v>-1.6044119753509889</v>
      </c>
      <c r="Z68" s="832">
        <f t="shared" si="13"/>
        <v>-0.11708374551996727</v>
      </c>
    </row>
    <row r="69" spans="1:26" ht="20.100000000000001" customHeight="1" x14ac:dyDescent="0.2">
      <c r="A69" s="801">
        <f t="shared" si="8"/>
        <v>94</v>
      </c>
      <c r="B69" s="820">
        <v>42327</v>
      </c>
      <c r="C69" s="843">
        <v>2081.2399999999998</v>
      </c>
      <c r="D69" s="817">
        <f t="shared" si="27"/>
        <v>-1.1230670288638524E-3</v>
      </c>
      <c r="E69" s="844">
        <f t="shared" si="24"/>
        <v>-1.0083522003006161E-2</v>
      </c>
      <c r="F69" s="841">
        <v>5073.63</v>
      </c>
      <c r="G69" s="817">
        <f t="shared" si="25"/>
        <v>-3.0934741488014442E-4</v>
      </c>
      <c r="H69" s="822">
        <f t="shared" si="26"/>
        <v>-3.5489129367401282E-3</v>
      </c>
      <c r="I69" s="824">
        <v>351509.95</v>
      </c>
      <c r="J69" s="825">
        <v>400000</v>
      </c>
      <c r="K69" s="825">
        <f t="shared" si="20"/>
        <v>1931.6600000000326</v>
      </c>
      <c r="L69" s="817">
        <f t="shared" si="28"/>
        <v>5.5256863920240375E-3</v>
      </c>
      <c r="M69" s="842">
        <f t="shared" si="22"/>
        <v>-48490.049999999988</v>
      </c>
      <c r="N69" s="827">
        <f t="shared" si="23"/>
        <v>-0.12122512499999998</v>
      </c>
      <c r="O69" s="811">
        <f t="shared" si="10"/>
        <v>-0.47103698836436159</v>
      </c>
      <c r="P69" s="842" t="b">
        <f t="shared" si="21"/>
        <v>1</v>
      </c>
      <c r="Q69" s="827">
        <f>COUNTIF(P$2:P69, TRUE)/(COUNTIF(P$2:P69,FALSE) + COUNTIF(P$2:P69, TRUE))</f>
        <v>0.44117647058823528</v>
      </c>
      <c r="R69" s="828"/>
      <c r="S69" s="828"/>
      <c r="T69" s="828"/>
      <c r="U69" s="828"/>
      <c r="V69" s="827">
        <f>STDEV(D$2:D69)*SQRT(252)</f>
        <v>0.21587936448621181</v>
      </c>
      <c r="W69" s="827">
        <f>STDEV(L$2:L69)*SQRT(252)</f>
        <v>0.30643952094821814</v>
      </c>
      <c r="X69" s="826">
        <f t="shared" si="11"/>
        <v>-0.18149450905402137</v>
      </c>
      <c r="Y69" s="826">
        <f t="shared" si="12"/>
        <v>-1.5371287192553631</v>
      </c>
      <c r="Z69" s="832">
        <f t="shared" si="13"/>
        <v>-0.11114160299699381</v>
      </c>
    </row>
    <row r="70" spans="1:26" ht="20.100000000000001" customHeight="1" x14ac:dyDescent="0.2">
      <c r="A70" s="801">
        <f t="shared" si="8"/>
        <v>95</v>
      </c>
      <c r="B70" s="820">
        <v>42328</v>
      </c>
      <c r="C70" s="845">
        <v>2089.17</v>
      </c>
      <c r="D70" s="817">
        <f t="shared" si="27"/>
        <v>3.8102285176146392E-3</v>
      </c>
      <c r="E70" s="844">
        <f t="shared" si="24"/>
        <v>-6.3117140084853699E-3</v>
      </c>
      <c r="F70" s="841">
        <v>5104.92</v>
      </c>
      <c r="G70" s="817">
        <f t="shared" si="25"/>
        <v>6.1671820767379495E-3</v>
      </c>
      <c r="H70" s="822">
        <f t="shared" si="26"/>
        <v>2.5963823477424546E-3</v>
      </c>
      <c r="I70" s="824">
        <v>349809.33</v>
      </c>
      <c r="J70" s="825">
        <v>400000</v>
      </c>
      <c r="K70" s="825">
        <f t="shared" si="20"/>
        <v>-1700.6199999999953</v>
      </c>
      <c r="L70" s="817">
        <f t="shared" si="28"/>
        <v>-4.8380422801687275E-3</v>
      </c>
      <c r="M70" s="842">
        <f t="shared" si="22"/>
        <v>-50190.669999999984</v>
      </c>
      <c r="N70" s="827">
        <f t="shared" si="23"/>
        <v>-0.12547667499999995</v>
      </c>
      <c r="O70" s="811">
        <f t="shared" si="10"/>
        <v>-0.48242479519736825</v>
      </c>
      <c r="P70" s="842" t="b">
        <f t="shared" si="21"/>
        <v>0</v>
      </c>
      <c r="Q70" s="827">
        <f>COUNTIF(P$2:P70, TRUE)/(COUNTIF(P$2:P70,FALSE) + COUNTIF(P$2:P70, TRUE))</f>
        <v>0.43478260869565216</v>
      </c>
      <c r="R70" s="828"/>
      <c r="S70" s="828"/>
      <c r="T70" s="828"/>
      <c r="U70" s="828"/>
      <c r="V70" s="827">
        <f>STDEV(D$2:D70)*SQRT(252)</f>
        <v>0.21439176321013317</v>
      </c>
      <c r="W70" s="827">
        <f>STDEV(L$2:L70)*SQRT(252)</f>
        <v>0.30426600271918647</v>
      </c>
      <c r="X70" s="826">
        <f t="shared" si="11"/>
        <v>-0.11318942025524899</v>
      </c>
      <c r="Y70" s="826">
        <f t="shared" si="12"/>
        <v>-1.5855363099590469</v>
      </c>
      <c r="Z70" s="832">
        <f t="shared" si="13"/>
        <v>-0.11916496099151458</v>
      </c>
    </row>
    <row r="71" spans="1:26" ht="20.100000000000001" customHeight="1" x14ac:dyDescent="0.2">
      <c r="A71" s="801">
        <f t="shared" ref="A71:A134" si="29">B71-$B$2</f>
        <v>98</v>
      </c>
      <c r="B71" s="803">
        <v>42331</v>
      </c>
      <c r="C71" s="804">
        <v>2086.59</v>
      </c>
      <c r="D71" s="817">
        <f t="shared" si="27"/>
        <v>-1.2349401915592924E-3</v>
      </c>
      <c r="E71" s="805">
        <f t="shared" si="24"/>
        <v>-7.5388596107379561E-3</v>
      </c>
      <c r="F71" s="806">
        <v>5102.47</v>
      </c>
      <c r="G71" s="817">
        <f t="shared" si="25"/>
        <v>-4.7992916637279687E-4</v>
      </c>
      <c r="H71" s="818">
        <f t="shared" si="26"/>
        <v>2.1152071017539204E-3</v>
      </c>
      <c r="I71" s="807">
        <v>352380.62</v>
      </c>
      <c r="J71" s="808">
        <v>400000</v>
      </c>
      <c r="K71" s="808">
        <f t="shared" si="20"/>
        <v>2571.289999999979</v>
      </c>
      <c r="L71" s="817">
        <f t="shared" si="28"/>
        <v>7.3505472252554807E-3</v>
      </c>
      <c r="M71" s="836">
        <f t="shared" si="22"/>
        <v>-47619.380000000005</v>
      </c>
      <c r="N71" s="811">
        <f t="shared" si="23"/>
        <v>-0.11904845000000001</v>
      </c>
      <c r="O71" s="811">
        <f t="shared" ref="O71:O134" si="30">N71/(A71/365.25)</f>
        <v>-0.44369843227040823</v>
      </c>
      <c r="P71" s="836" t="b">
        <f t="shared" si="21"/>
        <v>1</v>
      </c>
      <c r="Q71" s="811">
        <f>COUNTIF(P$2:P71, TRUE)/(COUNTIF(P$2:P71,FALSE) + COUNTIF(P$2:P71, TRUE))</f>
        <v>0.44285714285714284</v>
      </c>
      <c r="R71" s="812"/>
      <c r="S71" s="812"/>
      <c r="T71" s="812"/>
      <c r="U71" s="812"/>
      <c r="V71" s="811">
        <f>STDEV(D$2:D71)*SQRT(252)</f>
        <v>0.21282253565490999</v>
      </c>
      <c r="W71" s="811">
        <f>STDEV(L$2:L71)*SQRT(252)</f>
        <v>0.30238621984250691</v>
      </c>
      <c r="X71" s="826">
        <f t="shared" si="11"/>
        <v>-0.13202378869940726</v>
      </c>
      <c r="Y71" s="826">
        <f t="shared" si="12"/>
        <v>-1.4673235853852784</v>
      </c>
      <c r="Z71" s="832">
        <f t="shared" si="13"/>
        <v>-0.11150959038926206</v>
      </c>
    </row>
    <row r="72" spans="1:26" ht="20.100000000000001" customHeight="1" x14ac:dyDescent="0.2">
      <c r="A72" s="801">
        <f t="shared" si="29"/>
        <v>99</v>
      </c>
      <c r="B72" s="803">
        <v>42332</v>
      </c>
      <c r="C72" s="804">
        <v>2089.14</v>
      </c>
      <c r="D72" s="817">
        <f t="shared" si="27"/>
        <v>1.2220896294910485E-3</v>
      </c>
      <c r="E72" s="805">
        <f t="shared" si="24"/>
        <v>-6.3259831433953792E-3</v>
      </c>
      <c r="F72" s="806">
        <v>5102.8</v>
      </c>
      <c r="G72" s="817">
        <f t="shared" si="25"/>
        <v>6.4674559576034202E-5</v>
      </c>
      <c r="H72" s="818">
        <f t="shared" si="26"/>
        <v>2.1800184614176729E-3</v>
      </c>
      <c r="I72" s="807">
        <v>356994.69</v>
      </c>
      <c r="J72" s="808">
        <v>400000</v>
      </c>
      <c r="K72" s="808">
        <f t="shared" si="20"/>
        <v>4614.070000000007</v>
      </c>
      <c r="L72" s="817">
        <f t="shared" si="28"/>
        <v>1.309399478325456E-2</v>
      </c>
      <c r="M72" s="836">
        <f t="shared" si="22"/>
        <v>-43005.31</v>
      </c>
      <c r="N72" s="811">
        <f t="shared" si="23"/>
        <v>-0.10751327499999999</v>
      </c>
      <c r="O72" s="811">
        <f t="shared" si="30"/>
        <v>-0.39665882518939388</v>
      </c>
      <c r="P72" s="836" t="b">
        <f t="shared" si="21"/>
        <v>1</v>
      </c>
      <c r="Q72" s="811">
        <f>COUNTIF(P$2:P72, TRUE)/(COUNTIF(P$2:P72,FALSE) + COUNTIF(P$2:P72, TRUE))</f>
        <v>0.45070422535211269</v>
      </c>
      <c r="R72" s="812"/>
      <c r="S72" s="812"/>
      <c r="T72" s="812"/>
      <c r="U72" s="812"/>
      <c r="V72" s="811">
        <f>STDEV(D$2:D72)*SQRT(252)</f>
        <v>0.21128787806615651</v>
      </c>
      <c r="W72" s="811">
        <f>STDEV(L$2:L72)*SQRT(252)</f>
        <v>0.30126350583982381</v>
      </c>
      <c r="X72" s="826">
        <f t="shared" si="11"/>
        <v>-0.11046087491419374</v>
      </c>
      <c r="Y72" s="826">
        <f t="shared" si="12"/>
        <v>-1.3166507641993983</v>
      </c>
      <c r="Z72" s="832">
        <f t="shared" si="13"/>
        <v>-0.10118729185660461</v>
      </c>
    </row>
    <row r="73" spans="1:26" ht="20.100000000000001" customHeight="1" x14ac:dyDescent="0.2">
      <c r="A73" s="801">
        <f t="shared" si="29"/>
        <v>100</v>
      </c>
      <c r="B73" s="803">
        <v>42333</v>
      </c>
      <c r="C73" s="804">
        <v>2088.87</v>
      </c>
      <c r="D73" s="817">
        <f t="shared" si="27"/>
        <v>-1.2923978287715607E-4</v>
      </c>
      <c r="E73" s="805">
        <f t="shared" si="24"/>
        <v>-6.4544053575845989E-3</v>
      </c>
      <c r="F73" s="806">
        <v>5116.1400000000003</v>
      </c>
      <c r="G73" s="817">
        <f t="shared" si="25"/>
        <v>2.6142509994513102E-3</v>
      </c>
      <c r="H73" s="818">
        <f t="shared" si="26"/>
        <v>4.7999685763105661E-3</v>
      </c>
      <c r="I73" s="807">
        <v>357953.42</v>
      </c>
      <c r="J73" s="808">
        <v>400000</v>
      </c>
      <c r="K73" s="808">
        <f t="shared" si="20"/>
        <v>958.72999999998137</v>
      </c>
      <c r="L73" s="817">
        <f t="shared" si="28"/>
        <v>2.6855581521394098E-3</v>
      </c>
      <c r="M73" s="836">
        <f t="shared" si="22"/>
        <v>-42046.580000000016</v>
      </c>
      <c r="N73" s="811">
        <f t="shared" si="23"/>
        <v>-0.10511645000000004</v>
      </c>
      <c r="O73" s="811">
        <f t="shared" si="30"/>
        <v>-0.38393783362500017</v>
      </c>
      <c r="P73" s="836" t="b">
        <f t="shared" si="21"/>
        <v>1</v>
      </c>
      <c r="Q73" s="811">
        <f>COUNTIF(P$2:P73, TRUE)/(COUNTIF(P$2:P73,FALSE) + COUNTIF(P$2:P73, TRUE))</f>
        <v>0.45833333333333331</v>
      </c>
      <c r="R73" s="812"/>
      <c r="S73" s="812"/>
      <c r="T73" s="812"/>
      <c r="U73" s="812"/>
      <c r="V73" s="811">
        <f>STDEV(D$2:D73)*SQRT(252)</f>
        <v>0.20977338456133537</v>
      </c>
      <c r="W73" s="811">
        <f>STDEV(L$2:L73)*SQRT(252)</f>
        <v>0.29915075312421052</v>
      </c>
      <c r="X73" s="826">
        <f t="shared" si="11"/>
        <v>-0.11238182392811977</v>
      </c>
      <c r="Y73" s="826">
        <f t="shared" si="12"/>
        <v>-1.2834259302886835</v>
      </c>
      <c r="Z73" s="832">
        <f t="shared" si="13"/>
        <v>-9.8662044642415445E-2</v>
      </c>
    </row>
    <row r="74" spans="1:26" ht="20.100000000000001" customHeight="1" x14ac:dyDescent="0.2">
      <c r="A74" s="801">
        <f t="shared" si="29"/>
        <v>102</v>
      </c>
      <c r="B74" s="803">
        <v>42335</v>
      </c>
      <c r="C74" s="837">
        <v>2090.11</v>
      </c>
      <c r="D74" s="817">
        <f t="shared" si="27"/>
        <v>5.9362238913873841E-4</v>
      </c>
      <c r="E74" s="805">
        <f t="shared" si="24"/>
        <v>-5.8646144479746996E-3</v>
      </c>
      <c r="F74" s="806">
        <v>5127.5200000000004</v>
      </c>
      <c r="G74" s="817">
        <f t="shared" si="25"/>
        <v>2.2243331886930592E-3</v>
      </c>
      <c r="H74" s="818">
        <f t="shared" si="26"/>
        <v>7.0349784944125967E-3</v>
      </c>
      <c r="I74" s="807">
        <v>355463.47</v>
      </c>
      <c r="J74" s="808">
        <v>400000</v>
      </c>
      <c r="K74" s="808">
        <f t="shared" si="20"/>
        <v>-2489.9500000000116</v>
      </c>
      <c r="L74" s="817">
        <f t="shared" si="28"/>
        <v>-6.9560726644265942E-3</v>
      </c>
      <c r="M74" s="836">
        <f t="shared" si="22"/>
        <v>-44536.530000000028</v>
      </c>
      <c r="N74" s="811">
        <f t="shared" si="23"/>
        <v>-0.11134132500000007</v>
      </c>
      <c r="O74" s="811">
        <f t="shared" si="30"/>
        <v>-0.39870018584558853</v>
      </c>
      <c r="P74" s="836" t="b">
        <f t="shared" si="21"/>
        <v>0</v>
      </c>
      <c r="Q74" s="811">
        <f>COUNTIF(P$2:P74, TRUE)/(COUNTIF(P$2:P74,FALSE) + COUNTIF(P$2:P74, TRUE))</f>
        <v>0.45205479452054792</v>
      </c>
      <c r="R74" s="812"/>
      <c r="S74" s="812"/>
      <c r="T74" s="812"/>
      <c r="U74" s="812"/>
      <c r="V74" s="811">
        <f>STDEV(D$2:D74)*SQRT(252)</f>
        <v>0.20829387869007757</v>
      </c>
      <c r="W74" s="811">
        <f>STDEV(L$2:L74)*SQRT(252)</f>
        <v>0.29731455796464418</v>
      </c>
      <c r="X74" s="826">
        <f t="shared" si="11"/>
        <v>-0.10082146684110337</v>
      </c>
      <c r="Y74" s="826">
        <f t="shared" si="12"/>
        <v>-1.3410045864387201</v>
      </c>
      <c r="Z74" s="832">
        <f t="shared" si="13"/>
        <v>-0.10547671055202537</v>
      </c>
    </row>
    <row r="75" spans="1:26" ht="20.100000000000001" customHeight="1" x14ac:dyDescent="0.2">
      <c r="A75" s="801">
        <f t="shared" si="29"/>
        <v>105</v>
      </c>
      <c r="B75" s="820">
        <v>42338</v>
      </c>
      <c r="C75" s="843">
        <v>2080.41</v>
      </c>
      <c r="D75" s="817">
        <f t="shared" si="27"/>
        <v>-4.6409040672501789E-3</v>
      </c>
      <c r="E75" s="844">
        <f t="shared" si="24"/>
        <v>-1.0478301402180418E-2</v>
      </c>
      <c r="F75" s="841">
        <v>5108.66</v>
      </c>
      <c r="G75" s="817">
        <f t="shared" si="25"/>
        <v>-3.6781914063720045E-3</v>
      </c>
      <c r="H75" s="822">
        <f t="shared" si="26"/>
        <v>3.3309110905984322E-3</v>
      </c>
      <c r="I75" s="847">
        <v>358262.29</v>
      </c>
      <c r="J75" s="825">
        <v>400000</v>
      </c>
      <c r="K75" s="825">
        <f t="shared" si="20"/>
        <v>2798.820000000007</v>
      </c>
      <c r="L75" s="817">
        <f t="shared" si="28"/>
        <v>7.8737204697855653E-3</v>
      </c>
      <c r="M75" s="842">
        <f t="shared" si="22"/>
        <v>-41737.710000000021</v>
      </c>
      <c r="N75" s="827">
        <f t="shared" si="23"/>
        <v>-0.10434427500000006</v>
      </c>
      <c r="O75" s="811">
        <f t="shared" si="30"/>
        <v>-0.36296901375000024</v>
      </c>
      <c r="P75" s="842" t="b">
        <f t="shared" si="21"/>
        <v>1</v>
      </c>
      <c r="Q75" s="827">
        <f>COUNTIF(P$2:P75, TRUE)/(COUNTIF(P$2:P75,FALSE) + COUNTIF(P$2:P75, TRUE))</f>
        <v>0.45945945945945948</v>
      </c>
      <c r="R75" s="828"/>
      <c r="S75" s="828"/>
      <c r="T75" s="828"/>
      <c r="U75" s="828"/>
      <c r="V75" s="827">
        <f>STDEV(D$2:D75)*SQRT(252)</f>
        <v>0.20702224585874895</v>
      </c>
      <c r="W75" s="827">
        <f>STDEV(L$2:L75)*SQRT(252)</f>
        <v>0.29562170062555598</v>
      </c>
      <c r="X75" s="826">
        <f t="shared" si="11"/>
        <v>-0.17606571567412233</v>
      </c>
      <c r="Y75" s="826">
        <f t="shared" si="12"/>
        <v>-1.2278158639299235</v>
      </c>
      <c r="Z75" s="832">
        <f t="shared" si="13"/>
        <v>-9.3865973597819632E-2</v>
      </c>
    </row>
    <row r="76" spans="1:26" ht="20.100000000000001" customHeight="1" x14ac:dyDescent="0.2">
      <c r="A76" s="801">
        <f t="shared" si="29"/>
        <v>106</v>
      </c>
      <c r="B76" s="820">
        <v>42339</v>
      </c>
      <c r="C76" s="843">
        <v>2102.63</v>
      </c>
      <c r="D76" s="817">
        <f t="shared" si="27"/>
        <v>1.0680586999678072E-2</v>
      </c>
      <c r="E76" s="844">
        <f t="shared" si="24"/>
        <v>9.0371187762815854E-5</v>
      </c>
      <c r="F76" s="841">
        <v>5156.3</v>
      </c>
      <c r="G76" s="817">
        <f t="shared" si="25"/>
        <v>9.3253416747249435E-3</v>
      </c>
      <c r="H76" s="822">
        <f t="shared" si="26"/>
        <v>1.2687314649331337E-2</v>
      </c>
      <c r="I76" s="824">
        <v>361281.91</v>
      </c>
      <c r="J76" s="825">
        <v>400000</v>
      </c>
      <c r="K76" s="825">
        <f t="shared" si="20"/>
        <v>3019.6199999999953</v>
      </c>
      <c r="L76" s="817">
        <f t="shared" si="28"/>
        <v>8.4285175534382795E-3</v>
      </c>
      <c r="M76" s="842">
        <f t="shared" si="22"/>
        <v>-38718.090000000026</v>
      </c>
      <c r="N76" s="827">
        <f t="shared" si="23"/>
        <v>-9.6795225000000068E-2</v>
      </c>
      <c r="O76" s="811">
        <f t="shared" si="30"/>
        <v>-0.33353260312500022</v>
      </c>
      <c r="P76" s="842" t="b">
        <f t="shared" si="21"/>
        <v>0</v>
      </c>
      <c r="Q76" s="827">
        <f>COUNTIF(P$2:P76, TRUE)/(COUNTIF(P$2:P76,FALSE) + COUNTIF(P$2:P76, TRUE))</f>
        <v>0.45333333333333331</v>
      </c>
      <c r="R76" s="828"/>
      <c r="S76" s="828"/>
      <c r="T76" s="828"/>
      <c r="U76" s="828"/>
      <c r="V76" s="827">
        <f>STDEV(D$2:D76)*SQRT(252)</f>
        <v>0.20655260318517649</v>
      </c>
      <c r="W76" s="827">
        <f>STDEV(L$2:L76)*SQRT(252)</f>
        <v>0.29400855496408335</v>
      </c>
      <c r="X76" s="826">
        <f t="shared" si="11"/>
        <v>1.5075914886133863E-3</v>
      </c>
      <c r="Y76" s="826">
        <f t="shared" si="12"/>
        <v>-1.134431626201303</v>
      </c>
      <c r="Z76" s="832">
        <f t="shared" si="13"/>
        <v>-9.6885596187762879E-2</v>
      </c>
    </row>
    <row r="77" spans="1:26" ht="20.100000000000001" customHeight="1" x14ac:dyDescent="0.2">
      <c r="A77" s="801">
        <f t="shared" si="29"/>
        <v>107</v>
      </c>
      <c r="B77" s="820">
        <v>42340</v>
      </c>
      <c r="C77" s="843">
        <v>2079.5100000000002</v>
      </c>
      <c r="D77" s="817">
        <f t="shared" si="27"/>
        <v>-1.0995752937987135E-2</v>
      </c>
      <c r="E77" s="844">
        <f t="shared" si="24"/>
        <v>-1.0906375449477671E-2</v>
      </c>
      <c r="F77" s="841">
        <v>5123.22</v>
      </c>
      <c r="G77" s="817">
        <f t="shared" si="25"/>
        <v>-6.415452941062375E-3</v>
      </c>
      <c r="H77" s="822">
        <f t="shared" si="26"/>
        <v>6.1904668381877245E-3</v>
      </c>
      <c r="I77" s="824">
        <v>349641.2</v>
      </c>
      <c r="J77" s="825">
        <v>400000</v>
      </c>
      <c r="K77" s="825">
        <f t="shared" si="20"/>
        <v>-11640.709999999963</v>
      </c>
      <c r="L77" s="817">
        <f t="shared" si="28"/>
        <v>-3.2220572571707129E-2</v>
      </c>
      <c r="M77" s="842">
        <f t="shared" si="22"/>
        <v>-50358.799999999988</v>
      </c>
      <c r="N77" s="827">
        <f t="shared" si="23"/>
        <v>-0.12589699999999998</v>
      </c>
      <c r="O77" s="811">
        <f t="shared" si="30"/>
        <v>-0.42975588084112148</v>
      </c>
      <c r="P77" s="842" t="b">
        <f t="shared" si="21"/>
        <v>0</v>
      </c>
      <c r="Q77" s="827">
        <f>COUNTIF(P$2:P77, TRUE)/(COUNTIF(P$2:P77,FALSE) + COUNTIF(P$2:P77, TRUE))</f>
        <v>0.44736842105263158</v>
      </c>
      <c r="R77" s="828"/>
      <c r="S77" s="828"/>
      <c r="T77" s="828"/>
      <c r="U77" s="828"/>
      <c r="V77" s="827">
        <f>STDEV(D$2:D77)*SQRT(252)</f>
        <v>0.20615523591080137</v>
      </c>
      <c r="W77" s="827">
        <f>STDEV(L$2:L77)*SQRT(252)</f>
        <v>0.29794414920309426</v>
      </c>
      <c r="X77" s="826">
        <f t="shared" si="11"/>
        <v>-0.18058951081399757</v>
      </c>
      <c r="Y77" s="826">
        <f t="shared" si="12"/>
        <v>-1.4424041619564663</v>
      </c>
      <c r="Z77" s="832">
        <f t="shared" si="13"/>
        <v>-0.11499062455052231</v>
      </c>
    </row>
    <row r="78" spans="1:26" ht="20.100000000000001" customHeight="1" x14ac:dyDescent="0.2">
      <c r="A78" s="801">
        <f t="shared" si="29"/>
        <v>108</v>
      </c>
      <c r="B78" s="820">
        <v>42341</v>
      </c>
      <c r="C78" s="843">
        <v>2049.62</v>
      </c>
      <c r="D78" s="817">
        <f t="shared" si="27"/>
        <v>-1.4373578391063435E-2</v>
      </c>
      <c r="E78" s="844">
        <f t="shared" si="24"/>
        <v>-2.5123190198055669E-2</v>
      </c>
      <c r="F78" s="841">
        <v>5037.5200000000004</v>
      </c>
      <c r="G78" s="817">
        <f t="shared" si="25"/>
        <v>-1.6727761056523009E-2</v>
      </c>
      <c r="H78" s="822">
        <f t="shared" si="26"/>
        <v>-1.0640846868432819E-2</v>
      </c>
      <c r="I78" s="824">
        <v>344430.58</v>
      </c>
      <c r="J78" s="825">
        <v>400000</v>
      </c>
      <c r="K78" s="825">
        <f t="shared" si="20"/>
        <v>-5210.6199999999953</v>
      </c>
      <c r="L78" s="817">
        <f t="shared" si="28"/>
        <v>-1.4902763175506763E-2</v>
      </c>
      <c r="M78" s="842">
        <f t="shared" si="22"/>
        <v>-55569.419999999984</v>
      </c>
      <c r="N78" s="827">
        <f t="shared" si="23"/>
        <v>-0.13892354999999995</v>
      </c>
      <c r="O78" s="811">
        <f t="shared" si="30"/>
        <v>-0.46983172812499985</v>
      </c>
      <c r="P78" s="842" t="b">
        <f t="shared" si="21"/>
        <v>0</v>
      </c>
      <c r="Q78" s="827">
        <f>COUNTIF(P$2:P78, TRUE)/(COUNTIF(P$2:P78,FALSE) + COUNTIF(P$2:P78, TRUE))</f>
        <v>0.44155844155844154</v>
      </c>
      <c r="R78" s="828"/>
      <c r="S78" s="828"/>
      <c r="T78" s="828"/>
      <c r="U78" s="828"/>
      <c r="V78" s="827">
        <f>STDEV(D$2:D78)*SQRT(252)</f>
        <v>0.20642766070992974</v>
      </c>
      <c r="W78" s="827">
        <f>STDEV(L$2:L78)*SQRT(252)</f>
        <v>0.29712936975574017</v>
      </c>
      <c r="X78" s="826">
        <f t="shared" si="11"/>
        <v>-0.41159810281640435</v>
      </c>
      <c r="Y78" s="826">
        <f t="shared" si="12"/>
        <v>-1.5812362423520514</v>
      </c>
      <c r="Z78" s="832">
        <f t="shared" si="13"/>
        <v>-0.11380035980194428</v>
      </c>
    </row>
    <row r="79" spans="1:26" ht="20.100000000000001" customHeight="1" x14ac:dyDescent="0.2">
      <c r="A79" s="801">
        <f t="shared" si="29"/>
        <v>109</v>
      </c>
      <c r="B79" s="820">
        <v>42342</v>
      </c>
      <c r="C79" s="843">
        <v>2091.69</v>
      </c>
      <c r="D79" s="817">
        <f t="shared" si="27"/>
        <v>2.0525755993794054E-2</v>
      </c>
      <c r="E79" s="844">
        <f t="shared" si="24"/>
        <v>-5.1131066760525864E-3</v>
      </c>
      <c r="F79" s="841">
        <v>5142.2700000000004</v>
      </c>
      <c r="G79" s="817">
        <f t="shared" si="25"/>
        <v>2.0793962108339021E-2</v>
      </c>
      <c r="H79" s="822">
        <f t="shared" si="26"/>
        <v>9.9318498733233732E-3</v>
      </c>
      <c r="I79" s="824">
        <v>341064.65</v>
      </c>
      <c r="J79" s="825">
        <v>400000</v>
      </c>
      <c r="K79" s="825">
        <f t="shared" si="20"/>
        <v>-3365.929999999993</v>
      </c>
      <c r="L79" s="817">
        <f t="shared" si="28"/>
        <v>-9.7724481955115388E-3</v>
      </c>
      <c r="M79" s="842">
        <f t="shared" si="22"/>
        <v>-58935.349999999977</v>
      </c>
      <c r="N79" s="827">
        <f t="shared" si="23"/>
        <v>-0.14733837499999994</v>
      </c>
      <c r="O79" s="811">
        <f t="shared" si="30"/>
        <v>-0.4937187290711007</v>
      </c>
      <c r="P79" s="842" t="b">
        <f t="shared" si="21"/>
        <v>0</v>
      </c>
      <c r="Q79" s="827">
        <f>COUNTIF(P$2:P79, TRUE)/(COUNTIF(P$2:P79,FALSE) + COUNTIF(P$2:P79, TRUE))</f>
        <v>0.4358974358974359</v>
      </c>
      <c r="R79" s="828"/>
      <c r="S79" s="828"/>
      <c r="T79" s="828"/>
      <c r="U79" s="828"/>
      <c r="V79" s="827">
        <f>STDEV(D$2:D79)*SQRT(252)</f>
        <v>0.2084813160993948</v>
      </c>
      <c r="W79" s="827">
        <f>STDEV(L$2:L79)*SQRT(252)</f>
        <v>0.29563649002359699</v>
      </c>
      <c r="X79" s="826">
        <f t="shared" si="11"/>
        <v>-8.218289585318822E-2</v>
      </c>
      <c r="Y79" s="826">
        <f t="shared" si="12"/>
        <v>-1.6700195873374537</v>
      </c>
      <c r="Z79" s="832">
        <f t="shared" si="13"/>
        <v>-0.14222526832394736</v>
      </c>
    </row>
    <row r="80" spans="1:26" ht="20.100000000000001" customHeight="1" x14ac:dyDescent="0.2">
      <c r="A80" s="801">
        <f t="shared" si="29"/>
        <v>112</v>
      </c>
      <c r="B80" s="803">
        <v>42345</v>
      </c>
      <c r="C80" s="804">
        <v>2077.0700000000002</v>
      </c>
      <c r="D80" s="817">
        <f t="shared" si="27"/>
        <v>-6.9895634630370131E-3</v>
      </c>
      <c r="E80" s="805">
        <f t="shared" si="24"/>
        <v>-1.2066931755484052E-2</v>
      </c>
      <c r="F80" s="806">
        <v>5101.8100000000004</v>
      </c>
      <c r="G80" s="817">
        <f t="shared" si="25"/>
        <v>-7.8681204993125663E-3</v>
      </c>
      <c r="H80" s="818">
        <f t="shared" si="26"/>
        <v>1.9855843824264159E-3</v>
      </c>
      <c r="I80" s="807">
        <v>323555.34000000003</v>
      </c>
      <c r="J80" s="808">
        <v>400000</v>
      </c>
      <c r="K80" s="808">
        <f t="shared" si="20"/>
        <v>-17509.309999999998</v>
      </c>
      <c r="L80" s="817">
        <f t="shared" si="28"/>
        <v>-5.1337217152231981E-2</v>
      </c>
      <c r="M80" s="836">
        <f t="shared" si="22"/>
        <v>-76444.659999999974</v>
      </c>
      <c r="N80" s="811">
        <f t="shared" si="23"/>
        <v>-0.19111164999999994</v>
      </c>
      <c r="O80" s="811">
        <f t="shared" si="30"/>
        <v>-0.6232458050223213</v>
      </c>
      <c r="P80" s="836" t="b">
        <f t="shared" si="21"/>
        <v>0</v>
      </c>
      <c r="Q80" s="811">
        <f>COUNTIF(P$2:P80, TRUE)/(COUNTIF(P$2:P80,FALSE) + COUNTIF(P$2:P80, TRUE))</f>
        <v>0.43037974683544306</v>
      </c>
      <c r="R80" s="812"/>
      <c r="S80" s="812"/>
      <c r="T80" s="812"/>
      <c r="U80" s="812"/>
      <c r="V80" s="811">
        <f>STDEV(D$2:D80)*SQRT(252)</f>
        <v>0.20750582350249624</v>
      </c>
      <c r="W80" s="811">
        <f>STDEV(L$2:L80)*SQRT(252)</f>
        <v>0.3074916653921197</v>
      </c>
      <c r="X80" s="826">
        <f t="shared" si="11"/>
        <v>-0.18964385248917093</v>
      </c>
      <c r="Y80" s="826">
        <f t="shared" si="12"/>
        <v>-2.0268705632315123</v>
      </c>
      <c r="Z80" s="832">
        <f t="shared" si="13"/>
        <v>-0.1790447182445159</v>
      </c>
    </row>
    <row r="81" spans="1:26" ht="20.100000000000001" customHeight="1" x14ac:dyDescent="0.2">
      <c r="A81" s="801">
        <f t="shared" si="29"/>
        <v>113</v>
      </c>
      <c r="B81" s="803">
        <v>42346</v>
      </c>
      <c r="C81" s="804">
        <v>2063.59</v>
      </c>
      <c r="D81" s="817">
        <f t="shared" si="27"/>
        <v>-6.489911269239851E-3</v>
      </c>
      <c r="E81" s="805">
        <f t="shared" si="24"/>
        <v>-1.8478529708338839E-2</v>
      </c>
      <c r="F81" s="806">
        <v>5098.24</v>
      </c>
      <c r="G81" s="817">
        <f t="shared" si="25"/>
        <v>-6.9975165676507318E-4</v>
      </c>
      <c r="H81" s="818">
        <f t="shared" si="26"/>
        <v>1.284443309700093E-3</v>
      </c>
      <c r="I81" s="807">
        <v>320909.52</v>
      </c>
      <c r="J81" s="808">
        <v>400000</v>
      </c>
      <c r="K81" s="808">
        <f t="shared" si="20"/>
        <v>-2645.820000000007</v>
      </c>
      <c r="L81" s="817">
        <f t="shared" si="28"/>
        <v>-8.1773337445149464E-3</v>
      </c>
      <c r="M81" s="836">
        <f t="shared" si="22"/>
        <v>-79090.479999999981</v>
      </c>
      <c r="N81" s="811">
        <f t="shared" si="23"/>
        <v>-0.19772619999999996</v>
      </c>
      <c r="O81" s="811">
        <f t="shared" si="30"/>
        <v>-0.63911057123893789</v>
      </c>
      <c r="P81" s="836" t="b">
        <f t="shared" si="21"/>
        <v>0</v>
      </c>
      <c r="Q81" s="811">
        <f>COUNTIF(P$2:P81, TRUE)/(COUNTIF(P$2:P81,FALSE) + COUNTIF(P$2:P81, TRUE))</f>
        <v>0.42499999999999999</v>
      </c>
      <c r="R81" s="812"/>
      <c r="S81" s="812"/>
      <c r="T81" s="812"/>
      <c r="U81" s="812"/>
      <c r="V81" s="811">
        <f>STDEV(D$2:D81)*SQRT(252)</f>
        <v>0.20648984597109604</v>
      </c>
      <c r="W81" s="811">
        <f>STDEV(L$2:L81)*SQRT(252)</f>
        <v>0.3057577572819663</v>
      </c>
      <c r="X81" s="826">
        <f t="shared" si="11"/>
        <v>-0.28925474590796779</v>
      </c>
      <c r="Y81" s="826">
        <f t="shared" si="12"/>
        <v>-2.0902513706285379</v>
      </c>
      <c r="Z81" s="832">
        <f t="shared" si="13"/>
        <v>-0.17924767029166111</v>
      </c>
    </row>
    <row r="82" spans="1:26" ht="20.100000000000001" customHeight="1" x14ac:dyDescent="0.2">
      <c r="A82" s="801">
        <f t="shared" si="29"/>
        <v>114</v>
      </c>
      <c r="B82" s="803">
        <v>42347</v>
      </c>
      <c r="C82" s="804">
        <v>2047.62</v>
      </c>
      <c r="D82" s="817">
        <f t="shared" si="27"/>
        <v>-7.7389403902908297E-3</v>
      </c>
      <c r="E82" s="805">
        <f t="shared" si="24"/>
        <v>-2.6074465858716617E-2</v>
      </c>
      <c r="F82" s="806">
        <v>5022.8599999999997</v>
      </c>
      <c r="G82" s="817">
        <f t="shared" si="25"/>
        <v>-1.4785494602058772E-2</v>
      </c>
      <c r="H82" s="818">
        <f t="shared" si="26"/>
        <v>-1.3520042421980899E-2</v>
      </c>
      <c r="I82" s="807">
        <v>319453.12</v>
      </c>
      <c r="J82" s="808">
        <v>400000</v>
      </c>
      <c r="K82" s="808">
        <f t="shared" si="20"/>
        <v>-1456.4000000000233</v>
      </c>
      <c r="L82" s="817">
        <f t="shared" si="28"/>
        <v>-4.5383508722334669E-3</v>
      </c>
      <c r="M82" s="836">
        <f t="shared" si="22"/>
        <v>-80546.880000000005</v>
      </c>
      <c r="N82" s="811">
        <f t="shared" si="23"/>
        <v>-0.20136720000000002</v>
      </c>
      <c r="O82" s="811">
        <f t="shared" si="30"/>
        <v>-0.64516991052631578</v>
      </c>
      <c r="P82" s="836" t="b">
        <f t="shared" si="21"/>
        <v>1</v>
      </c>
      <c r="Q82" s="811">
        <f>COUNTIF(P$2:P82, TRUE)/(COUNTIF(P$2:P82,FALSE) + COUNTIF(P$2:P82, TRUE))</f>
        <v>0.43209876543209874</v>
      </c>
      <c r="R82" s="812"/>
      <c r="S82" s="812"/>
      <c r="T82" s="812"/>
      <c r="U82" s="812"/>
      <c r="V82" s="811">
        <f>STDEV(D$2:D82)*SQRT(252)</f>
        <v>0.20562012018240991</v>
      </c>
      <c r="W82" s="811">
        <f>STDEV(L$2:L82)*SQRT(252)</f>
        <v>0.30386643217647319</v>
      </c>
      <c r="X82" s="826">
        <f t="shared" si="11"/>
        <v>-0.40628911313206373</v>
      </c>
      <c r="Y82" s="826">
        <f t="shared" si="12"/>
        <v>-2.1232023093344758</v>
      </c>
      <c r="Z82" s="832">
        <f t="shared" si="13"/>
        <v>-0.17529273414128341</v>
      </c>
    </row>
    <row r="83" spans="1:26" ht="20.100000000000001" customHeight="1" x14ac:dyDescent="0.2">
      <c r="A83" s="801">
        <f t="shared" si="29"/>
        <v>115</v>
      </c>
      <c r="B83" s="803">
        <v>42348</v>
      </c>
      <c r="C83" s="837">
        <v>2052.23</v>
      </c>
      <c r="D83" s="817">
        <f t="shared" si="27"/>
        <v>2.2513943016771315E-3</v>
      </c>
      <c r="E83" s="805">
        <f t="shared" si="24"/>
        <v>-2.3881775460893075E-2</v>
      </c>
      <c r="F83" s="806">
        <v>5045.17</v>
      </c>
      <c r="G83" s="817">
        <f t="shared" si="25"/>
        <v>4.4416925815173825E-3</v>
      </c>
      <c r="H83" s="818">
        <f t="shared" si="26"/>
        <v>-9.1384017125910304E-3</v>
      </c>
      <c r="I83" s="807">
        <v>324246.53999999998</v>
      </c>
      <c r="J83" s="808">
        <v>400000</v>
      </c>
      <c r="K83" s="808">
        <f t="shared" si="20"/>
        <v>4793.4199999999837</v>
      </c>
      <c r="L83" s="817">
        <f t="shared" si="28"/>
        <v>1.5005081183742965E-2</v>
      </c>
      <c r="M83" s="836">
        <f t="shared" si="22"/>
        <v>-75753.460000000021</v>
      </c>
      <c r="N83" s="811">
        <f t="shared" si="23"/>
        <v>-0.18938365000000004</v>
      </c>
      <c r="O83" s="811">
        <f t="shared" si="30"/>
        <v>-0.60149894054347841</v>
      </c>
      <c r="P83" s="836" t="b">
        <f t="shared" si="21"/>
        <v>1</v>
      </c>
      <c r="Q83" s="811">
        <f>COUNTIF(P$2:P83, TRUE)/(COUNTIF(P$2:P83,FALSE) + COUNTIF(P$2:P83, TRUE))</f>
        <v>0.43902439024390244</v>
      </c>
      <c r="R83" s="812"/>
      <c r="S83" s="812"/>
      <c r="T83" s="812"/>
      <c r="U83" s="812"/>
      <c r="V83" s="811">
        <f>STDEV(D$2:D83)*SQRT(252)</f>
        <v>0.20437847650239915</v>
      </c>
      <c r="W83" s="811">
        <f>STDEV(L$2:L83)*SQRT(252)</f>
        <v>0.30335650462124281</v>
      </c>
      <c r="X83" s="826">
        <f t="shared" si="11"/>
        <v>-0.37112809938688945</v>
      </c>
      <c r="Y83" s="826">
        <f t="shared" si="12"/>
        <v>-1.9828120754967253</v>
      </c>
      <c r="Z83" s="832">
        <f t="shared" si="13"/>
        <v>-0.16550187453910697</v>
      </c>
    </row>
    <row r="84" spans="1:26" ht="20.100000000000001" customHeight="1" x14ac:dyDescent="0.2">
      <c r="A84" s="801">
        <f t="shared" si="29"/>
        <v>116</v>
      </c>
      <c r="B84" s="803">
        <v>42349</v>
      </c>
      <c r="C84" s="837">
        <v>2012.37</v>
      </c>
      <c r="D84" s="817">
        <f t="shared" si="27"/>
        <v>-1.9422774250449575E-2</v>
      </c>
      <c r="E84" s="805">
        <f t="shared" si="24"/>
        <v>-4.2840699377865797E-2</v>
      </c>
      <c r="F84" s="806">
        <v>4933.47</v>
      </c>
      <c r="G84" s="817">
        <f t="shared" si="25"/>
        <v>-2.2139987354241743E-2</v>
      </c>
      <c r="H84" s="818">
        <f t="shared" si="26"/>
        <v>-3.1076064968478027E-2</v>
      </c>
      <c r="I84" s="807">
        <v>314974.52</v>
      </c>
      <c r="J84" s="808">
        <v>400000</v>
      </c>
      <c r="K84" s="808">
        <f t="shared" si="20"/>
        <v>-9272.0199999999604</v>
      </c>
      <c r="L84" s="817">
        <f t="shared" si="28"/>
        <v>-2.8595586555834832E-2</v>
      </c>
      <c r="M84" s="836">
        <f t="shared" si="22"/>
        <v>-85025.479999999981</v>
      </c>
      <c r="N84" s="811">
        <f t="shared" si="23"/>
        <v>-0.21256369999999997</v>
      </c>
      <c r="O84" s="811">
        <f t="shared" si="30"/>
        <v>-0.66930078814655158</v>
      </c>
      <c r="P84" s="836" t="b">
        <f t="shared" si="21"/>
        <v>0</v>
      </c>
      <c r="Q84" s="811">
        <f>COUNTIF(P$2:P84, TRUE)/(COUNTIF(P$2:P84,FALSE) + COUNTIF(P$2:P84, TRUE))</f>
        <v>0.43373493975903615</v>
      </c>
      <c r="R84" s="812"/>
      <c r="S84" s="812"/>
      <c r="T84" s="812"/>
      <c r="U84" s="812"/>
      <c r="V84" s="811">
        <f>STDEV(D$2:D84)*SQRT(252)</f>
        <v>0.20588473038733746</v>
      </c>
      <c r="W84" s="811">
        <f>STDEV(L$2:L84)*SQRT(252)</f>
        <v>0.3052608066855817</v>
      </c>
      <c r="X84" s="826">
        <f t="shared" si="11"/>
        <v>-0.65518606129948087</v>
      </c>
      <c r="Y84" s="826">
        <f t="shared" si="12"/>
        <v>-2.1925539521879425</v>
      </c>
      <c r="Z84" s="832">
        <f t="shared" si="13"/>
        <v>-0.16972300062213416</v>
      </c>
    </row>
    <row r="85" spans="1:26" ht="20.100000000000001" customHeight="1" x14ac:dyDescent="0.2">
      <c r="A85" s="801">
        <f t="shared" si="29"/>
        <v>119</v>
      </c>
      <c r="B85" s="820">
        <v>42352</v>
      </c>
      <c r="C85" s="843">
        <v>2021.94</v>
      </c>
      <c r="D85" s="817">
        <f t="shared" si="27"/>
        <v>4.7555866962835681E-3</v>
      </c>
      <c r="E85" s="844">
        <f t="shared" ref="E85:E95" si="31">(C85-$C$2)/$C$2</f>
        <v>-3.8288845341603088E-2</v>
      </c>
      <c r="F85" s="841">
        <v>4871.59</v>
      </c>
      <c r="G85" s="817">
        <f t="shared" si="25"/>
        <v>-1.2542895771130685E-2</v>
      </c>
      <c r="H85" s="822">
        <f t="shared" ref="H85:H106" si="32">(F85-F$2)/F$2</f>
        <v>-4.3229176895732205E-2</v>
      </c>
      <c r="I85" s="824">
        <f>400000-82872.25</f>
        <v>317127.75</v>
      </c>
      <c r="J85" s="825">
        <v>400000</v>
      </c>
      <c r="K85" s="825">
        <f t="shared" si="20"/>
        <v>2153.2299999999814</v>
      </c>
      <c r="L85" s="817">
        <f t="shared" si="28"/>
        <v>6.8362037665776303E-3</v>
      </c>
      <c r="M85" s="842">
        <f t="shared" si="22"/>
        <v>-82872.25</v>
      </c>
      <c r="N85" s="827">
        <f t="shared" si="23"/>
        <v>-0.20718062500000001</v>
      </c>
      <c r="O85" s="811">
        <f t="shared" si="30"/>
        <v>-0.63590523765756302</v>
      </c>
      <c r="P85" s="842" t="b">
        <f t="shared" si="21"/>
        <v>1</v>
      </c>
      <c r="Q85" s="827">
        <f>COUNTIF(P$2:P85, TRUE)/(COUNTIF(P$2:P85,FALSE) + COUNTIF(P$2:P85, TRUE))</f>
        <v>0.44047619047619047</v>
      </c>
      <c r="R85" s="828"/>
      <c r="S85" s="828"/>
      <c r="T85" s="828"/>
      <c r="U85" s="828"/>
      <c r="V85" s="827">
        <f>STDEV(D$2:D85)*SQRT(252)</f>
        <v>0.20482646913198044</v>
      </c>
      <c r="W85" s="827">
        <f>STDEV(L$2:L85)*SQRT(252)</f>
        <v>0.30374972032355096</v>
      </c>
      <c r="X85" s="826">
        <f t="shared" si="11"/>
        <v>-0.57375892528209749</v>
      </c>
      <c r="Y85" s="826">
        <f t="shared" si="12"/>
        <v>-2.093517113300396</v>
      </c>
      <c r="Z85" s="832">
        <f t="shared" si="13"/>
        <v>-0.16889177965839691</v>
      </c>
    </row>
    <row r="86" spans="1:26" ht="20.100000000000001" customHeight="1" x14ac:dyDescent="0.2">
      <c r="A86" s="801">
        <f t="shared" si="29"/>
        <v>120</v>
      </c>
      <c r="B86" s="820">
        <v>42353</v>
      </c>
      <c r="C86" s="843">
        <v>2043.41</v>
      </c>
      <c r="D86" s="817">
        <f t="shared" si="27"/>
        <v>1.0618514891638736E-2</v>
      </c>
      <c r="E86" s="844">
        <f t="shared" si="31"/>
        <v>-2.8076901124407819E-2</v>
      </c>
      <c r="F86" s="841">
        <v>4986.99</v>
      </c>
      <c r="G86" s="817">
        <f t="shared" si="25"/>
        <v>2.3688364579120911E-2</v>
      </c>
      <c r="H86" s="822">
        <f t="shared" si="32"/>
        <v>-2.0564840819372713E-2</v>
      </c>
      <c r="I86" s="824">
        <v>315111.13</v>
      </c>
      <c r="J86" s="825">
        <v>400000</v>
      </c>
      <c r="K86" s="825">
        <f t="shared" si="20"/>
        <v>-2016.6199999999953</v>
      </c>
      <c r="L86" s="817">
        <f t="shared" si="28"/>
        <v>-6.3590146242326487E-3</v>
      </c>
      <c r="M86" s="842">
        <f t="shared" si="22"/>
        <v>-84888.87</v>
      </c>
      <c r="N86" s="827">
        <f t="shared" si="23"/>
        <v>-0.21222217499999999</v>
      </c>
      <c r="O86" s="811">
        <f t="shared" si="30"/>
        <v>-0.64595124515625002</v>
      </c>
      <c r="P86" s="842" t="b">
        <f t="shared" si="21"/>
        <v>0</v>
      </c>
      <c r="Q86" s="827">
        <f>COUNTIF(P$2:P86, TRUE)/(COUNTIF(P$2:P86,FALSE) + COUNTIF(P$2:P86, TRUE))</f>
        <v>0.43529411764705883</v>
      </c>
      <c r="R86" s="828"/>
      <c r="S86" s="828"/>
      <c r="T86" s="828"/>
      <c r="U86" s="828"/>
      <c r="V86" s="827">
        <f>STDEV(D$2:D86)*SQRT(252)</f>
        <v>0.20447942963510182</v>
      </c>
      <c r="W86" s="827">
        <f>STDEV(L$2:L86)*SQRT(252)</f>
        <v>0.30203167512176549</v>
      </c>
      <c r="X86" s="826">
        <f t="shared" si="11"/>
        <v>-0.41793479153340729</v>
      </c>
      <c r="Y86" s="826">
        <f t="shared" si="12"/>
        <v>-2.1386870926561983</v>
      </c>
      <c r="Z86" s="832">
        <f t="shared" si="13"/>
        <v>-0.18414527387559215</v>
      </c>
    </row>
    <row r="87" spans="1:26" ht="20.100000000000001" customHeight="1" x14ac:dyDescent="0.2">
      <c r="A87" s="801">
        <f t="shared" si="29"/>
        <v>121</v>
      </c>
      <c r="B87" s="820">
        <v>42354</v>
      </c>
      <c r="C87" s="843">
        <v>2073.0700000000002</v>
      </c>
      <c r="D87" s="817">
        <f t="shared" si="27"/>
        <v>1.4514952946300586E-2</v>
      </c>
      <c r="E87" s="844">
        <f t="shared" si="31"/>
        <v>-1.3969483076805945E-2</v>
      </c>
      <c r="F87" s="841">
        <v>4992.63</v>
      </c>
      <c r="G87" s="817">
        <f t="shared" si="25"/>
        <v>1.1309427129391331E-3</v>
      </c>
      <c r="H87" s="822">
        <f t="shared" si="32"/>
        <v>-1.9457155763301003E-2</v>
      </c>
      <c r="I87" s="824">
        <v>320067.34000000003</v>
      </c>
      <c r="J87" s="825">
        <v>400000</v>
      </c>
      <c r="K87" s="825">
        <f t="shared" si="20"/>
        <v>4956.210000000021</v>
      </c>
      <c r="L87" s="817">
        <f t="shared" si="28"/>
        <v>1.5728451102314352E-2</v>
      </c>
      <c r="M87" s="842">
        <f t="shared" si="22"/>
        <v>-79932.659999999974</v>
      </c>
      <c r="N87" s="827">
        <f t="shared" si="23"/>
        <v>-0.19983164999999994</v>
      </c>
      <c r="O87" s="811">
        <f t="shared" si="30"/>
        <v>-0.60321082778925605</v>
      </c>
      <c r="P87" s="842" t="b">
        <f t="shared" si="21"/>
        <v>1</v>
      </c>
      <c r="Q87" s="827">
        <f>COUNTIF(P$2:P87, TRUE)/(COUNTIF(P$2:P87,FALSE) + COUNTIF(P$2:P87, TRUE))</f>
        <v>0.44186046511627908</v>
      </c>
      <c r="R87" s="828"/>
      <c r="S87" s="828"/>
      <c r="T87" s="828"/>
      <c r="U87" s="828"/>
      <c r="V87" s="827">
        <f>STDEV(D$2:D87)*SQRT(252)</f>
        <v>0.20484383238315154</v>
      </c>
      <c r="W87" s="827">
        <f>STDEV(L$2:L87)*SQRT(252)</f>
        <v>0.30170012255410639</v>
      </c>
      <c r="X87" s="826">
        <f t="shared" si="11"/>
        <v>-0.20585541607427355</v>
      </c>
      <c r="Y87" s="826">
        <f t="shared" si="12"/>
        <v>-1.9993721669141093</v>
      </c>
      <c r="Z87" s="832">
        <f t="shared" si="13"/>
        <v>-0.18586216692319399</v>
      </c>
    </row>
    <row r="88" spans="1:26" ht="20.100000000000001" customHeight="1" x14ac:dyDescent="0.2">
      <c r="A88" s="801">
        <f t="shared" si="29"/>
        <v>122</v>
      </c>
      <c r="B88" s="820">
        <v>42355</v>
      </c>
      <c r="C88" s="843">
        <v>2041.89</v>
      </c>
      <c r="D88" s="817">
        <f t="shared" si="27"/>
        <v>-1.5040495497016531E-2</v>
      </c>
      <c r="E88" s="844">
        <f t="shared" si="31"/>
        <v>-2.8799870626510127E-2</v>
      </c>
      <c r="F88" s="841">
        <v>5002.55</v>
      </c>
      <c r="G88" s="817">
        <f t="shared" si="25"/>
        <v>1.9869287329523865E-3</v>
      </c>
      <c r="H88" s="822">
        <f t="shared" si="32"/>
        <v>-1.7508887012196248E-2</v>
      </c>
      <c r="I88" s="824">
        <v>314862.69</v>
      </c>
      <c r="J88" s="825">
        <v>400000</v>
      </c>
      <c r="K88" s="825">
        <f t="shared" ref="K88:K119" si="33">I88-I87-J88+J87</f>
        <v>-5204.6500000000233</v>
      </c>
      <c r="L88" s="817">
        <f t="shared" si="28"/>
        <v>-1.6261109302811161E-2</v>
      </c>
      <c r="M88" s="842">
        <f t="shared" si="22"/>
        <v>-85137.31</v>
      </c>
      <c r="N88" s="827">
        <f t="shared" si="23"/>
        <v>-0.212843275</v>
      </c>
      <c r="O88" s="811">
        <f t="shared" si="30"/>
        <v>-0.63722136224385251</v>
      </c>
      <c r="P88" s="842" t="b">
        <f t="shared" si="21"/>
        <v>0</v>
      </c>
      <c r="Q88" s="827">
        <f>COUNTIF(P$2:P88, TRUE)/(COUNTIF(P$2:P88,FALSE) + COUNTIF(P$2:P88, TRUE))</f>
        <v>0.43678160919540232</v>
      </c>
      <c r="R88" s="828"/>
      <c r="S88" s="828"/>
      <c r="T88" s="828"/>
      <c r="U88" s="828"/>
      <c r="V88" s="827">
        <f>STDEV(D$2:D88)*SQRT(252)</f>
        <v>0.20523864420055984</v>
      </c>
      <c r="W88" s="827">
        <f>STDEV(L$2:L88)*SQRT(252)</f>
        <v>0.30100381031831397</v>
      </c>
      <c r="X88" s="826">
        <f t="shared" si="11"/>
        <v>-0.42010881445053005</v>
      </c>
      <c r="Y88" s="826">
        <f t="shared" si="12"/>
        <v>-2.1169876938434293</v>
      </c>
      <c r="Z88" s="832">
        <f t="shared" si="13"/>
        <v>-0.18404340437348987</v>
      </c>
    </row>
    <row r="89" spans="1:26" ht="20.100000000000001" customHeight="1" x14ac:dyDescent="0.2">
      <c r="A89" s="801">
        <f t="shared" si="29"/>
        <v>123</v>
      </c>
      <c r="B89" s="820">
        <v>42356</v>
      </c>
      <c r="C89" s="843">
        <v>2005.52</v>
      </c>
      <c r="D89" s="817">
        <f t="shared" si="27"/>
        <v>-1.7811929144077358E-2</v>
      </c>
      <c r="E89" s="844">
        <f t="shared" si="31"/>
        <v>-4.609881851562949E-2</v>
      </c>
      <c r="F89" s="841">
        <v>4923.08</v>
      </c>
      <c r="G89" s="817">
        <f t="shared" si="25"/>
        <v>-1.5885898191922172E-2</v>
      </c>
      <c r="H89" s="822">
        <f t="shared" si="32"/>
        <v>-3.3116640807588804E-2</v>
      </c>
      <c r="I89" s="824">
        <v>315502.05</v>
      </c>
      <c r="J89" s="825">
        <v>400000</v>
      </c>
      <c r="K89" s="825">
        <f t="shared" si="33"/>
        <v>639.35999999998603</v>
      </c>
      <c r="L89" s="817">
        <f t="shared" si="28"/>
        <v>2.0305994336769022E-3</v>
      </c>
      <c r="M89" s="842">
        <f t="shared" si="22"/>
        <v>-84497.950000000012</v>
      </c>
      <c r="N89" s="827">
        <f t="shared" si="23"/>
        <v>-0.21124487500000003</v>
      </c>
      <c r="O89" s="811">
        <f t="shared" si="30"/>
        <v>-0.62729423246951233</v>
      </c>
      <c r="P89" s="842" t="b">
        <f t="shared" si="21"/>
        <v>1</v>
      </c>
      <c r="Q89" s="827">
        <f>COUNTIF(P$2:P89, TRUE)/(COUNTIF(P$2:P89,FALSE) + COUNTIF(P$2:P89, TRUE))</f>
        <v>0.44318181818181818</v>
      </c>
      <c r="R89" s="828"/>
      <c r="S89" s="828"/>
      <c r="T89" s="828"/>
      <c r="U89" s="828"/>
      <c r="V89" s="827">
        <f>STDEV(D$2:D89)*SQRT(252)</f>
        <v>0.20621771492919441</v>
      </c>
      <c r="W89" s="827">
        <f>STDEV(L$2:L89)*SQRT(252)</f>
        <v>0.29930992001467371</v>
      </c>
      <c r="X89" s="826">
        <f t="shared" si="11"/>
        <v>-0.66381786748959659</v>
      </c>
      <c r="Y89" s="826">
        <f t="shared" si="12"/>
        <v>-2.0958016775346406</v>
      </c>
      <c r="Z89" s="832">
        <f t="shared" si="13"/>
        <v>-0.16514605648437053</v>
      </c>
    </row>
    <row r="90" spans="1:26" ht="20.100000000000001" customHeight="1" x14ac:dyDescent="0.2">
      <c r="A90" s="801">
        <f t="shared" si="29"/>
        <v>126</v>
      </c>
      <c r="B90" s="803">
        <v>42359</v>
      </c>
      <c r="C90" s="804">
        <v>2021.15</v>
      </c>
      <c r="D90" s="817">
        <f t="shared" si="27"/>
        <v>7.7934899676892324E-3</v>
      </c>
      <c r="E90" s="805">
        <f t="shared" si="31"/>
        <v>-3.8664599227564142E-2</v>
      </c>
      <c r="F90" s="806">
        <v>4968.92</v>
      </c>
      <c r="G90" s="817">
        <f t="shared" si="25"/>
        <v>9.3112441804724163E-3</v>
      </c>
      <c r="H90" s="818">
        <f t="shared" si="32"/>
        <v>-2.4113753756112841E-2</v>
      </c>
      <c r="I90" s="807">
        <v>320825.06</v>
      </c>
      <c r="J90" s="808">
        <v>400000</v>
      </c>
      <c r="K90" s="808">
        <f t="shared" si="33"/>
        <v>5323.0100000000093</v>
      </c>
      <c r="L90" s="817">
        <f t="shared" si="28"/>
        <v>1.6871554400359711E-2</v>
      </c>
      <c r="M90" s="836">
        <f t="shared" si="22"/>
        <v>-79174.94</v>
      </c>
      <c r="N90" s="811">
        <f t="shared" si="23"/>
        <v>-0.19793735000000001</v>
      </c>
      <c r="O90" s="811">
        <f t="shared" si="30"/>
        <v>-0.57378267529761906</v>
      </c>
      <c r="P90" s="836" t="b">
        <f t="shared" si="21"/>
        <v>1</v>
      </c>
      <c r="Q90" s="811">
        <f>COUNTIF(P$2:P90, TRUE)/(COUNTIF(P$2:P90,FALSE) + COUNTIF(P$2:P90, TRUE))</f>
        <v>0.449438202247191</v>
      </c>
      <c r="R90" s="812"/>
      <c r="S90" s="812"/>
      <c r="T90" s="812"/>
      <c r="U90" s="812"/>
      <c r="V90" s="811">
        <f>STDEV(D$2:D90)*SQRT(252)</f>
        <v>0.20550415563548391</v>
      </c>
      <c r="W90" s="811">
        <f>STDEV(L$2:L90)*SQRT(252)</f>
        <v>0.29920187088435746</v>
      </c>
      <c r="X90" s="826">
        <f t="shared" si="11"/>
        <v>-0.54539679807715036</v>
      </c>
      <c r="Y90" s="826">
        <f t="shared" si="12"/>
        <v>-1.9177108538849612</v>
      </c>
      <c r="Z90" s="832">
        <f t="shared" si="13"/>
        <v>-0.15927275077243586</v>
      </c>
    </row>
    <row r="91" spans="1:26" ht="20.100000000000001" customHeight="1" x14ac:dyDescent="0.2">
      <c r="A91" s="801">
        <f t="shared" si="29"/>
        <v>127</v>
      </c>
      <c r="B91" s="803">
        <v>42360</v>
      </c>
      <c r="C91" s="804">
        <v>2038.97</v>
      </c>
      <c r="D91" s="817">
        <f t="shared" si="27"/>
        <v>8.8167627340869983E-3</v>
      </c>
      <c r="E91" s="805">
        <f t="shared" si="31"/>
        <v>-3.0188733091075143E-2</v>
      </c>
      <c r="F91" s="806">
        <v>5001.1099999999997</v>
      </c>
      <c r="G91" s="817">
        <f t="shared" si="25"/>
        <v>6.4782689196041798E-3</v>
      </c>
      <c r="H91" s="818">
        <f t="shared" si="32"/>
        <v>-1.7791700218001874E-2</v>
      </c>
      <c r="I91" s="807">
        <v>321902.78000000003</v>
      </c>
      <c r="J91" s="808">
        <v>400000</v>
      </c>
      <c r="K91" s="808">
        <f t="shared" si="33"/>
        <v>1077.7200000000303</v>
      </c>
      <c r="L91" s="817">
        <f t="shared" si="28"/>
        <v>3.3592138968197506E-3</v>
      </c>
      <c r="M91" s="836">
        <f t="shared" si="22"/>
        <v>-78097.219999999972</v>
      </c>
      <c r="N91" s="811">
        <f t="shared" si="23"/>
        <v>-0.19524304999999992</v>
      </c>
      <c r="O91" s="811">
        <f t="shared" si="30"/>
        <v>-0.56151593710629899</v>
      </c>
      <c r="P91" s="836" t="b">
        <f t="shared" ref="P91:P122" si="34">L91&gt;D91</f>
        <v>0</v>
      </c>
      <c r="Q91" s="811">
        <f>COUNTIF(P$2:P91, TRUE)/(COUNTIF(P$2:P91,FALSE) + COUNTIF(P$2:P91, TRUE))</f>
        <v>0.44444444444444442</v>
      </c>
      <c r="R91" s="812"/>
      <c r="S91" s="812"/>
      <c r="T91" s="812"/>
      <c r="U91" s="812"/>
      <c r="V91" s="811">
        <f>STDEV(D$2:D91)*SQRT(252)</f>
        <v>0.20491645962952909</v>
      </c>
      <c r="W91" s="811">
        <f>STDEV(L$2:L91)*SQRT(252)</f>
        <v>0.29759929719842121</v>
      </c>
      <c r="X91" s="826">
        <f t="shared" ref="X91:X154" si="35">E91/(A91/365.25)/V91</f>
        <v>-0.42369617898815781</v>
      </c>
      <c r="Y91" s="826">
        <f t="shared" ref="Y91:Y154" si="36">O91/W91</f>
        <v>-1.8868187606367703</v>
      </c>
      <c r="Z91" s="832">
        <f t="shared" ref="Z91:Z154" si="37">-(E91-N91)</f>
        <v>-0.16505431690892478</v>
      </c>
    </row>
    <row r="92" spans="1:26" ht="20.100000000000001" customHeight="1" x14ac:dyDescent="0.2">
      <c r="A92" s="801">
        <f t="shared" si="29"/>
        <v>128</v>
      </c>
      <c r="B92" s="803">
        <v>42361</v>
      </c>
      <c r="C92" s="804">
        <v>2064.29</v>
      </c>
      <c r="D92" s="817">
        <f t="shared" si="27"/>
        <v>1.2418034595898879E-2</v>
      </c>
      <c r="E92" s="805">
        <f t="shared" si="31"/>
        <v>-1.8145583227107593E-2</v>
      </c>
      <c r="F92" s="806">
        <v>5045.93</v>
      </c>
      <c r="G92" s="817">
        <f t="shared" si="25"/>
        <v>8.9620104336838469E-3</v>
      </c>
      <c r="H92" s="818">
        <f t="shared" si="32"/>
        <v>-8.9891391873047361E-3</v>
      </c>
      <c r="I92" s="807">
        <v>330734.09999999998</v>
      </c>
      <c r="J92" s="808">
        <v>400000</v>
      </c>
      <c r="K92" s="808">
        <f t="shared" si="33"/>
        <v>8831.3199999999488</v>
      </c>
      <c r="L92" s="817">
        <f t="shared" si="28"/>
        <v>2.7434742874851679E-2</v>
      </c>
      <c r="M92" s="836">
        <f t="shared" si="22"/>
        <v>-69265.900000000023</v>
      </c>
      <c r="N92" s="811">
        <f t="shared" si="23"/>
        <v>-0.17316475000000006</v>
      </c>
      <c r="O92" s="811">
        <f t="shared" si="30"/>
        <v>-0.49412831982421895</v>
      </c>
      <c r="P92" s="836" t="b">
        <f t="shared" si="34"/>
        <v>1</v>
      </c>
      <c r="Q92" s="811">
        <f>COUNTIF(P$2:P92, TRUE)/(COUNTIF(P$2:P92,FALSE) + COUNTIF(P$2:P92, TRUE))</f>
        <v>0.45054945054945056</v>
      </c>
      <c r="R92" s="812"/>
      <c r="S92" s="812"/>
      <c r="T92" s="812"/>
      <c r="U92" s="812"/>
      <c r="V92" s="811">
        <f>STDEV(D$2:D92)*SQRT(252)</f>
        <v>0.20486368921422393</v>
      </c>
      <c r="W92" s="811">
        <f>STDEV(L$2:L92)*SQRT(252)</f>
        <v>0.29978352577242878</v>
      </c>
      <c r="X92" s="826">
        <f t="shared" si="35"/>
        <v>-0.25274710936765843</v>
      </c>
      <c r="Y92" s="826">
        <f t="shared" si="36"/>
        <v>-1.6482837692666303</v>
      </c>
      <c r="Z92" s="832">
        <f t="shared" si="37"/>
        <v>-0.15501916677289246</v>
      </c>
    </row>
    <row r="93" spans="1:26" ht="20.100000000000001" customHeight="1" x14ac:dyDescent="0.2">
      <c r="A93" s="801">
        <f t="shared" si="29"/>
        <v>129</v>
      </c>
      <c r="B93" s="803">
        <v>42362</v>
      </c>
      <c r="C93" s="837">
        <v>2060.9899999999998</v>
      </c>
      <c r="D93" s="817">
        <f t="shared" si="27"/>
        <v>-1.5986125980362168E-3</v>
      </c>
      <c r="E93" s="805">
        <f t="shared" si="31"/>
        <v>-1.9715188067198242E-2</v>
      </c>
      <c r="F93" s="806">
        <v>5048.49</v>
      </c>
      <c r="G93" s="817">
        <f t="shared" si="25"/>
        <v>5.0733957863059742E-4</v>
      </c>
      <c r="H93" s="818">
        <f t="shared" si="32"/>
        <v>-8.4863601547616793E-3</v>
      </c>
      <c r="I93" s="807">
        <v>331472.32</v>
      </c>
      <c r="J93" s="808">
        <v>400000</v>
      </c>
      <c r="K93" s="808">
        <f t="shared" si="33"/>
        <v>738.22000000003027</v>
      </c>
      <c r="L93" s="817">
        <f t="shared" si="28"/>
        <v>2.2320649730403676E-3</v>
      </c>
      <c r="M93" s="836">
        <f t="shared" si="22"/>
        <v>-68527.679999999993</v>
      </c>
      <c r="N93" s="811">
        <f t="shared" si="23"/>
        <v>-0.17131919999999998</v>
      </c>
      <c r="O93" s="811">
        <f t="shared" si="30"/>
        <v>-0.48507238604651154</v>
      </c>
      <c r="P93" s="836" t="b">
        <f t="shared" si="34"/>
        <v>1</v>
      </c>
      <c r="Q93" s="811">
        <f>COUNTIF(P$2:P93, TRUE)/(COUNTIF(P$2:P93,FALSE) + COUNTIF(P$2:P93, TRUE))</f>
        <v>0.45652173913043476</v>
      </c>
      <c r="R93" s="812"/>
      <c r="S93" s="812"/>
      <c r="T93" s="812"/>
      <c r="U93" s="812"/>
      <c r="V93" s="811">
        <f>STDEV(D$2:D93)*SQRT(252)</f>
        <v>0.20373721805124861</v>
      </c>
      <c r="W93" s="811">
        <f>STDEV(L$2:L93)*SQRT(252)</f>
        <v>0.29815917239051543</v>
      </c>
      <c r="X93" s="826">
        <f t="shared" si="35"/>
        <v>-0.27398770008175166</v>
      </c>
      <c r="Y93" s="826">
        <f t="shared" si="36"/>
        <v>-1.6268907045770358</v>
      </c>
      <c r="Z93" s="832">
        <f t="shared" si="37"/>
        <v>-0.15160401193280174</v>
      </c>
    </row>
    <row r="94" spans="1:26" ht="20.100000000000001" customHeight="1" x14ac:dyDescent="0.2">
      <c r="A94" s="801">
        <f t="shared" si="29"/>
        <v>133</v>
      </c>
      <c r="B94" s="820">
        <v>42366</v>
      </c>
      <c r="C94" s="845">
        <v>2056.5</v>
      </c>
      <c r="D94" s="817">
        <f t="shared" si="27"/>
        <v>-2.178564670376752E-3</v>
      </c>
      <c r="E94" s="844">
        <f t="shared" si="31"/>
        <v>-2.1850801925381962E-2</v>
      </c>
      <c r="F94" s="841">
        <v>5040.99</v>
      </c>
      <c r="G94" s="817">
        <f t="shared" si="25"/>
        <v>-1.4855927217841374E-3</v>
      </c>
      <c r="H94" s="822">
        <f t="shared" si="32"/>
        <v>-9.9593456016654636E-3</v>
      </c>
      <c r="I94" s="824">
        <v>324433.87</v>
      </c>
      <c r="J94" s="825">
        <v>400000</v>
      </c>
      <c r="K94" s="825">
        <f t="shared" si="33"/>
        <v>-7038.4500000000116</v>
      </c>
      <c r="L94" s="817">
        <f t="shared" si="28"/>
        <v>-2.1233899711445021E-2</v>
      </c>
      <c r="M94" s="842">
        <f t="shared" ref="M94:M125" si="38">I94-J94</f>
        <v>-75566.13</v>
      </c>
      <c r="N94" s="827">
        <f t="shared" ref="N94:N125" si="39">M94/J94</f>
        <v>-0.18891532500000002</v>
      </c>
      <c r="O94" s="811">
        <f t="shared" si="30"/>
        <v>-0.51880693576127823</v>
      </c>
      <c r="P94" s="842" t="b">
        <f t="shared" si="34"/>
        <v>0</v>
      </c>
      <c r="Q94" s="827">
        <f>COUNTIF(P$2:P94, TRUE)/(COUNTIF(P$2:P94,FALSE) + COUNTIF(P$2:P94, TRUE))</f>
        <v>0.45161290322580644</v>
      </c>
      <c r="R94" s="828"/>
      <c r="S94" s="828"/>
      <c r="T94" s="828"/>
      <c r="U94" s="828"/>
      <c r="V94" s="827">
        <f>STDEV(D$2:D94)*SQRT(252)</f>
        <v>0.20264285644820698</v>
      </c>
      <c r="W94" s="827">
        <f>STDEV(L$2:L94)*SQRT(252)</f>
        <v>0.29842518034690152</v>
      </c>
      <c r="X94" s="826">
        <f t="shared" si="35"/>
        <v>-0.29612472146649621</v>
      </c>
      <c r="Y94" s="826">
        <f t="shared" si="36"/>
        <v>-1.7384824402491641</v>
      </c>
      <c r="Z94" s="832">
        <f t="shared" si="37"/>
        <v>-0.16706452307461805</v>
      </c>
    </row>
    <row r="95" spans="1:26" ht="20.100000000000001" customHeight="1" x14ac:dyDescent="0.2">
      <c r="A95" s="801">
        <f t="shared" si="29"/>
        <v>134</v>
      </c>
      <c r="B95" s="820">
        <v>42367</v>
      </c>
      <c r="C95" s="843">
        <v>2078.36</v>
      </c>
      <c r="D95" s="817">
        <f t="shared" si="27"/>
        <v>1.0629710673474412E-2</v>
      </c>
      <c r="E95" s="844">
        <f t="shared" si="31"/>
        <v>-1.1453358954357758E-2</v>
      </c>
      <c r="F95" s="841">
        <v>5107.9399999999996</v>
      </c>
      <c r="G95" s="817">
        <f t="shared" si="25"/>
        <v>1.3281121367033027E-2</v>
      </c>
      <c r="H95" s="822">
        <f t="shared" si="32"/>
        <v>3.1895044876956188E-3</v>
      </c>
      <c r="I95" s="824">
        <v>326263</v>
      </c>
      <c r="J95" s="825">
        <v>400000</v>
      </c>
      <c r="K95" s="825">
        <f t="shared" si="33"/>
        <v>1829.1300000000047</v>
      </c>
      <c r="L95" s="817">
        <f t="shared" si="28"/>
        <v>5.6379132055478813E-3</v>
      </c>
      <c r="M95" s="842">
        <f t="shared" si="38"/>
        <v>-73737</v>
      </c>
      <c r="N95" s="827">
        <f t="shared" si="39"/>
        <v>-0.18434249999999999</v>
      </c>
      <c r="O95" s="811">
        <f t="shared" si="30"/>
        <v>-0.50247088152985075</v>
      </c>
      <c r="P95" s="842" t="b">
        <f t="shared" si="34"/>
        <v>0</v>
      </c>
      <c r="Q95" s="827">
        <f>COUNTIF(P$2:P95, TRUE)/(COUNTIF(P$2:P95,FALSE) + COUNTIF(P$2:P95, TRUE))</f>
        <v>0.44680851063829785</v>
      </c>
      <c r="R95" s="828"/>
      <c r="S95" s="828"/>
      <c r="T95" s="828"/>
      <c r="U95" s="828"/>
      <c r="V95" s="827">
        <f>STDEV(D$2:D95)*SQRT(252)</f>
        <v>0.2023195411541808</v>
      </c>
      <c r="W95" s="827">
        <f>STDEV(L$2:L95)*SQRT(252)</f>
        <v>0.29700566198828871</v>
      </c>
      <c r="X95" s="826">
        <f t="shared" si="35"/>
        <v>-0.1543051662500349</v>
      </c>
      <c r="Y95" s="826">
        <f t="shared" si="36"/>
        <v>-1.6917888977808908</v>
      </c>
      <c r="Z95" s="832">
        <f t="shared" si="37"/>
        <v>-0.17288914104564224</v>
      </c>
    </row>
    <row r="96" spans="1:26" ht="20.100000000000001" customHeight="1" x14ac:dyDescent="0.2">
      <c r="A96" s="801">
        <f t="shared" si="29"/>
        <v>135</v>
      </c>
      <c r="B96" s="820">
        <v>42368</v>
      </c>
      <c r="C96" s="843">
        <v>2063.36</v>
      </c>
      <c r="D96" s="817">
        <f t="shared" si="27"/>
        <v>-7.2172289689947837E-3</v>
      </c>
      <c r="E96" s="844">
        <f>(C96-$C$2)/$C$2</f>
        <v>-1.8587926409314857E-2</v>
      </c>
      <c r="F96" s="841">
        <v>5065.84</v>
      </c>
      <c r="G96" s="817">
        <f t="shared" si="25"/>
        <v>-8.242070188764836E-3</v>
      </c>
      <c r="H96" s="822">
        <f t="shared" si="32"/>
        <v>-5.0788538209241849E-3</v>
      </c>
      <c r="I96" s="824">
        <v>318053.19</v>
      </c>
      <c r="J96" s="825">
        <v>400000</v>
      </c>
      <c r="K96" s="825">
        <f t="shared" si="33"/>
        <v>-8209.8099999999977</v>
      </c>
      <c r="L96" s="817">
        <f t="shared" si="28"/>
        <v>-2.5163165912162881E-2</v>
      </c>
      <c r="M96" s="842">
        <f t="shared" si="38"/>
        <v>-81946.81</v>
      </c>
      <c r="N96" s="827">
        <f t="shared" si="39"/>
        <v>-0.20486702499999998</v>
      </c>
      <c r="O96" s="811">
        <f t="shared" si="30"/>
        <v>-0.55427911763888882</v>
      </c>
      <c r="P96" s="842" t="b">
        <f t="shared" si="34"/>
        <v>0</v>
      </c>
      <c r="Q96" s="827">
        <f>COUNTIF(P$2:P96, TRUE)/(COUNTIF(P$2:P96,FALSE) + COUNTIF(P$2:P96, TRUE))</f>
        <v>0.44210526315789472</v>
      </c>
      <c r="R96" s="828"/>
      <c r="S96" s="828"/>
      <c r="T96" s="828"/>
      <c r="U96" s="828"/>
      <c r="V96" s="827">
        <f>STDEV(D$2:D96)*SQRT(252)</f>
        <v>0.20157138397467259</v>
      </c>
      <c r="W96" s="827">
        <f>STDEV(L$2:L96)*SQRT(252)</f>
        <v>0.29803742324397353</v>
      </c>
      <c r="X96" s="826">
        <f t="shared" si="35"/>
        <v>-0.24949309059315017</v>
      </c>
      <c r="Y96" s="826">
        <f t="shared" si="36"/>
        <v>-1.8597634874367968</v>
      </c>
      <c r="Z96" s="832">
        <f t="shared" si="37"/>
        <v>-0.18627909859068512</v>
      </c>
    </row>
    <row r="97" spans="1:26" ht="20.100000000000001" customHeight="1" x14ac:dyDescent="0.2">
      <c r="A97" s="801">
        <f t="shared" si="29"/>
        <v>136</v>
      </c>
      <c r="B97" s="820">
        <v>42369</v>
      </c>
      <c r="C97" s="843">
        <v>2043.94</v>
      </c>
      <c r="D97" s="817">
        <f t="shared" si="27"/>
        <v>-9.4118331265509031E-3</v>
      </c>
      <c r="E97" s="844">
        <f>(C97-$C$2)/$C$2</f>
        <v>-2.7824813074332679E-2</v>
      </c>
      <c r="F97" s="841">
        <v>5007.41</v>
      </c>
      <c r="G97" s="817">
        <f t="shared" si="25"/>
        <v>-1.1534118724634076E-2</v>
      </c>
      <c r="H97" s="822">
        <f t="shared" si="32"/>
        <v>-1.655439244260266E-2</v>
      </c>
      <c r="I97" s="848">
        <v>320884.32</v>
      </c>
      <c r="J97" s="825">
        <v>400000</v>
      </c>
      <c r="K97" s="825">
        <f t="shared" si="33"/>
        <v>2831.1300000000047</v>
      </c>
      <c r="L97" s="817">
        <f t="shared" si="28"/>
        <v>8.9014356372278634E-3</v>
      </c>
      <c r="M97" s="842">
        <f t="shared" si="38"/>
        <v>-79115.679999999993</v>
      </c>
      <c r="N97" s="827">
        <f t="shared" si="39"/>
        <v>-0.19778919999999997</v>
      </c>
      <c r="O97" s="811">
        <f t="shared" si="30"/>
        <v>-0.53119489191176461</v>
      </c>
      <c r="P97" s="842" t="b">
        <f t="shared" si="34"/>
        <v>1</v>
      </c>
      <c r="Q97" s="827">
        <f>COUNTIF(P$2:P97, TRUE)/(COUNTIF(P$2:P97,FALSE) + COUNTIF(P$2:P97, TRUE))</f>
        <v>0.44791666666666669</v>
      </c>
      <c r="R97" s="828"/>
      <c r="S97" s="828"/>
      <c r="T97" s="828"/>
      <c r="U97" s="828"/>
      <c r="V97" s="827">
        <f>STDEV(D$2:D97)*SQRT(252)</f>
        <v>0.20106669704355981</v>
      </c>
      <c r="W97" s="827">
        <f>STDEV(L$2:L97)*SQRT(252)</f>
        <v>0.29691114338787766</v>
      </c>
      <c r="X97" s="826">
        <f t="shared" si="35"/>
        <v>-0.37165795073280716</v>
      </c>
      <c r="Y97" s="826">
        <f t="shared" si="36"/>
        <v>-1.7890702445540221</v>
      </c>
      <c r="Z97" s="832">
        <f t="shared" si="37"/>
        <v>-0.16996438692566729</v>
      </c>
    </row>
    <row r="98" spans="1:26" ht="20.100000000000001" customHeight="1" x14ac:dyDescent="0.2">
      <c r="A98" s="801">
        <f t="shared" si="29"/>
        <v>140</v>
      </c>
      <c r="B98" s="803">
        <v>42373</v>
      </c>
      <c r="C98" s="804">
        <v>2012.66</v>
      </c>
      <c r="D98" s="817">
        <f t="shared" si="27"/>
        <v>-1.5303776040392561E-2</v>
      </c>
      <c r="E98" s="805">
        <f t="shared" ref="E98:E103" si="40">(C98-$C$2)/$C$2</f>
        <v>-4.2702764407069868E-2</v>
      </c>
      <c r="F98" s="806">
        <v>4903.08</v>
      </c>
      <c r="G98" s="817">
        <f t="shared" si="25"/>
        <v>-2.0835122348679243E-2</v>
      </c>
      <c r="H98" s="818">
        <f t="shared" si="32"/>
        <v>-3.7044601999332225E-2</v>
      </c>
      <c r="I98" s="807">
        <v>323756.46999999997</v>
      </c>
      <c r="J98" s="808">
        <v>400000</v>
      </c>
      <c r="K98" s="808">
        <f t="shared" si="33"/>
        <v>2872.1499999999651</v>
      </c>
      <c r="L98" s="817">
        <f t="shared" si="28"/>
        <v>8.950733398253816E-3</v>
      </c>
      <c r="M98" s="836">
        <f t="shared" si="38"/>
        <v>-76243.530000000028</v>
      </c>
      <c r="N98" s="811">
        <f t="shared" si="39"/>
        <v>-0.19060882500000007</v>
      </c>
      <c r="O98" s="811">
        <f t="shared" si="30"/>
        <v>-0.49728480950892878</v>
      </c>
      <c r="P98" s="836" t="b">
        <f t="shared" si="34"/>
        <v>1</v>
      </c>
      <c r="Q98" s="811">
        <f>COUNTIF(P$2:P98, TRUE)/(COUNTIF(P$2:P98,FALSE) + COUNTIF(P$2:P98, TRUE))</f>
        <v>0.45360824742268041</v>
      </c>
      <c r="R98" s="812"/>
      <c r="S98" s="812"/>
      <c r="T98" s="812"/>
      <c r="U98" s="812"/>
      <c r="V98" s="811">
        <f>STDEV(D$2:D98)*SQRT(252)</f>
        <v>0.20149367115092381</v>
      </c>
      <c r="W98" s="811">
        <f>STDEV(L$2:L98)*SQRT(252)</f>
        <v>0.29579926006722401</v>
      </c>
      <c r="X98" s="826">
        <f t="shared" si="35"/>
        <v>-0.55291296001619772</v>
      </c>
      <c r="Y98" s="826">
        <f t="shared" si="36"/>
        <v>-1.6811563673144914</v>
      </c>
      <c r="Z98" s="832">
        <f t="shared" si="37"/>
        <v>-0.14790606059293021</v>
      </c>
    </row>
    <row r="99" spans="1:26" ht="20.100000000000001" customHeight="1" x14ac:dyDescent="0.2">
      <c r="A99" s="801">
        <f t="shared" si="29"/>
        <v>141</v>
      </c>
      <c r="B99" s="803">
        <v>42374</v>
      </c>
      <c r="C99" s="804">
        <v>2016.71</v>
      </c>
      <c r="D99" s="817">
        <f t="shared" si="27"/>
        <v>2.0122623791400209E-3</v>
      </c>
      <c r="E99" s="805">
        <f t="shared" si="40"/>
        <v>-4.0776431194231473E-2</v>
      </c>
      <c r="F99" s="806">
        <v>4891.43</v>
      </c>
      <c r="G99" s="817">
        <f t="shared" si="25"/>
        <v>-2.3760574985518565E-3</v>
      </c>
      <c r="H99" s="818">
        <f t="shared" si="32"/>
        <v>-3.9332639393522703E-2</v>
      </c>
      <c r="I99" s="807">
        <v>326120.51</v>
      </c>
      <c r="J99" s="808">
        <v>400000</v>
      </c>
      <c r="K99" s="808">
        <f t="shared" si="33"/>
        <v>2364.0400000000373</v>
      </c>
      <c r="L99" s="817">
        <f t="shared" si="28"/>
        <v>7.3019081286623787E-3</v>
      </c>
      <c r="M99" s="836">
        <f t="shared" si="38"/>
        <v>-73879.489999999991</v>
      </c>
      <c r="N99" s="811">
        <f t="shared" si="39"/>
        <v>-0.18469872499999998</v>
      </c>
      <c r="O99" s="811">
        <f t="shared" si="30"/>
        <v>-0.4784482929521276</v>
      </c>
      <c r="P99" s="836" t="b">
        <f t="shared" si="34"/>
        <v>1</v>
      </c>
      <c r="Q99" s="811">
        <f>COUNTIF(P$2:P99, TRUE)/(COUNTIF(P$2:P99,FALSE) + COUNTIF(P$2:P99, TRUE))</f>
        <v>0.45918367346938777</v>
      </c>
      <c r="R99" s="812"/>
      <c r="S99" s="812"/>
      <c r="T99" s="812"/>
      <c r="U99" s="812"/>
      <c r="V99" s="811">
        <f>STDEV(D$2:D99)*SQRT(252)</f>
        <v>0.20047839614181759</v>
      </c>
      <c r="W99" s="811">
        <f>STDEV(L$2:L99)*SQRT(252)</f>
        <v>0.29456352660323443</v>
      </c>
      <c r="X99" s="826">
        <f t="shared" si="35"/>
        <v>-0.52688125253749085</v>
      </c>
      <c r="Y99" s="826">
        <f t="shared" si="36"/>
        <v>-1.6242618306121068</v>
      </c>
      <c r="Z99" s="832">
        <f t="shared" si="37"/>
        <v>-0.14392229380576851</v>
      </c>
    </row>
    <row r="100" spans="1:26" ht="20.100000000000001" customHeight="1" x14ac:dyDescent="0.2">
      <c r="A100" s="801">
        <f t="shared" si="29"/>
        <v>142</v>
      </c>
      <c r="B100" s="803">
        <v>42375</v>
      </c>
      <c r="C100" s="804">
        <v>1990.26</v>
      </c>
      <c r="D100" s="817">
        <f t="shared" si="27"/>
        <v>-1.3115420660382527E-2</v>
      </c>
      <c r="E100" s="805">
        <f t="shared" si="40"/>
        <v>-5.3357051806472509E-2</v>
      </c>
      <c r="F100" s="806">
        <v>4835.76</v>
      </c>
      <c r="G100" s="817">
        <f t="shared" si="25"/>
        <v>-1.1381129853641996E-2</v>
      </c>
      <c r="H100" s="818">
        <f t="shared" si="32"/>
        <v>-5.026611937074054E-2</v>
      </c>
      <c r="I100" s="807">
        <v>307215.3</v>
      </c>
      <c r="J100" s="808">
        <v>400000</v>
      </c>
      <c r="K100" s="808">
        <f t="shared" si="33"/>
        <v>-18905.210000000021</v>
      </c>
      <c r="L100" s="817">
        <f t="shared" si="28"/>
        <v>-5.7970012373646844E-2</v>
      </c>
      <c r="M100" s="836">
        <f t="shared" si="38"/>
        <v>-92784.700000000012</v>
      </c>
      <c r="N100" s="811">
        <f t="shared" si="39"/>
        <v>-0.23196175000000002</v>
      </c>
      <c r="O100" s="811">
        <f t="shared" si="30"/>
        <v>-0.59664809286971832</v>
      </c>
      <c r="P100" s="836" t="b">
        <f t="shared" si="34"/>
        <v>0</v>
      </c>
      <c r="Q100" s="811">
        <f>COUNTIF(P$2:P100, TRUE)/(COUNTIF(P$2:P100,FALSE) + COUNTIF(P$2:P100, TRUE))</f>
        <v>0.45454545454545453</v>
      </c>
      <c r="R100" s="812"/>
      <c r="S100" s="812"/>
      <c r="T100" s="812"/>
      <c r="U100" s="812"/>
      <c r="V100" s="811">
        <f>STDEV(D$2:D100)*SQRT(252)</f>
        <v>0.20049006957671658</v>
      </c>
      <c r="W100" s="811">
        <f>STDEV(L$2:L100)*SQRT(252)</f>
        <v>0.30696087260477756</v>
      </c>
      <c r="X100" s="826">
        <f t="shared" si="35"/>
        <v>-0.68454316533999937</v>
      </c>
      <c r="Y100" s="826">
        <f t="shared" si="36"/>
        <v>-1.9437268594096122</v>
      </c>
      <c r="Z100" s="832">
        <f t="shared" si="37"/>
        <v>-0.17860469819352751</v>
      </c>
    </row>
    <row r="101" spans="1:26" ht="20.100000000000001" customHeight="1" x14ac:dyDescent="0.2">
      <c r="A101" s="801">
        <f t="shared" si="29"/>
        <v>143</v>
      </c>
      <c r="B101" s="803">
        <v>42376</v>
      </c>
      <c r="C101" s="837">
        <v>1943.09</v>
      </c>
      <c r="D101" s="817">
        <f t="shared" si="27"/>
        <v>-2.3700421050516049E-2</v>
      </c>
      <c r="E101" s="805">
        <f t="shared" si="40"/>
        <v>-7.5792888263160968E-2</v>
      </c>
      <c r="F101" s="806">
        <v>4689.42</v>
      </c>
      <c r="G101" s="817">
        <f t="shared" si="25"/>
        <v>-3.0262047744304958E-2</v>
      </c>
      <c r="H101" s="818">
        <f t="shared" si="32"/>
        <v>-7.9007011410727218E-2</v>
      </c>
      <c r="I101" s="807">
        <v>296450.84999999998</v>
      </c>
      <c r="J101" s="808">
        <v>400000</v>
      </c>
      <c r="K101" s="808">
        <f t="shared" si="33"/>
        <v>-10764.450000000012</v>
      </c>
      <c r="L101" s="817">
        <f t="shared" si="28"/>
        <v>-3.503878224814979E-2</v>
      </c>
      <c r="M101" s="836">
        <f t="shared" si="38"/>
        <v>-103549.15000000002</v>
      </c>
      <c r="N101" s="811">
        <f t="shared" si="39"/>
        <v>-0.25887287500000006</v>
      </c>
      <c r="O101" s="811">
        <f t="shared" si="30"/>
        <v>-0.66121201114510508</v>
      </c>
      <c r="P101" s="836" t="b">
        <f t="shared" si="34"/>
        <v>0</v>
      </c>
      <c r="Q101" s="811">
        <f>COUNTIF(P$2:P101, TRUE)/(COUNTIF(P$2:P101,FALSE) + COUNTIF(P$2:P101, TRUE))</f>
        <v>0.45</v>
      </c>
      <c r="R101" s="812"/>
      <c r="S101" s="812"/>
      <c r="T101" s="812"/>
      <c r="U101" s="812"/>
      <c r="V101" s="811">
        <f>STDEV(D$2:D101)*SQRT(252)</f>
        <v>0.20287568849216503</v>
      </c>
      <c r="W101" s="811">
        <f>STDEV(L$2:L101)*SQRT(252)</f>
        <v>0.3100263800011836</v>
      </c>
      <c r="X101" s="826">
        <f t="shared" si="35"/>
        <v>-0.95422905833846872</v>
      </c>
      <c r="Y101" s="826">
        <f t="shared" si="36"/>
        <v>-2.132760480390671</v>
      </c>
      <c r="Z101" s="832">
        <f t="shared" si="37"/>
        <v>-0.18307998673683909</v>
      </c>
    </row>
    <row r="102" spans="1:26" ht="20.100000000000001" customHeight="1" x14ac:dyDescent="0.2">
      <c r="A102" s="801">
        <f t="shared" si="29"/>
        <v>144</v>
      </c>
      <c r="B102" s="803">
        <v>42377</v>
      </c>
      <c r="C102" s="837">
        <v>1922.03</v>
      </c>
      <c r="D102" s="817">
        <f t="shared" si="27"/>
        <v>-1.0838406867412187E-2</v>
      </c>
      <c r="E102" s="805">
        <f t="shared" si="40"/>
        <v>-8.5809820969920694E-2</v>
      </c>
      <c r="F102" s="806">
        <v>4643.63</v>
      </c>
      <c r="G102" s="817">
        <f t="shared" si="25"/>
        <v>-9.7645337802969162E-3</v>
      </c>
      <c r="H102" s="818">
        <f t="shared" si="32"/>
        <v>-8.8000078559223788E-2</v>
      </c>
      <c r="I102" s="807">
        <v>291709.24</v>
      </c>
      <c r="J102" s="808">
        <v>400000</v>
      </c>
      <c r="K102" s="808">
        <f t="shared" si="33"/>
        <v>-4741.609999999986</v>
      </c>
      <c r="L102" s="817">
        <f t="shared" si="28"/>
        <v>-1.5994590671607068E-2</v>
      </c>
      <c r="M102" s="836">
        <f t="shared" si="38"/>
        <v>-108290.76000000001</v>
      </c>
      <c r="N102" s="811">
        <f t="shared" si="39"/>
        <v>-0.27072690000000005</v>
      </c>
      <c r="O102" s="811">
        <f t="shared" si="30"/>
        <v>-0.68668750156250014</v>
      </c>
      <c r="P102" s="836" t="b">
        <f t="shared" si="34"/>
        <v>0</v>
      </c>
      <c r="Q102" s="811">
        <f>COUNTIF(P$2:P102, TRUE)/(COUNTIF(P$2:P102,FALSE) + COUNTIF(P$2:P102, TRUE))</f>
        <v>0.44554455445544555</v>
      </c>
      <c r="R102" s="812"/>
      <c r="S102" s="812"/>
      <c r="T102" s="812"/>
      <c r="U102" s="812"/>
      <c r="V102" s="811">
        <f>STDEV(D$2:D102)*SQRT(252)</f>
        <v>0.20248720457618641</v>
      </c>
      <c r="W102" s="811">
        <f>STDEV(L$2:L102)*SQRT(252)</f>
        <v>0.30926714125463156</v>
      </c>
      <c r="X102" s="826">
        <f t="shared" si="35"/>
        <v>-1.0748977247058797</v>
      </c>
      <c r="Y102" s="826">
        <f t="shared" si="36"/>
        <v>-2.2203700618719266</v>
      </c>
      <c r="Z102" s="832">
        <f t="shared" si="37"/>
        <v>-0.18491707903007937</v>
      </c>
    </row>
    <row r="103" spans="1:26" ht="20.100000000000001" customHeight="1" x14ac:dyDescent="0.2">
      <c r="A103" s="801">
        <f t="shared" si="29"/>
        <v>147</v>
      </c>
      <c r="B103" s="820">
        <v>42380</v>
      </c>
      <c r="C103" s="845">
        <v>1923.67</v>
      </c>
      <c r="D103" s="817">
        <f t="shared" si="27"/>
        <v>8.5326451720321749E-4</v>
      </c>
      <c r="E103" s="844">
        <f t="shared" si="40"/>
        <v>-8.5029774928178675E-2</v>
      </c>
      <c r="F103" s="841">
        <v>4637.9799999999996</v>
      </c>
      <c r="G103" s="817">
        <f t="shared" si="25"/>
        <v>-1.2167205397502698E-3</v>
      </c>
      <c r="H103" s="822">
        <f t="shared" si="32"/>
        <v>-8.9109727595891405E-2</v>
      </c>
      <c r="I103" s="824">
        <v>278511.46999999997</v>
      </c>
      <c r="J103" s="825">
        <v>400000</v>
      </c>
      <c r="K103" s="825">
        <f t="shared" si="33"/>
        <v>-13197.770000000019</v>
      </c>
      <c r="L103" s="817">
        <f t="shared" si="28"/>
        <v>-4.5242893231630298E-2</v>
      </c>
      <c r="M103" s="842">
        <f t="shared" si="38"/>
        <v>-121488.53000000003</v>
      </c>
      <c r="N103" s="827">
        <f t="shared" si="39"/>
        <v>-0.3037213250000001</v>
      </c>
      <c r="O103" s="811">
        <f t="shared" si="30"/>
        <v>-0.75465451670918382</v>
      </c>
      <c r="P103" s="842" t="b">
        <f t="shared" si="34"/>
        <v>0</v>
      </c>
      <c r="Q103" s="827">
        <f>COUNTIF(P$2:P103, TRUE)/(COUNTIF(P$2:P103,FALSE) + COUNTIF(P$2:P103, TRUE))</f>
        <v>0.44117647058823528</v>
      </c>
      <c r="R103" s="828"/>
      <c r="S103" s="828"/>
      <c r="T103" s="828"/>
      <c r="U103" s="828"/>
      <c r="V103" s="827">
        <f>STDEV(D$2:D103)*SQRT(252)</f>
        <v>0.20148947946934948</v>
      </c>
      <c r="W103" s="827">
        <f>STDEV(L$2:L103)*SQRT(252)</f>
        <v>0.31519307674971891</v>
      </c>
      <c r="X103" s="826">
        <f t="shared" si="35"/>
        <v>-1.0485557942280832</v>
      </c>
      <c r="Y103" s="826">
        <f t="shared" si="36"/>
        <v>-2.3942610811481182</v>
      </c>
      <c r="Z103" s="832">
        <f t="shared" si="37"/>
        <v>-0.21869155007182142</v>
      </c>
    </row>
    <row r="104" spans="1:26" ht="20.100000000000001" customHeight="1" x14ac:dyDescent="0.2">
      <c r="A104" s="801">
        <f t="shared" si="29"/>
        <v>148</v>
      </c>
      <c r="B104" s="820">
        <v>42381</v>
      </c>
      <c r="C104" s="843">
        <v>1938.68</v>
      </c>
      <c r="D104" s="817">
        <f t="shared" si="27"/>
        <v>7.8027936184480659E-3</v>
      </c>
      <c r="E104" s="844">
        <f>(C104-$C$2)/$C$2</f>
        <v>-7.7890451094918281E-2</v>
      </c>
      <c r="F104" s="841">
        <v>4685.6099999999997</v>
      </c>
      <c r="G104" s="817">
        <f t="shared" si="25"/>
        <v>1.0269557005420487E-2</v>
      </c>
      <c r="H104" s="822">
        <f t="shared" si="32"/>
        <v>-7.9755288017754417E-2</v>
      </c>
      <c r="I104" s="824">
        <v>272280.59000000003</v>
      </c>
      <c r="J104" s="825">
        <v>400000</v>
      </c>
      <c r="K104" s="825">
        <f t="shared" si="33"/>
        <v>-6230.8799999999464</v>
      </c>
      <c r="L104" s="817">
        <f t="shared" si="28"/>
        <v>-2.2372076812491589E-2</v>
      </c>
      <c r="M104" s="842">
        <f t="shared" si="38"/>
        <v>-127719.40999999997</v>
      </c>
      <c r="N104" s="827">
        <f t="shared" si="39"/>
        <v>-0.31929852499999994</v>
      </c>
      <c r="O104" s="811">
        <f t="shared" si="30"/>
        <v>-0.78799855578547284</v>
      </c>
      <c r="P104" s="842" t="b">
        <f t="shared" si="34"/>
        <v>0</v>
      </c>
      <c r="Q104" s="827">
        <f>COUNTIF(P$2:P104, TRUE)/(COUNTIF(P$2:P104,FALSE) + COUNTIF(P$2:P104, TRUE))</f>
        <v>0.43689320388349512</v>
      </c>
      <c r="R104" s="828"/>
      <c r="S104" s="828"/>
      <c r="T104" s="828"/>
      <c r="U104" s="828"/>
      <c r="V104" s="827">
        <f>STDEV(D$2:D104)*SQRT(252)</f>
        <v>0.20094495344626548</v>
      </c>
      <c r="W104" s="827">
        <f>STDEV(L$2:L104)*SQRT(252)</f>
        <v>0.31518540993187888</v>
      </c>
      <c r="X104" s="826">
        <f t="shared" si="35"/>
        <v>-0.95661155948371346</v>
      </c>
      <c r="Y104" s="826">
        <f t="shared" si="36"/>
        <v>-2.5001111439637489</v>
      </c>
      <c r="Z104" s="832">
        <f t="shared" si="37"/>
        <v>-0.24140807390508168</v>
      </c>
    </row>
    <row r="105" spans="1:26" ht="20.100000000000001" customHeight="1" x14ac:dyDescent="0.2">
      <c r="A105" s="801">
        <f t="shared" si="29"/>
        <v>149</v>
      </c>
      <c r="B105" s="820">
        <v>42382</v>
      </c>
      <c r="C105" s="843">
        <v>1890.28</v>
      </c>
      <c r="D105" s="817">
        <f t="shared" si="27"/>
        <v>-2.4965440402748309E-2</v>
      </c>
      <c r="E105" s="844">
        <f>(C105-$C$2)/$C$2</f>
        <v>-0.10091132208291323</v>
      </c>
      <c r="F105" s="841">
        <v>4526.0600000000004</v>
      </c>
      <c r="G105" s="817">
        <f t="shared" si="25"/>
        <v>-3.4051062721822623E-2</v>
      </c>
      <c r="H105" s="822">
        <f t="shared" si="32"/>
        <v>-0.11109059842488746</v>
      </c>
      <c r="I105" s="824">
        <v>259060.64</v>
      </c>
      <c r="J105" s="825">
        <v>400000</v>
      </c>
      <c r="K105" s="825">
        <f t="shared" si="33"/>
        <v>-13219.950000000012</v>
      </c>
      <c r="L105" s="817">
        <f t="shared" si="28"/>
        <v>-4.8552671345394142E-2</v>
      </c>
      <c r="M105" s="842">
        <f t="shared" si="38"/>
        <v>-140939.35999999999</v>
      </c>
      <c r="N105" s="827">
        <f t="shared" si="39"/>
        <v>-0.35234839999999995</v>
      </c>
      <c r="O105" s="811">
        <f t="shared" si="30"/>
        <v>-0.86372653087248308</v>
      </c>
      <c r="P105" s="842" t="b">
        <f t="shared" si="34"/>
        <v>0</v>
      </c>
      <c r="Q105" s="827">
        <f>COUNTIF(P$2:P105, TRUE)/(COUNTIF(P$2:P105,FALSE) + COUNTIF(P$2:P105, TRUE))</f>
        <v>0.43269230769230771</v>
      </c>
      <c r="R105" s="828"/>
      <c r="S105" s="828"/>
      <c r="T105" s="828"/>
      <c r="U105" s="828"/>
      <c r="V105" s="827">
        <f>STDEV(D$2:D105)*SQRT(252)</f>
        <v>0.20352342454405692</v>
      </c>
      <c r="W105" s="827">
        <f>STDEV(L$2:L105)*SQRT(252)</f>
        <v>0.32174542830097441</v>
      </c>
      <c r="X105" s="826">
        <f t="shared" si="35"/>
        <v>-1.2154285979431663</v>
      </c>
      <c r="Y105" s="826">
        <f t="shared" si="36"/>
        <v>-2.6845028861280862</v>
      </c>
      <c r="Z105" s="832">
        <f t="shared" si="37"/>
        <v>-0.25143707791708669</v>
      </c>
    </row>
    <row r="106" spans="1:26" ht="20.100000000000001" customHeight="1" x14ac:dyDescent="0.2">
      <c r="A106" s="801">
        <f t="shared" si="29"/>
        <v>150</v>
      </c>
      <c r="B106" s="820">
        <v>42383</v>
      </c>
      <c r="C106" s="843">
        <v>1921.84</v>
      </c>
      <c r="D106" s="817">
        <f t="shared" si="27"/>
        <v>1.6695939225934753E-2</v>
      </c>
      <c r="E106" s="844">
        <f t="shared" ref="E106:E113" si="41">(C106-$C$2)/$C$2</f>
        <v>-8.5900192157683519E-2</v>
      </c>
      <c r="F106" s="841">
        <v>4615</v>
      </c>
      <c r="G106" s="817">
        <f t="shared" si="25"/>
        <v>1.9650645373680331E-2</v>
      </c>
      <c r="H106" s="822">
        <f t="shared" si="32"/>
        <v>-9.3622955005204511E-2</v>
      </c>
      <c r="I106" s="824">
        <v>267077.40000000002</v>
      </c>
      <c r="J106" s="825">
        <v>400000</v>
      </c>
      <c r="K106" s="825">
        <f t="shared" si="33"/>
        <v>8016.7600000000093</v>
      </c>
      <c r="L106" s="817">
        <f t="shared" si="28"/>
        <v>3.0945496004333228E-2</v>
      </c>
      <c r="M106" s="842">
        <f t="shared" si="38"/>
        <v>-132922.59999999998</v>
      </c>
      <c r="N106" s="827">
        <f t="shared" si="39"/>
        <v>-0.33230649999999995</v>
      </c>
      <c r="O106" s="811">
        <f t="shared" si="30"/>
        <v>-0.80916632749999995</v>
      </c>
      <c r="P106" s="842" t="b">
        <f t="shared" si="34"/>
        <v>1</v>
      </c>
      <c r="Q106" s="827">
        <f>COUNTIF(P$2:P106, TRUE)/(COUNTIF(P$2:P106,FALSE) + COUNTIF(P$2:P106, TRUE))</f>
        <v>0.43809523809523809</v>
      </c>
      <c r="R106" s="828"/>
      <c r="S106" s="828"/>
      <c r="T106" s="828"/>
      <c r="U106" s="828"/>
      <c r="V106" s="827">
        <f>STDEV(D$2:D106)*SQRT(252)</f>
        <v>0.20438733546247476</v>
      </c>
      <c r="W106" s="827">
        <f>STDEV(L$2:L106)*SQRT(252)</f>
        <v>0.32453820781135018</v>
      </c>
      <c r="X106" s="826">
        <f t="shared" si="35"/>
        <v>-1.0233851692947098</v>
      </c>
      <c r="Y106" s="826">
        <f t="shared" si="36"/>
        <v>-2.4932852527809537</v>
      </c>
      <c r="Z106" s="832">
        <f t="shared" si="37"/>
        <v>-0.24640630784231643</v>
      </c>
    </row>
    <row r="107" spans="1:26" ht="20.100000000000001" customHeight="1" x14ac:dyDescent="0.2">
      <c r="A107" s="801">
        <f t="shared" si="29"/>
        <v>151</v>
      </c>
      <c r="B107" s="820">
        <v>42384</v>
      </c>
      <c r="C107" s="843">
        <v>1880.33</v>
      </c>
      <c r="D107" s="817">
        <f t="shared" si="27"/>
        <v>-2.1599092536319357E-2</v>
      </c>
      <c r="E107" s="844">
        <f t="shared" si="41"/>
        <v>-0.10564391849470145</v>
      </c>
      <c r="F107" s="841">
        <v>4488.41</v>
      </c>
      <c r="G107" s="817">
        <f t="shared" si="25"/>
        <v>-2.7430119176598083E-2</v>
      </c>
      <c r="H107" s="822">
        <f t="shared" ref="H107:H121" si="42">(F107-F$2)/F$2</f>
        <v>-0.11848498536834456</v>
      </c>
      <c r="I107" s="824">
        <v>249397.57</v>
      </c>
      <c r="J107" s="825">
        <v>400000</v>
      </c>
      <c r="K107" s="825">
        <f t="shared" si="33"/>
        <v>-17679.830000000016</v>
      </c>
      <c r="L107" s="817">
        <f t="shared" si="28"/>
        <v>-6.619740195164403E-2</v>
      </c>
      <c r="M107" s="842">
        <f t="shared" si="38"/>
        <v>-150602.43</v>
      </c>
      <c r="N107" s="827">
        <f t="shared" si="39"/>
        <v>-0.376506075</v>
      </c>
      <c r="O107" s="811">
        <f t="shared" si="30"/>
        <v>-0.91072082048841063</v>
      </c>
      <c r="P107" s="842" t="b">
        <f t="shared" si="34"/>
        <v>0</v>
      </c>
      <c r="Q107" s="827">
        <f>COUNTIF(P$2:P107, TRUE)/(COUNTIF(P$2:P107,FALSE) + COUNTIF(P$2:P107, TRUE))</f>
        <v>0.43396226415094341</v>
      </c>
      <c r="R107" s="828"/>
      <c r="S107" s="828"/>
      <c r="T107" s="828"/>
      <c r="U107" s="828"/>
      <c r="V107" s="827">
        <f>STDEV(D$2:D107)*SQRT(252)</f>
        <v>0.20594332584152428</v>
      </c>
      <c r="W107" s="827">
        <f>STDEV(L$2:L107)*SQRT(252)</f>
        <v>0.33758588878684614</v>
      </c>
      <c r="X107" s="826">
        <f t="shared" si="35"/>
        <v>-1.2408236336434444</v>
      </c>
      <c r="Y107" s="826">
        <f t="shared" si="36"/>
        <v>-2.6977455241425847</v>
      </c>
      <c r="Z107" s="832">
        <f t="shared" si="37"/>
        <v>-0.27086215650529855</v>
      </c>
    </row>
    <row r="108" spans="1:26" ht="20.100000000000001" customHeight="1" x14ac:dyDescent="0.2">
      <c r="A108" s="801">
        <f t="shared" si="29"/>
        <v>155</v>
      </c>
      <c r="B108" s="803">
        <v>42388</v>
      </c>
      <c r="C108" s="804">
        <v>1881.33</v>
      </c>
      <c r="D108" s="817">
        <f t="shared" si="27"/>
        <v>5.3182154196337883E-4</v>
      </c>
      <c r="E108" s="805">
        <f t="shared" si="41"/>
        <v>-0.10516828066437098</v>
      </c>
      <c r="F108" s="806">
        <v>4476.95</v>
      </c>
      <c r="G108" s="817">
        <f t="shared" si="25"/>
        <v>-2.5532426850488339E-3</v>
      </c>
      <c r="H108" s="818">
        <f t="shared" si="42"/>
        <v>-0.12073570713121355</v>
      </c>
      <c r="I108" s="807">
        <v>241697.04</v>
      </c>
      <c r="J108" s="808">
        <v>400000</v>
      </c>
      <c r="K108" s="808">
        <f t="shared" si="33"/>
        <v>-7700.5300000000279</v>
      </c>
      <c r="L108" s="817">
        <f t="shared" si="28"/>
        <v>-3.0876523776875723E-2</v>
      </c>
      <c r="M108" s="836">
        <f t="shared" si="38"/>
        <v>-158302.96</v>
      </c>
      <c r="N108" s="811">
        <f t="shared" si="39"/>
        <v>-0.39575739999999998</v>
      </c>
      <c r="O108" s="811">
        <f t="shared" si="30"/>
        <v>-0.93258316354838711</v>
      </c>
      <c r="P108" s="836" t="b">
        <f t="shared" si="34"/>
        <v>0</v>
      </c>
      <c r="Q108" s="811">
        <f>COUNTIF(P$2:P108, TRUE)/(COUNTIF(P$2:P108,FALSE) + COUNTIF(P$2:P108, TRUE))</f>
        <v>0.42990654205607476</v>
      </c>
      <c r="R108" s="812"/>
      <c r="S108" s="812"/>
      <c r="T108" s="812"/>
      <c r="U108" s="812"/>
      <c r="V108" s="811">
        <f>STDEV(D$2:D108)*SQRT(252)</f>
        <v>0.20497353903003479</v>
      </c>
      <c r="W108" s="811">
        <f>STDEV(L$2:L108)*SQRT(252)</f>
        <v>0.33863790038958375</v>
      </c>
      <c r="X108" s="826">
        <f t="shared" si="35"/>
        <v>-1.2090534503651345</v>
      </c>
      <c r="Y108" s="826">
        <f t="shared" si="36"/>
        <v>-2.7539243613178055</v>
      </c>
      <c r="Z108" s="832">
        <f t="shared" si="37"/>
        <v>-0.29058911933562903</v>
      </c>
    </row>
    <row r="109" spans="1:26" ht="20.100000000000001" customHeight="1" x14ac:dyDescent="0.2">
      <c r="A109" s="801">
        <f t="shared" si="29"/>
        <v>156</v>
      </c>
      <c r="B109" s="803">
        <v>42389</v>
      </c>
      <c r="C109" s="804">
        <v>1859.33</v>
      </c>
      <c r="D109" s="817">
        <f t="shared" si="27"/>
        <v>-1.1693854879260949E-2</v>
      </c>
      <c r="E109" s="805">
        <f t="shared" si="41"/>
        <v>-0.11563231293164139</v>
      </c>
      <c r="F109" s="806">
        <v>4471.68</v>
      </c>
      <c r="G109" s="817">
        <f t="shared" si="25"/>
        <v>-1.1771406872981666E-3</v>
      </c>
      <c r="H109" s="818">
        <f t="shared" si="42"/>
        <v>-0.12177072490523785</v>
      </c>
      <c r="I109" s="807">
        <v>239001.56</v>
      </c>
      <c r="J109" s="808">
        <v>400000</v>
      </c>
      <c r="K109" s="808">
        <f t="shared" si="33"/>
        <v>-2695.4799999999814</v>
      </c>
      <c r="L109" s="817">
        <f t="shared" si="28"/>
        <v>-1.1152308691906121E-2</v>
      </c>
      <c r="M109" s="836">
        <f t="shared" si="38"/>
        <v>-160998.44</v>
      </c>
      <c r="N109" s="811">
        <f t="shared" si="39"/>
        <v>-0.40249610000000002</v>
      </c>
      <c r="O109" s="811">
        <f t="shared" si="30"/>
        <v>-0.94238269567307698</v>
      </c>
      <c r="P109" s="836" t="b">
        <f t="shared" si="34"/>
        <v>1</v>
      </c>
      <c r="Q109" s="811">
        <f>COUNTIF(P$2:P109, TRUE)/(COUNTIF(P$2:P109,FALSE) + COUNTIF(P$2:P109, TRUE))</f>
        <v>0.43518518518518517</v>
      </c>
      <c r="R109" s="812"/>
      <c r="S109" s="812"/>
      <c r="T109" s="812"/>
      <c r="U109" s="812"/>
      <c r="V109" s="811">
        <f>STDEV(D$2:D109)*SQRT(252)</f>
        <v>0.20466775158586656</v>
      </c>
      <c r="W109" s="811">
        <f>STDEV(L$2:L109)*SQRT(252)</f>
        <v>0.33723365750596535</v>
      </c>
      <c r="X109" s="826">
        <f t="shared" si="35"/>
        <v>-1.3228037589949722</v>
      </c>
      <c r="Y109" s="826">
        <f t="shared" si="36"/>
        <v>-2.794450300846401</v>
      </c>
      <c r="Z109" s="832">
        <f t="shared" si="37"/>
        <v>-0.28686378706835863</v>
      </c>
    </row>
    <row r="110" spans="1:26" ht="20.100000000000001" customHeight="1" x14ac:dyDescent="0.2">
      <c r="A110" s="801">
        <f t="shared" si="29"/>
        <v>157</v>
      </c>
      <c r="B110" s="803">
        <v>42390</v>
      </c>
      <c r="C110" s="804">
        <v>1868.99</v>
      </c>
      <c r="D110" s="817">
        <f t="shared" si="27"/>
        <v>5.1954198555394055E-3</v>
      </c>
      <c r="E110" s="805">
        <f t="shared" si="41"/>
        <v>-0.11103765149064898</v>
      </c>
      <c r="F110" s="806">
        <v>4472.0600000000004</v>
      </c>
      <c r="G110" s="817">
        <f t="shared" si="25"/>
        <v>8.4979247173346285E-5</v>
      </c>
      <c r="H110" s="818">
        <f t="shared" si="42"/>
        <v>-0.1216960936425947</v>
      </c>
      <c r="I110" s="807">
        <v>254991.51</v>
      </c>
      <c r="J110" s="808">
        <v>400000</v>
      </c>
      <c r="K110" s="808">
        <f t="shared" si="33"/>
        <v>15989.950000000012</v>
      </c>
      <c r="L110" s="817">
        <f t="shared" si="28"/>
        <v>6.6903119795536106E-2</v>
      </c>
      <c r="M110" s="836">
        <f t="shared" si="38"/>
        <v>-145008.49</v>
      </c>
      <c r="N110" s="811">
        <f t="shared" si="39"/>
        <v>-0.362521225</v>
      </c>
      <c r="O110" s="811">
        <f t="shared" si="30"/>
        <v>-0.84338138491242032</v>
      </c>
      <c r="P110" s="836" t="b">
        <f t="shared" si="34"/>
        <v>1</v>
      </c>
      <c r="Q110" s="811">
        <f>COUNTIF(P$2:P110, TRUE)/(COUNTIF(P$2:P110,FALSE) + COUNTIF(P$2:P110, TRUE))</f>
        <v>0.44036697247706424</v>
      </c>
      <c r="R110" s="812"/>
      <c r="S110" s="812"/>
      <c r="T110" s="812"/>
      <c r="U110" s="812"/>
      <c r="V110" s="811">
        <f>STDEV(D$2:D110)*SQRT(252)</f>
        <v>0.20393347244728127</v>
      </c>
      <c r="W110" s="811">
        <f>STDEV(L$2:L110)*SQRT(252)</f>
        <v>0.35256157198523613</v>
      </c>
      <c r="X110" s="826">
        <f t="shared" si="35"/>
        <v>-1.2666957856798184</v>
      </c>
      <c r="Y110" s="826">
        <f t="shared" si="36"/>
        <v>-2.3921534617724527</v>
      </c>
      <c r="Z110" s="832">
        <f t="shared" si="37"/>
        <v>-0.25148357350935102</v>
      </c>
    </row>
    <row r="111" spans="1:26" ht="20.100000000000001" customHeight="1" x14ac:dyDescent="0.2">
      <c r="A111" s="801">
        <f t="shared" si="29"/>
        <v>158</v>
      </c>
      <c r="B111" s="803">
        <v>42391</v>
      </c>
      <c r="C111" s="837">
        <v>1906.9</v>
      </c>
      <c r="D111" s="817">
        <f t="shared" si="27"/>
        <v>2.0283682630725729E-2</v>
      </c>
      <c r="E111" s="805">
        <f t="shared" si="41"/>
        <v>-9.3006221342820702E-2</v>
      </c>
      <c r="F111" s="806">
        <v>4591.18</v>
      </c>
      <c r="G111" s="817">
        <f t="shared" si="25"/>
        <v>2.6636494143638476E-2</v>
      </c>
      <c r="H111" s="818">
        <f t="shared" si="42"/>
        <v>-9.8301156784570881E-2</v>
      </c>
      <c r="I111" s="807">
        <v>260098.81</v>
      </c>
      <c r="J111" s="808">
        <v>400000</v>
      </c>
      <c r="K111" s="808">
        <f t="shared" si="33"/>
        <v>5107.2999999999884</v>
      </c>
      <c r="L111" s="817">
        <f t="shared" si="28"/>
        <v>2.0029294308661447E-2</v>
      </c>
      <c r="M111" s="836">
        <f t="shared" si="38"/>
        <v>-139901.19</v>
      </c>
      <c r="N111" s="811">
        <f t="shared" si="39"/>
        <v>-0.34975297500000002</v>
      </c>
      <c r="O111" s="811">
        <f t="shared" si="30"/>
        <v>-0.80852705138449377</v>
      </c>
      <c r="P111" s="836" t="b">
        <f t="shared" si="34"/>
        <v>0</v>
      </c>
      <c r="Q111" s="811">
        <f>COUNTIF(P$2:P111, TRUE)/(COUNTIF(P$2:P111,FALSE) + COUNTIF(P$2:P111, TRUE))</f>
        <v>0.43636363636363634</v>
      </c>
      <c r="R111" s="812"/>
      <c r="S111" s="812"/>
      <c r="T111" s="812"/>
      <c r="U111" s="812"/>
      <c r="V111" s="811">
        <f>STDEV(D$2:D111)*SQRT(252)</f>
        <v>0.20555239783673285</v>
      </c>
      <c r="W111" s="811">
        <f>STDEV(L$2:L111)*SQRT(252)</f>
        <v>0.35267737853182896</v>
      </c>
      <c r="X111" s="826">
        <f t="shared" si="35"/>
        <v>-1.0459780972962973</v>
      </c>
      <c r="Y111" s="826">
        <f t="shared" si="36"/>
        <v>-2.2925401531290008</v>
      </c>
      <c r="Z111" s="832">
        <f t="shared" si="37"/>
        <v>-0.25674675365717931</v>
      </c>
    </row>
    <row r="112" spans="1:26" ht="20.100000000000001" customHeight="1" x14ac:dyDescent="0.2">
      <c r="A112" s="801">
        <f t="shared" si="29"/>
        <v>161</v>
      </c>
      <c r="B112" s="820">
        <v>42394</v>
      </c>
      <c r="C112" s="845">
        <v>1877.08</v>
      </c>
      <c r="D112" s="817">
        <f t="shared" si="27"/>
        <v>-1.5637946405160294E-2</v>
      </c>
      <c r="E112" s="844">
        <f t="shared" si="41"/>
        <v>-0.10718974144327549</v>
      </c>
      <c r="F112" s="841">
        <v>4518.49</v>
      </c>
      <c r="G112" s="817">
        <f t="shared" si="25"/>
        <v>-1.5832531070443873E-2</v>
      </c>
      <c r="H112" s="822">
        <f t="shared" si="42"/>
        <v>-0.11257733173596246</v>
      </c>
      <c r="I112" s="824">
        <v>241845.81</v>
      </c>
      <c r="J112" s="825">
        <v>400000</v>
      </c>
      <c r="K112" s="825">
        <f t="shared" si="33"/>
        <v>-18253</v>
      </c>
      <c r="L112" s="817">
        <f t="shared" si="28"/>
        <v>-7.0177176127795435E-2</v>
      </c>
      <c r="M112" s="842">
        <f t="shared" si="38"/>
        <v>-158154.19</v>
      </c>
      <c r="N112" s="827">
        <f t="shared" si="39"/>
        <v>-0.39538547499999999</v>
      </c>
      <c r="O112" s="811">
        <f t="shared" si="30"/>
        <v>-0.89698474996118005</v>
      </c>
      <c r="P112" s="842" t="b">
        <f t="shared" si="34"/>
        <v>0</v>
      </c>
      <c r="Q112" s="827">
        <f>COUNTIF(P$2:P112, TRUE)/(COUNTIF(P$2:P112,FALSE) + COUNTIF(P$2:P112, TRUE))</f>
        <v>0.43243243243243246</v>
      </c>
      <c r="R112" s="828"/>
      <c r="S112" s="828"/>
      <c r="T112" s="828"/>
      <c r="U112" s="828"/>
      <c r="V112" s="827">
        <f>STDEV(D$2:D112)*SQRT(252)</f>
        <v>0.2058342089719612</v>
      </c>
      <c r="W112" s="827">
        <f>STDEV(L$2:L112)*SQRT(252)</f>
        <v>0.36554774877731538</v>
      </c>
      <c r="X112" s="826">
        <f t="shared" si="35"/>
        <v>-1.1814082986332684</v>
      </c>
      <c r="Y112" s="826">
        <f t="shared" si="36"/>
        <v>-2.4538100780579715</v>
      </c>
      <c r="Z112" s="832">
        <f t="shared" si="37"/>
        <v>-0.28819573355672451</v>
      </c>
    </row>
    <row r="113" spans="1:26" ht="20.100000000000001" customHeight="1" x14ac:dyDescent="0.2">
      <c r="A113" s="801">
        <f t="shared" si="29"/>
        <v>162</v>
      </c>
      <c r="B113" s="820">
        <v>42395</v>
      </c>
      <c r="C113" s="843">
        <v>1903.63</v>
      </c>
      <c r="D113" s="817">
        <f t="shared" si="27"/>
        <v>1.4144309246276229E-2</v>
      </c>
      <c r="E113" s="844">
        <f t="shared" si="41"/>
        <v>-9.4561557048001343E-2</v>
      </c>
      <c r="F113" s="841">
        <v>4567.67</v>
      </c>
      <c r="G113" s="817">
        <f t="shared" si="25"/>
        <v>1.0884167055808532E-2</v>
      </c>
      <c r="H113" s="822">
        <f t="shared" si="42"/>
        <v>-0.10291847516546532</v>
      </c>
      <c r="I113" s="824">
        <v>248055.57</v>
      </c>
      <c r="J113" s="825">
        <v>400000</v>
      </c>
      <c r="K113" s="825">
        <f t="shared" si="33"/>
        <v>6209.7600000000093</v>
      </c>
      <c r="L113" s="817">
        <f t="shared" si="28"/>
        <v>2.5676525055364861E-2</v>
      </c>
      <c r="M113" s="842">
        <f t="shared" si="38"/>
        <v>-151944.43</v>
      </c>
      <c r="N113" s="827">
        <f t="shared" si="39"/>
        <v>-0.37986107499999999</v>
      </c>
      <c r="O113" s="811">
        <f t="shared" si="30"/>
        <v>-0.85644603483796289</v>
      </c>
      <c r="P113" s="842" t="b">
        <f t="shared" si="34"/>
        <v>1</v>
      </c>
      <c r="Q113" s="827">
        <f>COUNTIF(P$2:P113, TRUE)/(COUNTIF(P$2:P113,FALSE) + COUNTIF(P$2:P113, TRUE))</f>
        <v>0.4375</v>
      </c>
      <c r="R113" s="828"/>
      <c r="S113" s="828"/>
      <c r="T113" s="828"/>
      <c r="U113" s="828"/>
      <c r="V113" s="827">
        <f>STDEV(D$2:D113)*SQRT(252)</f>
        <v>0.20615429037873539</v>
      </c>
      <c r="W113" s="827">
        <f>STDEV(L$2:L113)*SQRT(252)</f>
        <v>0.36652123813825849</v>
      </c>
      <c r="X113" s="826">
        <f t="shared" si="35"/>
        <v>-1.034183125428312</v>
      </c>
      <c r="Y113" s="826">
        <f t="shared" si="36"/>
        <v>-2.3366886982819146</v>
      </c>
      <c r="Z113" s="832">
        <f t="shared" si="37"/>
        <v>-0.28529951795199865</v>
      </c>
    </row>
    <row r="114" spans="1:26" ht="20.100000000000001" customHeight="1" x14ac:dyDescent="0.2">
      <c r="A114" s="801">
        <f t="shared" si="29"/>
        <v>163</v>
      </c>
      <c r="B114" s="820">
        <v>42396</v>
      </c>
      <c r="C114" s="843">
        <v>1882.95</v>
      </c>
      <c r="D114" s="817">
        <f t="shared" si="27"/>
        <v>-1.0863455608495382E-2</v>
      </c>
      <c r="E114" s="844">
        <f>(C114-$C$2)/$C$2</f>
        <v>-0.10439774737923556</v>
      </c>
      <c r="F114" s="841">
        <v>4468.16</v>
      </c>
      <c r="G114" s="817">
        <f t="shared" si="25"/>
        <v>-2.1785724450321547E-2</v>
      </c>
      <c r="H114" s="822">
        <f t="shared" si="42"/>
        <v>-0.12246204607498477</v>
      </c>
      <c r="I114" s="824">
        <v>251585.76</v>
      </c>
      <c r="J114" s="825">
        <v>400000</v>
      </c>
      <c r="K114" s="825">
        <f t="shared" si="33"/>
        <v>3530.1900000000023</v>
      </c>
      <c r="L114" s="817">
        <f t="shared" si="28"/>
        <v>1.4231448219445353E-2</v>
      </c>
      <c r="M114" s="842">
        <f t="shared" si="38"/>
        <v>-148414.24</v>
      </c>
      <c r="N114" s="827">
        <f t="shared" si="39"/>
        <v>-0.37103559999999997</v>
      </c>
      <c r="O114" s="811">
        <f t="shared" si="30"/>
        <v>-0.83141566196319017</v>
      </c>
      <c r="P114" s="842" t="b">
        <f t="shared" si="34"/>
        <v>1</v>
      </c>
      <c r="Q114" s="827">
        <f>COUNTIF(P$2:P114, TRUE)/(COUNTIF(P$2:P114,FALSE) + COUNTIF(P$2:P114, TRUE))</f>
        <v>0.44247787610619471</v>
      </c>
      <c r="R114" s="828"/>
      <c r="S114" s="828"/>
      <c r="T114" s="828"/>
      <c r="U114" s="828"/>
      <c r="V114" s="827">
        <f>STDEV(D$2:D114)*SQRT(252)</f>
        <v>0.20577679311518093</v>
      </c>
      <c r="W114" s="827">
        <f>STDEV(L$2:L114)*SQRT(252)</f>
        <v>0.36580201811385399</v>
      </c>
      <c r="X114" s="826">
        <f t="shared" si="35"/>
        <v>-1.136834783918798</v>
      </c>
      <c r="Y114" s="826">
        <f t="shared" si="36"/>
        <v>-2.272856957569918</v>
      </c>
      <c r="Z114" s="832">
        <f t="shared" si="37"/>
        <v>-0.26663785262076439</v>
      </c>
    </row>
    <row r="115" spans="1:26" ht="20.100000000000001" customHeight="1" x14ac:dyDescent="0.2">
      <c r="A115" s="801">
        <f t="shared" si="29"/>
        <v>164</v>
      </c>
      <c r="B115" s="820">
        <v>42397</v>
      </c>
      <c r="C115" s="843">
        <v>1893.36</v>
      </c>
      <c r="D115" s="817">
        <f t="shared" si="27"/>
        <v>5.5285589102205867E-3</v>
      </c>
      <c r="E115" s="844">
        <f t="shared" ref="E115:E124" si="43">(C115-$C$2)/$C$2</f>
        <v>-9.94463575654954E-2</v>
      </c>
      <c r="F115" s="841">
        <v>4506.67</v>
      </c>
      <c r="G115" s="817">
        <f t="shared" si="25"/>
        <v>8.6187602950655792E-3</v>
      </c>
      <c r="H115" s="822">
        <f t="shared" si="42"/>
        <v>-0.11489875680028276</v>
      </c>
      <c r="I115" s="824">
        <v>256687.6</v>
      </c>
      <c r="J115" s="825">
        <v>400000</v>
      </c>
      <c r="K115" s="825">
        <f t="shared" si="33"/>
        <v>5101.8399999999674</v>
      </c>
      <c r="L115" s="817">
        <f t="shared" si="28"/>
        <v>2.027873119686888E-2</v>
      </c>
      <c r="M115" s="842">
        <f t="shared" si="38"/>
        <v>-143312.4</v>
      </c>
      <c r="N115" s="827">
        <f t="shared" si="39"/>
        <v>-0.35828099999999996</v>
      </c>
      <c r="O115" s="811">
        <f t="shared" si="30"/>
        <v>-0.79793984908536575</v>
      </c>
      <c r="P115" s="842" t="b">
        <f t="shared" si="34"/>
        <v>1</v>
      </c>
      <c r="Q115" s="827">
        <f>COUNTIF(P$2:P115, TRUE)/(COUNTIF(P$2:P115,FALSE) + COUNTIF(P$2:P115, TRUE))</f>
        <v>0.44736842105263158</v>
      </c>
      <c r="R115" s="828"/>
      <c r="S115" s="828"/>
      <c r="T115" s="828"/>
      <c r="U115" s="828"/>
      <c r="V115" s="827">
        <f>STDEV(D$2:D115)*SQRT(252)</f>
        <v>0.20508094349641362</v>
      </c>
      <c r="W115" s="827">
        <f>STDEV(L$2:L115)*SQRT(252)</f>
        <v>0.36582687593251006</v>
      </c>
      <c r="X115" s="826">
        <f t="shared" si="35"/>
        <v>-1.079965670565928</v>
      </c>
      <c r="Y115" s="826">
        <f t="shared" si="36"/>
        <v>-2.18119526361036</v>
      </c>
      <c r="Z115" s="832">
        <f t="shared" si="37"/>
        <v>-0.25883464243450455</v>
      </c>
    </row>
    <row r="116" spans="1:26" ht="20.100000000000001" customHeight="1" x14ac:dyDescent="0.2">
      <c r="A116" s="801">
        <f t="shared" si="29"/>
        <v>165</v>
      </c>
      <c r="B116" s="820">
        <v>42398</v>
      </c>
      <c r="C116" s="843">
        <v>1940.24</v>
      </c>
      <c r="D116" s="817">
        <f t="shared" si="27"/>
        <v>2.4760214644864217E-2</v>
      </c>
      <c r="E116" s="844">
        <f t="shared" si="43"/>
        <v>-7.7148456079602773E-2</v>
      </c>
      <c r="F116" s="841">
        <v>4613.95</v>
      </c>
      <c r="G116" s="817">
        <f t="shared" si="25"/>
        <v>2.3804716120772042E-2</v>
      </c>
      <c r="H116" s="822">
        <f t="shared" si="42"/>
        <v>-9.3829172967771088E-2</v>
      </c>
      <c r="I116" s="848">
        <v>272541.61</v>
      </c>
      <c r="J116" s="825">
        <v>400000</v>
      </c>
      <c r="K116" s="825">
        <f t="shared" si="33"/>
        <v>15854.010000000009</v>
      </c>
      <c r="L116" s="817">
        <f t="shared" si="28"/>
        <v>6.1763832767924937E-2</v>
      </c>
      <c r="M116" s="842">
        <f t="shared" si="38"/>
        <v>-127458.39000000001</v>
      </c>
      <c r="N116" s="827">
        <f t="shared" si="39"/>
        <v>-0.31864597500000003</v>
      </c>
      <c r="O116" s="811">
        <f t="shared" si="30"/>
        <v>-0.70536631738636368</v>
      </c>
      <c r="P116" s="842" t="b">
        <f t="shared" si="34"/>
        <v>1</v>
      </c>
      <c r="Q116" s="827">
        <f>COUNTIF(P$2:P116, TRUE)/(COUNTIF(P$2:P116,FALSE) + COUNTIF(P$2:P116, TRUE))</f>
        <v>0.45217391304347826</v>
      </c>
      <c r="R116" s="828"/>
      <c r="S116" s="828"/>
      <c r="T116" s="828"/>
      <c r="U116" s="828"/>
      <c r="V116" s="827">
        <f>STDEV(D$2:D116)*SQRT(252)</f>
        <v>0.2076899725605586</v>
      </c>
      <c r="W116" s="827">
        <f>STDEV(L$2:L116)*SQRT(252)</f>
        <v>0.37665623164224904</v>
      </c>
      <c r="X116" s="826">
        <f t="shared" si="35"/>
        <v>-0.82227671211433029</v>
      </c>
      <c r="Y116" s="826">
        <f t="shared" si="36"/>
        <v>-1.8727058206654761</v>
      </c>
      <c r="Z116" s="832">
        <f t="shared" si="37"/>
        <v>-0.24149751892039725</v>
      </c>
    </row>
    <row r="117" spans="1:26" ht="20.100000000000001" customHeight="1" x14ac:dyDescent="0.2">
      <c r="A117" s="801">
        <f t="shared" si="29"/>
        <v>168</v>
      </c>
      <c r="B117" s="849">
        <v>42401</v>
      </c>
      <c r="C117" s="850">
        <v>1939.38</v>
      </c>
      <c r="D117" s="817">
        <f t="shared" si="27"/>
        <v>-4.4324413474616542E-4</v>
      </c>
      <c r="E117" s="851">
        <f t="shared" si="43"/>
        <v>-7.755750461368692E-2</v>
      </c>
      <c r="F117" s="852">
        <v>4620.3599999999997</v>
      </c>
      <c r="G117" s="817">
        <f t="shared" si="25"/>
        <v>1.3892651632548803E-3</v>
      </c>
      <c r="H117" s="853">
        <f t="shared" si="42"/>
        <v>-9.2570261405817339E-2</v>
      </c>
      <c r="I117" s="854">
        <v>271687.27</v>
      </c>
      <c r="J117" s="855">
        <v>400000</v>
      </c>
      <c r="K117" s="855">
        <f t="shared" si="33"/>
        <v>-854.3399999999674</v>
      </c>
      <c r="L117" s="817">
        <f t="shared" si="28"/>
        <v>-3.1347139983504443E-3</v>
      </c>
      <c r="M117" s="856">
        <f t="shared" si="38"/>
        <v>-128312.72999999998</v>
      </c>
      <c r="N117" s="857">
        <f t="shared" si="39"/>
        <v>-0.32078182499999996</v>
      </c>
      <c r="O117" s="811">
        <f t="shared" si="30"/>
        <v>-0.69741405703124992</v>
      </c>
      <c r="P117" s="856" t="b">
        <f t="shared" si="34"/>
        <v>0</v>
      </c>
      <c r="Q117" s="857">
        <f>COUNTIF(P$2:P117, TRUE)/(COUNTIF(P$2:P117,FALSE) + COUNTIF(P$2:P117, TRUE))</f>
        <v>0.44827586206896552</v>
      </c>
      <c r="R117" s="858"/>
      <c r="S117" s="858"/>
      <c r="T117" s="858"/>
      <c r="U117" s="858"/>
      <c r="V117" s="857">
        <f>STDEV(D$2:D117)*SQRT(252)</f>
        <v>0.20677720896061949</v>
      </c>
      <c r="W117" s="857">
        <f>STDEV(L$2:L117)*SQRT(252)</f>
        <v>0.37500277790793834</v>
      </c>
      <c r="X117" s="826">
        <f t="shared" si="35"/>
        <v>-0.81545894545324737</v>
      </c>
      <c r="Y117" s="826">
        <f t="shared" si="36"/>
        <v>-1.8597570421263978</v>
      </c>
      <c r="Z117" s="832">
        <f t="shared" si="37"/>
        <v>-0.24322432038631303</v>
      </c>
    </row>
    <row r="118" spans="1:26" ht="20.100000000000001" customHeight="1" x14ac:dyDescent="0.2">
      <c r="A118" s="801">
        <f t="shared" si="29"/>
        <v>169</v>
      </c>
      <c r="B118" s="849">
        <v>42402</v>
      </c>
      <c r="C118" s="850">
        <v>1903.03</v>
      </c>
      <c r="D118" s="817">
        <f t="shared" si="27"/>
        <v>-1.8743103466056232E-2</v>
      </c>
      <c r="E118" s="851">
        <f t="shared" si="43"/>
        <v>-9.484693974619969E-2</v>
      </c>
      <c r="F118" s="852">
        <v>4516.9399999999996</v>
      </c>
      <c r="G118" s="817">
        <f t="shared" si="25"/>
        <v>-2.2383537213550478E-2</v>
      </c>
      <c r="H118" s="853">
        <f t="shared" si="42"/>
        <v>-0.11288174872832261</v>
      </c>
      <c r="I118" s="854">
        <v>258167.62</v>
      </c>
      <c r="J118" s="855">
        <v>400000</v>
      </c>
      <c r="K118" s="855">
        <f t="shared" si="33"/>
        <v>-13519.650000000023</v>
      </c>
      <c r="L118" s="817">
        <f t="shared" si="28"/>
        <v>-4.9761808862078899E-2</v>
      </c>
      <c r="M118" s="856">
        <f t="shared" si="38"/>
        <v>-141832.38</v>
      </c>
      <c r="N118" s="857">
        <f t="shared" si="39"/>
        <v>-0.35458095000000001</v>
      </c>
      <c r="O118" s="811">
        <f t="shared" si="30"/>
        <v>-0.76633545554733729</v>
      </c>
      <c r="P118" s="856" t="b">
        <f t="shared" si="34"/>
        <v>0</v>
      </c>
      <c r="Q118" s="857">
        <f>COUNTIF(P$2:P118, TRUE)/(COUNTIF(P$2:P118,FALSE) + COUNTIF(P$2:P118, TRUE))</f>
        <v>0.44444444444444442</v>
      </c>
      <c r="R118" s="858"/>
      <c r="S118" s="858"/>
      <c r="T118" s="858"/>
      <c r="U118" s="858"/>
      <c r="V118" s="857">
        <f>STDEV(D$2:D118)*SQRT(252)</f>
        <v>0.20760234411553996</v>
      </c>
      <c r="W118" s="857">
        <f>STDEV(L$2:L118)*SQRT(252)</f>
        <v>0.37987177172236325</v>
      </c>
      <c r="X118" s="826">
        <f t="shared" si="35"/>
        <v>-0.98740333530034763</v>
      </c>
      <c r="Y118" s="826">
        <f t="shared" si="36"/>
        <v>-2.0173529927552201</v>
      </c>
      <c r="Z118" s="832">
        <f t="shared" si="37"/>
        <v>-0.25973401025380033</v>
      </c>
    </row>
    <row r="119" spans="1:26" ht="20.100000000000001" customHeight="1" x14ac:dyDescent="0.2">
      <c r="A119" s="801">
        <f t="shared" si="29"/>
        <v>170</v>
      </c>
      <c r="B119" s="849">
        <v>42403</v>
      </c>
      <c r="C119" s="850">
        <v>1912.53</v>
      </c>
      <c r="D119" s="817">
        <f t="shared" si="27"/>
        <v>4.9920390114711801E-3</v>
      </c>
      <c r="E119" s="851">
        <f t="shared" si="43"/>
        <v>-9.0328380358060192E-2</v>
      </c>
      <c r="F119" s="852">
        <v>4504.2299999999996</v>
      </c>
      <c r="G119" s="817">
        <f t="shared" si="25"/>
        <v>-2.8138518554596779E-3</v>
      </c>
      <c r="H119" s="853">
        <f t="shared" si="42"/>
        <v>-0.11537796806567556</v>
      </c>
      <c r="I119" s="854">
        <v>270997.09999999998</v>
      </c>
      <c r="J119" s="855">
        <v>400000</v>
      </c>
      <c r="K119" s="855">
        <f t="shared" si="33"/>
        <v>12829.479999999981</v>
      </c>
      <c r="L119" s="817">
        <f t="shared" si="28"/>
        <v>4.9694380728303504E-2</v>
      </c>
      <c r="M119" s="856">
        <f t="shared" si="38"/>
        <v>-129002.90000000002</v>
      </c>
      <c r="N119" s="857">
        <f t="shared" si="39"/>
        <v>-0.32250725000000008</v>
      </c>
      <c r="O119" s="811">
        <f t="shared" si="30"/>
        <v>-0.69291631213235316</v>
      </c>
      <c r="P119" s="856" t="b">
        <f t="shared" si="34"/>
        <v>1</v>
      </c>
      <c r="Q119" s="857">
        <f>COUNTIF(P$2:P119, TRUE)/(COUNTIF(P$2:P119,FALSE) + COUNTIF(P$2:P119, TRUE))</f>
        <v>0.44915254237288138</v>
      </c>
      <c r="R119" s="858"/>
      <c r="S119" s="858"/>
      <c r="T119" s="858"/>
      <c r="U119" s="858"/>
      <c r="V119" s="857">
        <f>STDEV(D$2:D119)*SQRT(252)</f>
        <v>0.20687869960829744</v>
      </c>
      <c r="W119" s="857">
        <f>STDEV(L$2:L119)*SQRT(252)</f>
        <v>0.38596402182857842</v>
      </c>
      <c r="X119" s="826">
        <f t="shared" si="35"/>
        <v>-0.93810132354765563</v>
      </c>
      <c r="Y119" s="826">
        <f t="shared" si="36"/>
        <v>-1.7952873142152721</v>
      </c>
      <c r="Z119" s="832">
        <f t="shared" si="37"/>
        <v>-0.2321788696419399</v>
      </c>
    </row>
    <row r="120" spans="1:26" ht="20.100000000000001" customHeight="1" x14ac:dyDescent="0.2">
      <c r="A120" s="801">
        <f t="shared" si="29"/>
        <v>171</v>
      </c>
      <c r="B120" s="849">
        <v>42404</v>
      </c>
      <c r="C120" s="850">
        <v>1915.45</v>
      </c>
      <c r="D120" s="817">
        <f t="shared" si="27"/>
        <v>1.5267734362337181E-3</v>
      </c>
      <c r="E120" s="851">
        <f t="shared" si="43"/>
        <v>-8.8939517893495176E-2</v>
      </c>
      <c r="F120" s="852">
        <v>4509.55</v>
      </c>
      <c r="G120" s="817">
        <f t="shared" si="25"/>
        <v>1.1811119769640137E-3</v>
      </c>
      <c r="H120" s="853">
        <f t="shared" si="42"/>
        <v>-0.1143331303886717</v>
      </c>
      <c r="I120" s="854">
        <v>272162.3</v>
      </c>
      <c r="J120" s="855">
        <v>400000</v>
      </c>
      <c r="K120" s="855">
        <f t="shared" ref="K120:K151" si="44">I120-I119-J120+J119</f>
        <v>1165.2000000000116</v>
      </c>
      <c r="L120" s="817">
        <f t="shared" si="28"/>
        <v>4.2996770076137777E-3</v>
      </c>
      <c r="M120" s="856">
        <f t="shared" si="38"/>
        <v>-127837.70000000001</v>
      </c>
      <c r="N120" s="857">
        <f t="shared" si="39"/>
        <v>-0.31959425000000002</v>
      </c>
      <c r="O120" s="811">
        <f t="shared" si="30"/>
        <v>-0.68264210416666671</v>
      </c>
      <c r="P120" s="856" t="b">
        <f t="shared" si="34"/>
        <v>1</v>
      </c>
      <c r="Q120" s="857">
        <f>COUNTIF(P$2:P120, TRUE)/(COUNTIF(P$2:P120,FALSE) + COUNTIF(P$2:P120, TRUE))</f>
        <v>0.45378151260504201</v>
      </c>
      <c r="R120" s="858"/>
      <c r="S120" s="858"/>
      <c r="T120" s="858"/>
      <c r="U120" s="858"/>
      <c r="V120" s="857">
        <f>STDEV(D$2:D120)*SQRT(252)</f>
        <v>0.20601897567851155</v>
      </c>
      <c r="W120" s="857">
        <f>STDEV(L$2:L120)*SQRT(252)</f>
        <v>0.38442983265447928</v>
      </c>
      <c r="X120" s="826">
        <f t="shared" si="35"/>
        <v>-0.92210772774695426</v>
      </c>
      <c r="Y120" s="826">
        <f t="shared" si="36"/>
        <v>-1.7757261434499982</v>
      </c>
      <c r="Z120" s="832">
        <f t="shared" si="37"/>
        <v>-0.23065473210650483</v>
      </c>
    </row>
    <row r="121" spans="1:26" ht="20.100000000000001" customHeight="1" x14ac:dyDescent="0.2">
      <c r="A121" s="801">
        <f t="shared" si="29"/>
        <v>172</v>
      </c>
      <c r="B121" s="849">
        <v>42405</v>
      </c>
      <c r="C121" s="850">
        <v>1880.02</v>
      </c>
      <c r="D121" s="817">
        <f t="shared" si="27"/>
        <v>-1.8496958939152711E-2</v>
      </c>
      <c r="E121" s="851">
        <f t="shared" si="43"/>
        <v>-0.10579136622210387</v>
      </c>
      <c r="F121" s="852">
        <v>4363.1400000000003</v>
      </c>
      <c r="G121" s="817">
        <f t="shared" si="25"/>
        <v>-3.2466654100741725E-2</v>
      </c>
      <c r="H121" s="853">
        <f t="shared" si="42"/>
        <v>-0.1430877702928294</v>
      </c>
      <c r="I121" s="854">
        <v>257957.43</v>
      </c>
      <c r="J121" s="855">
        <v>400000</v>
      </c>
      <c r="K121" s="855">
        <f t="shared" si="44"/>
        <v>-14204.869999999995</v>
      </c>
      <c r="L121" s="817">
        <f t="shared" si="28"/>
        <v>-5.2192643874629206E-2</v>
      </c>
      <c r="M121" s="856">
        <f t="shared" si="38"/>
        <v>-142042.57</v>
      </c>
      <c r="N121" s="857">
        <f t="shared" si="39"/>
        <v>-0.355106425</v>
      </c>
      <c r="O121" s="811">
        <f t="shared" si="30"/>
        <v>-0.75408501006540696</v>
      </c>
      <c r="P121" s="856" t="b">
        <f t="shared" si="34"/>
        <v>0</v>
      </c>
      <c r="Q121" s="857">
        <f>COUNTIF(P$2:P121, TRUE)/(COUNTIF(P$2:P121,FALSE) + COUNTIF(P$2:P121, TRUE))</f>
        <v>0.45</v>
      </c>
      <c r="R121" s="858"/>
      <c r="S121" s="858"/>
      <c r="T121" s="858"/>
      <c r="U121" s="858"/>
      <c r="V121" s="857">
        <f>STDEV(D$2:D121)*SQRT(252)</f>
        <v>0.20677147424628983</v>
      </c>
      <c r="W121" s="857">
        <f>STDEV(L$2:L121)*SQRT(252)</f>
        <v>0.38965360022711565</v>
      </c>
      <c r="X121" s="826">
        <f t="shared" si="35"/>
        <v>-1.0864791070440902</v>
      </c>
      <c r="Y121" s="826">
        <f t="shared" si="36"/>
        <v>-1.935270223670144</v>
      </c>
      <c r="Z121" s="832">
        <f t="shared" si="37"/>
        <v>-0.24931505877789611</v>
      </c>
    </row>
    <row r="122" spans="1:26" ht="20.100000000000001" customHeight="1" x14ac:dyDescent="0.2">
      <c r="A122" s="801">
        <f t="shared" si="29"/>
        <v>175</v>
      </c>
      <c r="B122" s="820">
        <v>42408</v>
      </c>
      <c r="C122" s="845">
        <v>1853.44</v>
      </c>
      <c r="D122" s="817">
        <f t="shared" si="27"/>
        <v>-1.4138147466516275E-2</v>
      </c>
      <c r="E122" s="844">
        <f t="shared" si="43"/>
        <v>-0.11843381975228781</v>
      </c>
      <c r="F122" s="841">
        <v>4283.75</v>
      </c>
      <c r="G122" s="817">
        <f t="shared" si="25"/>
        <v>-1.8195611417465476E-2</v>
      </c>
      <c r="H122" s="822">
        <f t="shared" ref="H122:H127" si="45">(F122-F$2)/F$2</f>
        <v>-0.15867981224345501</v>
      </c>
      <c r="I122" s="824">
        <v>244544.61</v>
      </c>
      <c r="J122" s="825">
        <v>400000</v>
      </c>
      <c r="K122" s="825">
        <f t="shared" si="44"/>
        <v>-13412.820000000007</v>
      </c>
      <c r="L122" s="817">
        <f t="shared" si="28"/>
        <v>-5.1996253800481756E-2</v>
      </c>
      <c r="M122" s="842">
        <f t="shared" si="38"/>
        <v>-155455.39000000001</v>
      </c>
      <c r="N122" s="827">
        <f t="shared" si="39"/>
        <v>-0.38863847500000004</v>
      </c>
      <c r="O122" s="811">
        <f t="shared" si="30"/>
        <v>-0.81114401710714301</v>
      </c>
      <c r="P122" s="842" t="b">
        <f t="shared" si="34"/>
        <v>0</v>
      </c>
      <c r="Q122" s="827">
        <f>COUNTIF(P$2:P122, TRUE)/(COUNTIF(P$2:P122,FALSE) + COUNTIF(P$2:P122, TRUE))</f>
        <v>0.4462809917355372</v>
      </c>
      <c r="R122" s="828"/>
      <c r="S122" s="828"/>
      <c r="T122" s="828"/>
      <c r="U122" s="828"/>
      <c r="V122" s="827">
        <f>STDEV(D$2:D122)*SQRT(252)</f>
        <v>0.20679867923754305</v>
      </c>
      <c r="W122" s="827">
        <f>STDEV(L$2:L122)*SQRT(252)</f>
        <v>0.39455956732672759</v>
      </c>
      <c r="X122" s="826">
        <f t="shared" si="35"/>
        <v>-1.1953088958377476</v>
      </c>
      <c r="Y122" s="826">
        <f t="shared" si="36"/>
        <v>-2.0558214380731248</v>
      </c>
      <c r="Z122" s="832">
        <f t="shared" si="37"/>
        <v>-0.2702046552477122</v>
      </c>
    </row>
    <row r="123" spans="1:26" ht="20.100000000000001" customHeight="1" x14ac:dyDescent="0.2">
      <c r="A123" s="801">
        <f t="shared" si="29"/>
        <v>176</v>
      </c>
      <c r="B123" s="820">
        <v>42409</v>
      </c>
      <c r="C123" s="843">
        <v>1852.21</v>
      </c>
      <c r="D123" s="817">
        <f t="shared" si="27"/>
        <v>-6.6363087016575565E-4</v>
      </c>
      <c r="E123" s="844">
        <f t="shared" si="43"/>
        <v>-0.11901885428359431</v>
      </c>
      <c r="F123" s="841">
        <v>4268.76</v>
      </c>
      <c r="G123" s="817">
        <f t="shared" si="25"/>
        <v>-3.4992704989786475E-3</v>
      </c>
      <c r="H123" s="822">
        <f t="shared" si="45"/>
        <v>-0.16162381915666665</v>
      </c>
      <c r="I123" s="824">
        <v>239055.86</v>
      </c>
      <c r="J123" s="825">
        <v>400000</v>
      </c>
      <c r="K123" s="825">
        <f t="shared" si="44"/>
        <v>-5488.75</v>
      </c>
      <c r="L123" s="817">
        <f t="shared" si="28"/>
        <v>-2.2444780115987838E-2</v>
      </c>
      <c r="M123" s="842">
        <f t="shared" si="38"/>
        <v>-160944.14000000001</v>
      </c>
      <c r="N123" s="827">
        <f t="shared" si="39"/>
        <v>-0.40236035000000003</v>
      </c>
      <c r="O123" s="811">
        <f t="shared" si="30"/>
        <v>-0.83501203316761374</v>
      </c>
      <c r="P123" s="842" t="b">
        <f t="shared" ref="P123:P154" si="46">L123&gt;D123</f>
        <v>0</v>
      </c>
      <c r="Q123" s="827">
        <f>COUNTIF(P$2:P123, TRUE)/(COUNTIF(P$2:P123,FALSE) + COUNTIF(P$2:P123, TRUE))</f>
        <v>0.44262295081967212</v>
      </c>
      <c r="R123" s="828"/>
      <c r="S123" s="828"/>
      <c r="T123" s="828"/>
      <c r="U123" s="828"/>
      <c r="V123" s="827">
        <f>STDEV(D$2:D123)*SQRT(252)</f>
        <v>0.20593567657799225</v>
      </c>
      <c r="W123" s="827">
        <f>STDEV(L$2:L123)*SQRT(252)</f>
        <v>0.39391134458203264</v>
      </c>
      <c r="X123" s="826">
        <f t="shared" si="35"/>
        <v>-1.1993936112348516</v>
      </c>
      <c r="Y123" s="826">
        <f t="shared" si="36"/>
        <v>-2.1197968645803273</v>
      </c>
      <c r="Z123" s="832">
        <f t="shared" si="37"/>
        <v>-0.28334149571640571</v>
      </c>
    </row>
    <row r="124" spans="1:26" ht="20.100000000000001" customHeight="1" x14ac:dyDescent="0.2">
      <c r="A124" s="801">
        <f t="shared" si="29"/>
        <v>177</v>
      </c>
      <c r="B124" s="820">
        <v>42410</v>
      </c>
      <c r="C124" s="843">
        <v>1851.86</v>
      </c>
      <c r="D124" s="817">
        <f t="shared" si="27"/>
        <v>-1.8896345446797955E-4</v>
      </c>
      <c r="E124" s="844">
        <f t="shared" si="43"/>
        <v>-0.11918532752421003</v>
      </c>
      <c r="F124" s="841">
        <v>4283.59</v>
      </c>
      <c r="G124" s="817">
        <f t="shared" si="25"/>
        <v>3.4740767810792659E-3</v>
      </c>
      <c r="H124" s="822">
        <f t="shared" si="45"/>
        <v>-0.15871123593298891</v>
      </c>
      <c r="I124" s="824">
        <v>235873.97</v>
      </c>
      <c r="J124" s="825">
        <v>400000</v>
      </c>
      <c r="K124" s="825">
        <f t="shared" si="44"/>
        <v>-3181.890000000014</v>
      </c>
      <c r="L124" s="817">
        <f t="shared" si="28"/>
        <v>-1.3310236360656518E-2</v>
      </c>
      <c r="M124" s="842">
        <f t="shared" si="38"/>
        <v>-164126.03</v>
      </c>
      <c r="N124" s="827">
        <f t="shared" si="39"/>
        <v>-0.41031507499999997</v>
      </c>
      <c r="O124" s="811">
        <f t="shared" si="30"/>
        <v>-0.84670949798728801</v>
      </c>
      <c r="P124" s="842" t="b">
        <f t="shared" si="46"/>
        <v>0</v>
      </c>
      <c r="Q124" s="827">
        <f>COUNTIF(P$2:P124, TRUE)/(COUNTIF(P$2:P124,FALSE) + COUNTIF(P$2:P124, TRUE))</f>
        <v>0.43902439024390244</v>
      </c>
      <c r="R124" s="828"/>
      <c r="S124" s="828"/>
      <c r="T124" s="828"/>
      <c r="U124" s="828"/>
      <c r="V124" s="827">
        <f>STDEV(D$2:D124)*SQRT(252)</f>
        <v>0.20508595535618429</v>
      </c>
      <c r="W124" s="827">
        <f>STDEV(L$2:L124)*SQRT(252)</f>
        <v>0.39255054022656277</v>
      </c>
      <c r="X124" s="826">
        <f t="shared" si="35"/>
        <v>-1.1992337224413965</v>
      </c>
      <c r="Y124" s="826">
        <f t="shared" si="36"/>
        <v>-2.156943912237657</v>
      </c>
      <c r="Z124" s="832">
        <f t="shared" si="37"/>
        <v>-0.29112974747578996</v>
      </c>
    </row>
    <row r="125" spans="1:26" ht="20.100000000000001" customHeight="1" x14ac:dyDescent="0.2">
      <c r="A125" s="801">
        <f t="shared" si="29"/>
        <v>178</v>
      </c>
      <c r="B125" s="820">
        <v>42411</v>
      </c>
      <c r="C125" s="843">
        <v>1829.08</v>
      </c>
      <c r="D125" s="817">
        <f t="shared" si="27"/>
        <v>-1.2301145874958137E-2</v>
      </c>
      <c r="E125" s="844">
        <f>(C125-$C$2)/$C$2</f>
        <v>-0.13002035729913819</v>
      </c>
      <c r="F125" s="841">
        <v>4266.83</v>
      </c>
      <c r="G125" s="817">
        <f t="shared" si="25"/>
        <v>-3.9126060150481761E-3</v>
      </c>
      <c r="H125" s="822">
        <f t="shared" si="45"/>
        <v>-0.16200286741166997</v>
      </c>
      <c r="I125" s="824">
        <v>230609.13</v>
      </c>
      <c r="J125" s="825">
        <v>400000</v>
      </c>
      <c r="K125" s="825">
        <f t="shared" si="44"/>
        <v>-5264.8399999999674</v>
      </c>
      <c r="L125" s="817">
        <f t="shared" si="28"/>
        <v>-2.2320563816346364E-2</v>
      </c>
      <c r="M125" s="842">
        <f t="shared" si="38"/>
        <v>-169390.87</v>
      </c>
      <c r="N125" s="827">
        <f t="shared" si="39"/>
        <v>-0.42347717499999998</v>
      </c>
      <c r="O125" s="811">
        <f t="shared" si="30"/>
        <v>-0.86896088858848308</v>
      </c>
      <c r="P125" s="842" t="b">
        <f t="shared" si="46"/>
        <v>0</v>
      </c>
      <c r="Q125" s="827">
        <f>COUNTIF(P$2:P125, TRUE)/(COUNTIF(P$2:P125,FALSE) + COUNTIF(P$2:P125, TRUE))</f>
        <v>0.43548387096774194</v>
      </c>
      <c r="R125" s="828"/>
      <c r="S125" s="828"/>
      <c r="T125" s="828"/>
      <c r="U125" s="828"/>
      <c r="V125" s="827">
        <f>STDEV(D$2:D125)*SQRT(252)</f>
        <v>0.20488816456150158</v>
      </c>
      <c r="W125" s="827">
        <f>STDEV(L$2:L125)*SQRT(252)</f>
        <v>0.39188934391979374</v>
      </c>
      <c r="X125" s="826">
        <f t="shared" si="35"/>
        <v>-1.3021610645014765</v>
      </c>
      <c r="Y125" s="826">
        <f t="shared" si="36"/>
        <v>-2.2173628910061138</v>
      </c>
      <c r="Z125" s="832">
        <f t="shared" si="37"/>
        <v>-0.29345681770086179</v>
      </c>
    </row>
    <row r="126" spans="1:26" ht="20.100000000000001" customHeight="1" x14ac:dyDescent="0.2">
      <c r="A126" s="801">
        <f t="shared" si="29"/>
        <v>179</v>
      </c>
      <c r="B126" s="820">
        <v>42412</v>
      </c>
      <c r="C126" s="843">
        <v>1864.78</v>
      </c>
      <c r="D126" s="817">
        <f t="shared" si="27"/>
        <v>1.9518009053731956E-2</v>
      </c>
      <c r="E126" s="844">
        <f>(C126-$C$2)/$C$2</f>
        <v>-0.11304008675634029</v>
      </c>
      <c r="F126" s="841">
        <v>4337.51</v>
      </c>
      <c r="G126" s="817">
        <f t="shared" si="25"/>
        <v>1.656499087144327E-2</v>
      </c>
      <c r="H126" s="822">
        <f t="shared" si="45"/>
        <v>-0.14812145256004863</v>
      </c>
      <c r="I126" s="824">
        <v>236989.83</v>
      </c>
      <c r="J126" s="825">
        <v>400000</v>
      </c>
      <c r="K126" s="825">
        <f t="shared" si="44"/>
        <v>6380.6999999999534</v>
      </c>
      <c r="L126" s="817">
        <f t="shared" si="28"/>
        <v>2.7668895849873563E-2</v>
      </c>
      <c r="M126" s="842">
        <f t="shared" ref="M126:M157" si="47">I126-J126</f>
        <v>-163010.17000000001</v>
      </c>
      <c r="N126" s="827">
        <f t="shared" ref="N126:N157" si="48">M126/J126</f>
        <v>-0.40752542500000005</v>
      </c>
      <c r="O126" s="811">
        <f t="shared" si="30"/>
        <v>-0.83155676805167611</v>
      </c>
      <c r="P126" s="842" t="b">
        <f t="shared" si="46"/>
        <v>1</v>
      </c>
      <c r="Q126" s="827">
        <f>COUNTIF(P$2:P126, TRUE)/(COUNTIF(P$2:P126,FALSE) + COUNTIF(P$2:P126, TRUE))</f>
        <v>0.44</v>
      </c>
      <c r="R126" s="828"/>
      <c r="S126" s="828"/>
      <c r="T126" s="828"/>
      <c r="U126" s="828"/>
      <c r="V126" s="827">
        <f>STDEV(D$2:D126)*SQRT(252)</f>
        <v>0.20614925630726783</v>
      </c>
      <c r="W126" s="827">
        <f>STDEV(L$2:L126)*SQRT(252)</f>
        <v>0.39280034902438915</v>
      </c>
      <c r="X126" s="826">
        <f t="shared" si="35"/>
        <v>-1.118891316478704</v>
      </c>
      <c r="Y126" s="826">
        <f t="shared" si="36"/>
        <v>-2.1169960009379838</v>
      </c>
      <c r="Z126" s="832">
        <f t="shared" si="37"/>
        <v>-0.29448533824365974</v>
      </c>
    </row>
    <row r="127" spans="1:26" ht="20.100000000000001" customHeight="1" x14ac:dyDescent="0.2">
      <c r="A127" s="801">
        <f t="shared" si="29"/>
        <v>183</v>
      </c>
      <c r="B127" s="849">
        <v>42416</v>
      </c>
      <c r="C127" s="850">
        <v>1895.58</v>
      </c>
      <c r="D127" s="817">
        <f t="shared" si="27"/>
        <v>1.651669365823312E-2</v>
      </c>
      <c r="E127" s="851">
        <f>(C127-$C$2)/$C$2</f>
        <v>-9.8390441582161731E-2</v>
      </c>
      <c r="F127" s="852">
        <v>4435.96</v>
      </c>
      <c r="G127" s="817">
        <f t="shared" si="25"/>
        <v>2.2697354011863905E-2</v>
      </c>
      <c r="H127" s="853">
        <f t="shared" si="45"/>
        <v>-0.12878606359369166</v>
      </c>
      <c r="I127" s="854">
        <v>243663.46</v>
      </c>
      <c r="J127" s="855">
        <v>400000</v>
      </c>
      <c r="K127" s="855">
        <f t="shared" si="44"/>
        <v>6673.6300000000047</v>
      </c>
      <c r="L127" s="817">
        <f t="shared" si="28"/>
        <v>2.8159984755463999E-2</v>
      </c>
      <c r="M127" s="856">
        <f t="shared" si="47"/>
        <v>-156336.54</v>
      </c>
      <c r="N127" s="857">
        <f t="shared" si="48"/>
        <v>-0.39084135000000003</v>
      </c>
      <c r="O127" s="811">
        <f t="shared" si="30"/>
        <v>-0.78008089118852464</v>
      </c>
      <c r="P127" s="856" t="b">
        <f t="shared" si="46"/>
        <v>1</v>
      </c>
      <c r="Q127" s="857">
        <f>COUNTIF(P$2:P127, TRUE)/(COUNTIF(P$2:P127,FALSE) + COUNTIF(P$2:P127, TRUE))</f>
        <v>0.44444444444444442</v>
      </c>
      <c r="R127" s="858"/>
      <c r="S127" s="858"/>
      <c r="T127" s="858"/>
      <c r="U127" s="858"/>
      <c r="V127" s="857">
        <f>STDEV(D$2:D127)*SQRT(252)</f>
        <v>0.2067973574201509</v>
      </c>
      <c r="W127" s="857">
        <f>STDEV(L$2:L127)*SQRT(252)</f>
        <v>0.39373317711022293</v>
      </c>
      <c r="X127" s="826">
        <f t="shared" si="35"/>
        <v>-0.949613893037624</v>
      </c>
      <c r="Y127" s="826">
        <f t="shared" si="36"/>
        <v>-1.9812424670785269</v>
      </c>
      <c r="Z127" s="832">
        <f t="shared" si="37"/>
        <v>-0.29245090841783827</v>
      </c>
    </row>
    <row r="128" spans="1:26" ht="20.100000000000001" customHeight="1" x14ac:dyDescent="0.2">
      <c r="A128" s="801">
        <f t="shared" si="29"/>
        <v>184</v>
      </c>
      <c r="B128" s="849">
        <v>42417</v>
      </c>
      <c r="C128" s="850">
        <v>1926.82</v>
      </c>
      <c r="D128" s="817">
        <f t="shared" si="27"/>
        <v>1.648044398020659E-2</v>
      </c>
      <c r="E128" s="851">
        <f t="shared" ref="E128:E133" si="49">(C128-$C$2)/$C$2</f>
        <v>-8.3531515762637745E-2</v>
      </c>
      <c r="F128" s="852">
        <v>4534.0600000000004</v>
      </c>
      <c r="G128" s="817">
        <f t="shared" si="25"/>
        <v>2.2114716994743044E-2</v>
      </c>
      <c r="H128" s="853">
        <f t="shared" ref="H128:H141" si="50">(F128-F$2)/F$2</f>
        <v>-0.10951941394819008</v>
      </c>
      <c r="I128" s="854">
        <v>249365.31</v>
      </c>
      <c r="J128" s="855">
        <v>400000</v>
      </c>
      <c r="K128" s="855">
        <f t="shared" si="44"/>
        <v>5701.8499999999767</v>
      </c>
      <c r="L128" s="817">
        <f t="shared" si="28"/>
        <v>2.3400513150391843E-2</v>
      </c>
      <c r="M128" s="856">
        <f t="shared" si="47"/>
        <v>-150634.69</v>
      </c>
      <c r="N128" s="857">
        <f t="shared" si="48"/>
        <v>-0.37658672500000001</v>
      </c>
      <c r="O128" s="811">
        <f t="shared" si="30"/>
        <v>-0.74754511579483707</v>
      </c>
      <c r="P128" s="856" t="b">
        <f t="shared" si="46"/>
        <v>1</v>
      </c>
      <c r="Q128" s="857">
        <f>COUNTIF(P$2:P128, TRUE)/(COUNTIF(P$2:P128,FALSE) + COUNTIF(P$2:P128, TRUE))</f>
        <v>0.44881889763779526</v>
      </c>
      <c r="R128" s="858"/>
      <c r="S128" s="858"/>
      <c r="T128" s="858"/>
      <c r="U128" s="858"/>
      <c r="V128" s="857">
        <f>STDEV(D$2:D128)*SQRT(252)</f>
        <v>0.20740391827467</v>
      </c>
      <c r="W128" s="857">
        <f>STDEV(L$2:L128)*SQRT(252)</f>
        <v>0.39391671411506929</v>
      </c>
      <c r="X128" s="826">
        <f t="shared" si="35"/>
        <v>-0.79947669226545248</v>
      </c>
      <c r="Y128" s="826">
        <f t="shared" si="36"/>
        <v>-1.8977237802010791</v>
      </c>
      <c r="Z128" s="832">
        <f t="shared" si="37"/>
        <v>-0.29305520923736228</v>
      </c>
    </row>
    <row r="129" spans="1:26" ht="20.100000000000001" customHeight="1" x14ac:dyDescent="0.2">
      <c r="A129" s="801">
        <f t="shared" si="29"/>
        <v>185</v>
      </c>
      <c r="B129" s="849">
        <v>42418</v>
      </c>
      <c r="C129" s="850">
        <v>1917.83</v>
      </c>
      <c r="D129" s="817">
        <f t="shared" si="27"/>
        <v>-4.6657186452289312E-3</v>
      </c>
      <c r="E129" s="851">
        <f t="shared" si="49"/>
        <v>-8.7807499857308707E-2</v>
      </c>
      <c r="F129" s="852">
        <v>4487.53</v>
      </c>
      <c r="G129" s="817">
        <f t="shared" si="25"/>
        <v>-1.0262325597808731E-2</v>
      </c>
      <c r="H129" s="853">
        <f t="shared" si="50"/>
        <v>-0.11865781566078129</v>
      </c>
      <c r="I129" s="854">
        <v>241680.12</v>
      </c>
      <c r="J129" s="855">
        <v>400000</v>
      </c>
      <c r="K129" s="855">
        <f t="shared" si="44"/>
        <v>-7685.1900000000023</v>
      </c>
      <c r="L129" s="817">
        <f t="shared" si="28"/>
        <v>-3.0819002049643562E-2</v>
      </c>
      <c r="M129" s="856">
        <f t="shared" si="47"/>
        <v>-158319.88</v>
      </c>
      <c r="N129" s="857">
        <f t="shared" si="48"/>
        <v>-0.39579970000000003</v>
      </c>
      <c r="O129" s="811">
        <f t="shared" si="30"/>
        <v>-0.78143697527027034</v>
      </c>
      <c r="P129" s="856" t="b">
        <f t="shared" si="46"/>
        <v>0</v>
      </c>
      <c r="Q129" s="857">
        <f>COUNTIF(P$2:P129, TRUE)/(COUNTIF(P$2:P129,FALSE) + COUNTIF(P$2:P129, TRUE))</f>
        <v>0.4453125</v>
      </c>
      <c r="R129" s="858"/>
      <c r="S129" s="858"/>
      <c r="T129" s="858"/>
      <c r="U129" s="858"/>
      <c r="V129" s="857">
        <f>STDEV(D$2:D129)*SQRT(252)</f>
        <v>0.20665833739123632</v>
      </c>
      <c r="W129" s="857">
        <f>STDEV(L$2:L129)*SQRT(252)</f>
        <v>0.39434419152440775</v>
      </c>
      <c r="X129" s="826">
        <f t="shared" si="35"/>
        <v>-0.83887485506181592</v>
      </c>
      <c r="Y129" s="826">
        <f t="shared" si="36"/>
        <v>-1.9816114756235828</v>
      </c>
      <c r="Z129" s="832">
        <f t="shared" si="37"/>
        <v>-0.30799220014269135</v>
      </c>
    </row>
    <row r="130" spans="1:26" ht="20.100000000000001" customHeight="1" x14ac:dyDescent="0.2">
      <c r="A130" s="801">
        <f t="shared" si="29"/>
        <v>186</v>
      </c>
      <c r="B130" s="849">
        <v>42419</v>
      </c>
      <c r="C130" s="850">
        <v>1917.78</v>
      </c>
      <c r="D130" s="817">
        <f t="shared" si="27"/>
        <v>-2.6071132477828863E-5</v>
      </c>
      <c r="E130" s="851">
        <f t="shared" si="49"/>
        <v>-8.7831281748825207E-2</v>
      </c>
      <c r="F130" s="852">
        <v>4504.43</v>
      </c>
      <c r="G130" s="817">
        <f t="shared" si="25"/>
        <v>3.7659915365469529E-3</v>
      </c>
      <c r="H130" s="853">
        <f t="shared" si="50"/>
        <v>-0.11533868845375798</v>
      </c>
      <c r="I130" s="854">
        <v>236145.17</v>
      </c>
      <c r="J130" s="855">
        <v>400000</v>
      </c>
      <c r="K130" s="855">
        <f t="shared" si="44"/>
        <v>-5534.9499999999534</v>
      </c>
      <c r="L130" s="817">
        <f t="shared" si="28"/>
        <v>-2.290196645052954E-2</v>
      </c>
      <c r="M130" s="856">
        <f t="shared" si="47"/>
        <v>-163854.82999999999</v>
      </c>
      <c r="N130" s="857">
        <f t="shared" si="48"/>
        <v>-0.40963707499999996</v>
      </c>
      <c r="O130" s="811">
        <f t="shared" si="30"/>
        <v>-0.80440828840725798</v>
      </c>
      <c r="P130" s="856" t="b">
        <f t="shared" si="46"/>
        <v>0</v>
      </c>
      <c r="Q130" s="857">
        <f>COUNTIF(P$2:P130, TRUE)/(COUNTIF(P$2:P130,FALSE) + COUNTIF(P$2:P130, TRUE))</f>
        <v>0.44186046511627908</v>
      </c>
      <c r="R130" s="858"/>
      <c r="S130" s="858"/>
      <c r="T130" s="858"/>
      <c r="U130" s="858"/>
      <c r="V130" s="857">
        <f>STDEV(D$2:D130)*SQRT(252)</f>
        <v>0.20584491170892685</v>
      </c>
      <c r="W130" s="857">
        <f>STDEV(L$2:L130)*SQRT(252)</f>
        <v>0.39378743351445816</v>
      </c>
      <c r="X130" s="826">
        <f t="shared" si="35"/>
        <v>-0.83788876061314033</v>
      </c>
      <c r="Y130" s="826">
        <f t="shared" si="36"/>
        <v>-2.0427474823868996</v>
      </c>
      <c r="Z130" s="832">
        <f t="shared" si="37"/>
        <v>-0.32180579325117475</v>
      </c>
    </row>
    <row r="131" spans="1:26" ht="20.100000000000001" customHeight="1" x14ac:dyDescent="0.2">
      <c r="A131" s="801">
        <f t="shared" si="29"/>
        <v>189</v>
      </c>
      <c r="B131" s="820">
        <v>42422</v>
      </c>
      <c r="C131" s="845">
        <v>1945.5</v>
      </c>
      <c r="D131" s="817">
        <f t="shared" si="27"/>
        <v>1.4454212683415213E-2</v>
      </c>
      <c r="E131" s="844">
        <f t="shared" si="49"/>
        <v>-7.4646601092064488E-2</v>
      </c>
      <c r="F131" s="841">
        <v>4570.6000000000004</v>
      </c>
      <c r="G131" s="817">
        <f t="shared" si="25"/>
        <v>1.4689982972318378E-2</v>
      </c>
      <c r="H131" s="822">
        <f t="shared" si="50"/>
        <v>-0.10234302885087485</v>
      </c>
      <c r="I131" s="824">
        <v>248415.23</v>
      </c>
      <c r="J131" s="825">
        <v>400000</v>
      </c>
      <c r="K131" s="825">
        <f t="shared" si="44"/>
        <v>12270.059999999998</v>
      </c>
      <c r="L131" s="817">
        <f t="shared" si="28"/>
        <v>5.1959817768028022E-2</v>
      </c>
      <c r="M131" s="842">
        <f t="shared" si="47"/>
        <v>-151584.76999999999</v>
      </c>
      <c r="N131" s="827">
        <f t="shared" si="48"/>
        <v>-0.37896192499999998</v>
      </c>
      <c r="O131" s="811">
        <f t="shared" si="30"/>
        <v>-0.73235895823412689</v>
      </c>
      <c r="P131" s="842" t="b">
        <f t="shared" si="46"/>
        <v>1</v>
      </c>
      <c r="Q131" s="827">
        <f>COUNTIF(P$2:P131, TRUE)/(COUNTIF(P$2:P131,FALSE) + COUNTIF(P$2:P131, TRUE))</f>
        <v>0.44615384615384618</v>
      </c>
      <c r="R131" s="828"/>
      <c r="S131" s="828"/>
      <c r="T131" s="828"/>
      <c r="U131" s="828"/>
      <c r="V131" s="827">
        <f>STDEV(D$2:D131)*SQRT(252)</f>
        <v>0.20612093442208271</v>
      </c>
      <c r="W131" s="827">
        <f>STDEV(L$2:L131)*SQRT(252)</f>
        <v>0.39971891584326358</v>
      </c>
      <c r="X131" s="826">
        <f t="shared" si="35"/>
        <v>-0.69986835243877887</v>
      </c>
      <c r="Y131" s="826">
        <f t="shared" si="36"/>
        <v>-1.8321848909479606</v>
      </c>
      <c r="Z131" s="832">
        <f t="shared" si="37"/>
        <v>-0.30431532390793548</v>
      </c>
    </row>
    <row r="132" spans="1:26" ht="20.100000000000001" customHeight="1" x14ac:dyDescent="0.2">
      <c r="A132" s="801">
        <f t="shared" si="29"/>
        <v>190</v>
      </c>
      <c r="B132" s="820">
        <v>42423</v>
      </c>
      <c r="C132" s="843">
        <v>1921.27</v>
      </c>
      <c r="D132" s="817">
        <f t="shared" si="27"/>
        <v>-1.2454381906964801E-2</v>
      </c>
      <c r="E132" s="844">
        <f t="shared" si="49"/>
        <v>-8.6171305720971855E-2</v>
      </c>
      <c r="F132" s="841">
        <v>4503.58</v>
      </c>
      <c r="G132" s="817">
        <f t="shared" ref="G132:G165" si="51">(F132-F131)/F131</f>
        <v>-1.4663282719993093E-2</v>
      </c>
      <c r="H132" s="822">
        <f t="shared" si="50"/>
        <v>-0.11550562680440715</v>
      </c>
      <c r="I132" s="824">
        <v>238794.23</v>
      </c>
      <c r="J132" s="825">
        <v>400000</v>
      </c>
      <c r="K132" s="825">
        <f t="shared" si="44"/>
        <v>-9621</v>
      </c>
      <c r="L132" s="817">
        <f t="shared" ref="L132:L195" si="52">K132/I131</f>
        <v>-3.8729509458820213E-2</v>
      </c>
      <c r="M132" s="842">
        <f t="shared" si="47"/>
        <v>-161205.76999999999</v>
      </c>
      <c r="N132" s="827">
        <f t="shared" si="48"/>
        <v>-0.40301442499999995</v>
      </c>
      <c r="O132" s="811">
        <f t="shared" si="30"/>
        <v>-0.7747422038486842</v>
      </c>
      <c r="P132" s="842" t="b">
        <f t="shared" si="46"/>
        <v>0</v>
      </c>
      <c r="Q132" s="827">
        <f>COUNTIF(P$2:P132, TRUE)/(COUNTIF(P$2:P132,FALSE) + COUNTIF(P$2:P132, TRUE))</f>
        <v>0.44274809160305345</v>
      </c>
      <c r="R132" s="828"/>
      <c r="S132" s="828"/>
      <c r="T132" s="828"/>
      <c r="U132" s="828"/>
      <c r="V132" s="827">
        <f>STDEV(D$2:D132)*SQRT(252)</f>
        <v>0.20599200020691141</v>
      </c>
      <c r="W132" s="827">
        <f>STDEV(L$2:L132)*SQRT(252)</f>
        <v>0.40132200578539856</v>
      </c>
      <c r="X132" s="826">
        <f t="shared" si="35"/>
        <v>-0.8041719909145788</v>
      </c>
      <c r="Y132" s="826">
        <f t="shared" si="36"/>
        <v>-1.9304752609628064</v>
      </c>
      <c r="Z132" s="832">
        <f t="shared" si="37"/>
        <v>-0.31684311927902808</v>
      </c>
    </row>
    <row r="133" spans="1:26" ht="20.100000000000001" customHeight="1" x14ac:dyDescent="0.2">
      <c r="A133" s="801">
        <f t="shared" si="29"/>
        <v>191</v>
      </c>
      <c r="B133" s="820">
        <v>42424</v>
      </c>
      <c r="C133" s="845">
        <v>1929.8</v>
      </c>
      <c r="D133" s="817">
        <f t="shared" ref="D133:D165" si="53">(C133-C132)/C132</f>
        <v>4.439771609404182E-3</v>
      </c>
      <c r="E133" s="844">
        <f t="shared" si="49"/>
        <v>-8.2114115028252929E-2</v>
      </c>
      <c r="F133" s="841">
        <v>4542.6000000000004</v>
      </c>
      <c r="G133" s="817">
        <f t="shared" si="51"/>
        <v>8.6642182441525276E-3</v>
      </c>
      <c r="H133" s="822">
        <f t="shared" si="50"/>
        <v>-0.10784217451931565</v>
      </c>
      <c r="I133" s="824">
        <v>242422.46</v>
      </c>
      <c r="J133" s="825">
        <v>400000</v>
      </c>
      <c r="K133" s="825">
        <f t="shared" si="44"/>
        <v>3628.2299999999814</v>
      </c>
      <c r="L133" s="817">
        <f t="shared" si="52"/>
        <v>1.5193960088566551E-2</v>
      </c>
      <c r="M133" s="842">
        <f t="shared" si="47"/>
        <v>-157577.54</v>
      </c>
      <c r="N133" s="827">
        <f t="shared" si="48"/>
        <v>-0.39394385000000004</v>
      </c>
      <c r="O133" s="811">
        <f t="shared" si="30"/>
        <v>-0.75334026812827226</v>
      </c>
      <c r="P133" s="842" t="b">
        <f t="shared" si="46"/>
        <v>1</v>
      </c>
      <c r="Q133" s="827">
        <f>COUNTIF(P$2:P133, TRUE)/(COUNTIF(P$2:P133,FALSE) + COUNTIF(P$2:P133, TRUE))</f>
        <v>0.44696969696969696</v>
      </c>
      <c r="R133" s="828"/>
      <c r="S133" s="828"/>
      <c r="T133" s="828"/>
      <c r="U133" s="828"/>
      <c r="V133" s="827">
        <f>STDEV(D$2:D133)*SQRT(252)</f>
        <v>0.2053176523633603</v>
      </c>
      <c r="W133" s="827">
        <f>STDEV(L$2:L133)*SQRT(252)</f>
        <v>0.40056518042041067</v>
      </c>
      <c r="X133" s="826">
        <f t="shared" si="35"/>
        <v>-0.76480088926992307</v>
      </c>
      <c r="Y133" s="826">
        <f t="shared" si="36"/>
        <v>-1.8806933426854744</v>
      </c>
      <c r="Z133" s="832">
        <f t="shared" si="37"/>
        <v>-0.3118297349717471</v>
      </c>
    </row>
    <row r="134" spans="1:26" ht="20.100000000000001" customHeight="1" x14ac:dyDescent="0.2">
      <c r="A134" s="801">
        <f t="shared" si="29"/>
        <v>192</v>
      </c>
      <c r="B134" s="820">
        <v>42425</v>
      </c>
      <c r="C134" s="845">
        <v>1951.7</v>
      </c>
      <c r="D134" s="817">
        <f t="shared" si="53"/>
        <v>1.1348326251425065E-2</v>
      </c>
      <c r="E134" s="844">
        <f t="shared" ref="E134:E139" si="54">(C134-$C$2)/$C$2</f>
        <v>-7.1697646544015531E-2</v>
      </c>
      <c r="F134" s="841">
        <v>4582.2</v>
      </c>
      <c r="G134" s="817">
        <f t="shared" si="51"/>
        <v>8.7174745740323713E-3</v>
      </c>
      <c r="H134" s="822">
        <f t="shared" si="50"/>
        <v>-0.10006481135966377</v>
      </c>
      <c r="I134" s="824">
        <v>244524.77</v>
      </c>
      <c r="J134" s="825">
        <v>400000</v>
      </c>
      <c r="K134" s="825">
        <f t="shared" si="44"/>
        <v>2102.3099999999977</v>
      </c>
      <c r="L134" s="817">
        <f t="shared" si="52"/>
        <v>8.6720925115601824E-3</v>
      </c>
      <c r="M134" s="842">
        <f t="shared" si="47"/>
        <v>-155475.23000000001</v>
      </c>
      <c r="N134" s="827">
        <f t="shared" si="48"/>
        <v>-0.38868807500000002</v>
      </c>
      <c r="O134" s="811">
        <f t="shared" si="30"/>
        <v>-0.73941833017578129</v>
      </c>
      <c r="P134" s="842" t="b">
        <f t="shared" si="46"/>
        <v>0</v>
      </c>
      <c r="Q134" s="827">
        <f>COUNTIF(P$2:P134, TRUE)/(COUNTIF(P$2:P134,FALSE) + COUNTIF(P$2:P134, TRUE))</f>
        <v>0.44360902255639095</v>
      </c>
      <c r="R134" s="828"/>
      <c r="S134" s="828"/>
      <c r="T134" s="828"/>
      <c r="U134" s="828"/>
      <c r="V134" s="827">
        <f>STDEV(D$2:D134)*SQRT(252)</f>
        <v>0.2051944315202551</v>
      </c>
      <c r="W134" s="827">
        <f>STDEV(L$2:L134)*SQRT(252)</f>
        <v>0.399347738080158</v>
      </c>
      <c r="X134" s="826">
        <f t="shared" si="35"/>
        <v>-0.66470405060311499</v>
      </c>
      <c r="Y134" s="826">
        <f t="shared" si="36"/>
        <v>-1.8515650889385118</v>
      </c>
      <c r="Z134" s="832">
        <f t="shared" si="37"/>
        <v>-0.31699042845598446</v>
      </c>
    </row>
    <row r="135" spans="1:26" ht="20.100000000000001" customHeight="1" x14ac:dyDescent="0.2">
      <c r="A135" s="801">
        <f t="shared" ref="A135:A198" si="55">B135-$B$2</f>
        <v>193</v>
      </c>
      <c r="B135" s="820">
        <v>42426</v>
      </c>
      <c r="C135" s="845">
        <v>1948.05</v>
      </c>
      <c r="D135" s="817">
        <f t="shared" si="53"/>
        <v>-1.8701644719988169E-3</v>
      </c>
      <c r="E135" s="844">
        <f t="shared" si="54"/>
        <v>-7.3433724624721794E-2</v>
      </c>
      <c r="F135" s="841">
        <v>4590.47</v>
      </c>
      <c r="G135" s="817">
        <f t="shared" si="51"/>
        <v>1.8048099166340266E-3</v>
      </c>
      <c r="H135" s="822">
        <f t="shared" si="50"/>
        <v>-9.8440599406877771E-2</v>
      </c>
      <c r="I135" s="824">
        <v>251916.67</v>
      </c>
      <c r="J135" s="825">
        <v>400000</v>
      </c>
      <c r="K135" s="825">
        <f t="shared" si="44"/>
        <v>7391.9000000000233</v>
      </c>
      <c r="L135" s="817">
        <f t="shared" si="52"/>
        <v>3.0229657306292623E-2</v>
      </c>
      <c r="M135" s="842">
        <f t="shared" si="47"/>
        <v>-148083.32999999999</v>
      </c>
      <c r="N135" s="827">
        <f t="shared" si="48"/>
        <v>-0.37020832499999995</v>
      </c>
      <c r="O135" s="811">
        <f t="shared" ref="O135:O198" si="56">N135/(A135/365.25)</f>
        <v>-0.70061445961787561</v>
      </c>
      <c r="P135" s="842" t="b">
        <f t="shared" si="46"/>
        <v>1</v>
      </c>
      <c r="Q135" s="827">
        <f>COUNTIF(P$2:P135, TRUE)/(COUNTIF(P$2:P135,FALSE) + COUNTIF(P$2:P135, TRUE))</f>
        <v>0.44776119402985076</v>
      </c>
      <c r="R135" s="828"/>
      <c r="S135" s="828"/>
      <c r="T135" s="828"/>
      <c r="U135" s="828"/>
      <c r="V135" s="827">
        <f>STDEV(D$2:D135)*SQRT(252)</f>
        <v>0.20442465292014791</v>
      </c>
      <c r="W135" s="827">
        <f>STDEV(L$2:L135)*SQRT(252)</f>
        <v>0.40040715107254371</v>
      </c>
      <c r="X135" s="826">
        <f t="shared" si="35"/>
        <v>-0.67982198161061158</v>
      </c>
      <c r="Y135" s="826">
        <f t="shared" si="36"/>
        <v>-1.7497551123679653</v>
      </c>
      <c r="Z135" s="832">
        <f t="shared" si="37"/>
        <v>-0.29677460037527814</v>
      </c>
    </row>
    <row r="136" spans="1:26" ht="20.100000000000001" customHeight="1" x14ac:dyDescent="0.2">
      <c r="A136" s="801">
        <f t="shared" si="55"/>
        <v>196</v>
      </c>
      <c r="B136" s="849">
        <v>42429</v>
      </c>
      <c r="C136" s="850">
        <v>1932.23</v>
      </c>
      <c r="D136" s="817">
        <f t="shared" si="53"/>
        <v>-8.1209414542747545E-3</v>
      </c>
      <c r="E136" s="851">
        <f t="shared" si="54"/>
        <v>-8.0958315100549849E-2</v>
      </c>
      <c r="F136" s="852">
        <v>4557.95</v>
      </c>
      <c r="G136" s="817">
        <f t="shared" si="51"/>
        <v>-7.0842419185835953E-3</v>
      </c>
      <c r="H136" s="853">
        <f t="shared" si="50"/>
        <v>-0.10482746430465267</v>
      </c>
      <c r="I136" s="859">
        <v>254134.09</v>
      </c>
      <c r="J136" s="855">
        <v>400000</v>
      </c>
      <c r="K136" s="855">
        <f t="shared" si="44"/>
        <v>2217.4199999999837</v>
      </c>
      <c r="L136" s="817">
        <f t="shared" si="52"/>
        <v>8.8021963770797042E-3</v>
      </c>
      <c r="M136" s="856">
        <f t="shared" si="47"/>
        <v>-145865.91</v>
      </c>
      <c r="N136" s="857">
        <f t="shared" si="48"/>
        <v>-0.364664775</v>
      </c>
      <c r="O136" s="811">
        <f t="shared" si="56"/>
        <v>-0.67956025035076528</v>
      </c>
      <c r="P136" s="856" t="b">
        <f t="shared" si="46"/>
        <v>1</v>
      </c>
      <c r="Q136" s="857">
        <f>COUNTIF(P$2:P136, TRUE)/(COUNTIF(P$2:P136,FALSE) + COUNTIF(P$2:P136, TRUE))</f>
        <v>0.45185185185185184</v>
      </c>
      <c r="R136" s="858"/>
      <c r="S136" s="858"/>
      <c r="T136" s="858"/>
      <c r="U136" s="858"/>
      <c r="V136" s="857">
        <f>STDEV(D$2:D136)*SQRT(252)</f>
        <v>0.20392331073233147</v>
      </c>
      <c r="W136" s="857">
        <f>STDEV(L$2:L136)*SQRT(252)</f>
        <v>0.39919785402030938</v>
      </c>
      <c r="X136" s="826">
        <f t="shared" si="35"/>
        <v>-0.73982455393937108</v>
      </c>
      <c r="Y136" s="826">
        <f t="shared" si="36"/>
        <v>-1.7023143874821338</v>
      </c>
      <c r="Z136" s="832">
        <f t="shared" si="37"/>
        <v>-0.28370645989945015</v>
      </c>
    </row>
    <row r="137" spans="1:26" ht="20.100000000000001" customHeight="1" x14ac:dyDescent="0.2">
      <c r="A137" s="801">
        <f t="shared" si="55"/>
        <v>197</v>
      </c>
      <c r="B137" s="849">
        <v>42430</v>
      </c>
      <c r="C137" s="850">
        <v>1978.35</v>
      </c>
      <c r="D137" s="817">
        <f t="shared" si="53"/>
        <v>2.3868794087660315E-2</v>
      </c>
      <c r="E137" s="851">
        <f t="shared" si="54"/>
        <v>-5.9021898365708481E-2</v>
      </c>
      <c r="F137" s="852">
        <v>4689.59</v>
      </c>
      <c r="G137" s="817">
        <f t="shared" si="51"/>
        <v>2.8881405017606672E-2</v>
      </c>
      <c r="H137" s="853">
        <f t="shared" si="50"/>
        <v>-7.8973623740597382E-2</v>
      </c>
      <c r="I137" s="854">
        <v>256289.63</v>
      </c>
      <c r="J137" s="855">
        <v>400000</v>
      </c>
      <c r="K137" s="855">
        <f t="shared" si="44"/>
        <v>2155.5400000000373</v>
      </c>
      <c r="L137" s="817">
        <f t="shared" si="52"/>
        <v>8.4819002440799547E-3</v>
      </c>
      <c r="M137" s="856">
        <f t="shared" si="47"/>
        <v>-143710.37</v>
      </c>
      <c r="N137" s="857">
        <f t="shared" si="48"/>
        <v>-0.359275925</v>
      </c>
      <c r="O137" s="811">
        <f t="shared" si="56"/>
        <v>-0.66611944977791882</v>
      </c>
      <c r="P137" s="856" t="b">
        <f t="shared" si="46"/>
        <v>0</v>
      </c>
      <c r="Q137" s="857">
        <f>COUNTIF(P$2:P137, TRUE)/(COUNTIF(P$2:P137,FALSE) + COUNTIF(P$2:P137, TRUE))</f>
        <v>0.4485294117647059</v>
      </c>
      <c r="R137" s="858"/>
      <c r="S137" s="858"/>
      <c r="T137" s="858"/>
      <c r="U137" s="858"/>
      <c r="V137" s="857">
        <f>STDEV(D$2:D137)*SQRT(252)</f>
        <v>0.205881606235845</v>
      </c>
      <c r="W137" s="857">
        <f>STDEV(L$2:L137)*SQRT(252)</f>
        <v>0.39798205719407453</v>
      </c>
      <c r="X137" s="826">
        <f t="shared" si="35"/>
        <v>-0.531520016835342</v>
      </c>
      <c r="Y137" s="826">
        <f t="shared" si="36"/>
        <v>-1.6737424156111842</v>
      </c>
      <c r="Z137" s="832">
        <f t="shared" si="37"/>
        <v>-0.30025402663429152</v>
      </c>
    </row>
    <row r="138" spans="1:26" ht="20.100000000000001" customHeight="1" x14ac:dyDescent="0.2">
      <c r="A138" s="801">
        <f t="shared" si="55"/>
        <v>198</v>
      </c>
      <c r="B138" s="849">
        <v>42431</v>
      </c>
      <c r="C138" s="860">
        <v>1986.4749999999999</v>
      </c>
      <c r="D138" s="817">
        <f t="shared" si="53"/>
        <v>4.1069578183840069E-3</v>
      </c>
      <c r="E138" s="851">
        <f t="shared" si="54"/>
        <v>-5.5157340994273385E-2</v>
      </c>
      <c r="F138" s="852">
        <v>4703.42</v>
      </c>
      <c r="G138" s="817">
        <f t="shared" si="51"/>
        <v>2.9490851012561711E-3</v>
      </c>
      <c r="H138" s="853">
        <f t="shared" si="50"/>
        <v>-7.6257438576506811E-2</v>
      </c>
      <c r="I138" s="854">
        <v>273591.05</v>
      </c>
      <c r="J138" s="855">
        <v>400000</v>
      </c>
      <c r="K138" s="855">
        <f t="shared" si="44"/>
        <v>17301.419999999984</v>
      </c>
      <c r="L138" s="817">
        <f t="shared" si="52"/>
        <v>6.7507296335009667E-2</v>
      </c>
      <c r="M138" s="856">
        <f t="shared" si="47"/>
        <v>-126408.95000000001</v>
      </c>
      <c r="N138" s="857">
        <f t="shared" si="48"/>
        <v>-0.31602237500000002</v>
      </c>
      <c r="O138" s="811">
        <f t="shared" si="56"/>
        <v>-0.58296551751893944</v>
      </c>
      <c r="P138" s="856" t="b">
        <f t="shared" si="46"/>
        <v>1</v>
      </c>
      <c r="Q138" s="857">
        <f>COUNTIF(P$2:P138, TRUE)/(COUNTIF(P$2:P138,FALSE) + COUNTIF(P$2:P138, TRUE))</f>
        <v>0.45255474452554745</v>
      </c>
      <c r="R138" s="858"/>
      <c r="S138" s="858"/>
      <c r="T138" s="858"/>
      <c r="U138" s="858"/>
      <c r="V138" s="857">
        <f>STDEV(D$2:D138)*SQRT(252)</f>
        <v>0.20520805198323436</v>
      </c>
      <c r="W138" s="857">
        <f>STDEV(L$2:L138)*SQRT(252)</f>
        <v>0.40773104370834762</v>
      </c>
      <c r="X138" s="826">
        <f t="shared" si="35"/>
        <v>-0.49583132243266692</v>
      </c>
      <c r="Y138" s="826">
        <f t="shared" si="36"/>
        <v>-1.4297795728694578</v>
      </c>
      <c r="Z138" s="832">
        <f t="shared" si="37"/>
        <v>-0.26086503400572664</v>
      </c>
    </row>
    <row r="139" spans="1:26" ht="20.100000000000001" customHeight="1" x14ac:dyDescent="0.2">
      <c r="A139" s="801">
        <f t="shared" si="55"/>
        <v>199</v>
      </c>
      <c r="B139" s="849">
        <v>42432</v>
      </c>
      <c r="C139" s="860">
        <v>1993.4</v>
      </c>
      <c r="D139" s="817">
        <f t="shared" si="53"/>
        <v>3.4860745793428975E-3</v>
      </c>
      <c r="E139" s="851">
        <f t="shared" si="54"/>
        <v>-5.1863549019234775E-2</v>
      </c>
      <c r="F139" s="852">
        <v>4707.42</v>
      </c>
      <c r="G139" s="817">
        <f t="shared" si="51"/>
        <v>8.5044499534381367E-4</v>
      </c>
      <c r="H139" s="853">
        <f t="shared" si="50"/>
        <v>-7.5471846338158136E-2</v>
      </c>
      <c r="I139" s="854">
        <v>284465.09999999998</v>
      </c>
      <c r="J139" s="855">
        <v>400000</v>
      </c>
      <c r="K139" s="855">
        <f t="shared" si="44"/>
        <v>10874.049999999988</v>
      </c>
      <c r="L139" s="817">
        <f t="shared" si="52"/>
        <v>3.9745634954067355E-2</v>
      </c>
      <c r="M139" s="856">
        <f t="shared" si="47"/>
        <v>-115534.90000000002</v>
      </c>
      <c r="N139" s="857">
        <f t="shared" si="48"/>
        <v>-0.28883725000000005</v>
      </c>
      <c r="O139" s="811">
        <f t="shared" si="56"/>
        <v>-0.53013972644472374</v>
      </c>
      <c r="P139" s="856" t="b">
        <f t="shared" si="46"/>
        <v>1</v>
      </c>
      <c r="Q139" s="857">
        <f>COUNTIF(P$2:P139, TRUE)/(COUNTIF(P$2:P139,FALSE) + COUNTIF(P$2:P139, TRUE))</f>
        <v>0.45652173913043476</v>
      </c>
      <c r="R139" s="858"/>
      <c r="S139" s="858"/>
      <c r="T139" s="858"/>
      <c r="U139" s="858"/>
      <c r="V139" s="857">
        <f>STDEV(D$2:D139)*SQRT(252)</f>
        <v>0.20451785527923064</v>
      </c>
      <c r="W139" s="857">
        <f>STDEV(L$2:L139)*SQRT(252)</f>
        <v>0.41011498593156359</v>
      </c>
      <c r="X139" s="826">
        <f t="shared" si="35"/>
        <v>-0.46544476565394993</v>
      </c>
      <c r="Y139" s="826">
        <f t="shared" si="36"/>
        <v>-1.2926611916912221</v>
      </c>
      <c r="Z139" s="832">
        <f t="shared" si="37"/>
        <v>-0.23697370098076526</v>
      </c>
    </row>
    <row r="140" spans="1:26" ht="20.100000000000001" customHeight="1" x14ac:dyDescent="0.2">
      <c r="A140" s="801">
        <f t="shared" si="55"/>
        <v>200</v>
      </c>
      <c r="B140" s="849">
        <v>42433</v>
      </c>
      <c r="C140" s="850">
        <v>1999.99</v>
      </c>
      <c r="D140" s="817">
        <f t="shared" si="53"/>
        <v>3.3059095013544286E-3</v>
      </c>
      <c r="E140" s="851">
        <f t="shared" ref="E140:E171" si="57">(C140-$C$2)/$C$2</f>
        <v>-4.8729095717356993E-2</v>
      </c>
      <c r="F140" s="852">
        <v>4717.0200000000004</v>
      </c>
      <c r="G140" s="817">
        <f t="shared" si="51"/>
        <v>2.0393336477306811E-3</v>
      </c>
      <c r="H140" s="853">
        <f t="shared" si="50"/>
        <v>-7.3586424966121222E-2</v>
      </c>
      <c r="I140" s="854">
        <v>295168.58</v>
      </c>
      <c r="J140" s="855">
        <v>400000</v>
      </c>
      <c r="K140" s="855">
        <f t="shared" si="44"/>
        <v>10703.48000000004</v>
      </c>
      <c r="L140" s="817">
        <f t="shared" si="52"/>
        <v>3.7626689530631495E-2</v>
      </c>
      <c r="M140" s="856">
        <f t="shared" si="47"/>
        <v>-104831.41999999998</v>
      </c>
      <c r="N140" s="857">
        <f t="shared" si="48"/>
        <v>-0.26207854999999997</v>
      </c>
      <c r="O140" s="811">
        <f t="shared" si="56"/>
        <v>-0.47862095193749998</v>
      </c>
      <c r="P140" s="856" t="b">
        <f t="shared" si="46"/>
        <v>1</v>
      </c>
      <c r="Q140" s="857">
        <f>COUNTIF(P$2:P140, TRUE)/(COUNTIF(P$2:P140,FALSE) + COUNTIF(P$2:P140, TRUE))</f>
        <v>0.46043165467625902</v>
      </c>
      <c r="R140" s="858"/>
      <c r="S140" s="858"/>
      <c r="T140" s="858"/>
      <c r="U140" s="858"/>
      <c r="V140" s="857">
        <f>STDEV(D$2:D140)*SQRT(252)</f>
        <v>0.20382852547723848</v>
      </c>
      <c r="W140" s="857">
        <f>STDEV(L$2:L140)*SQRT(252)</f>
        <v>0.41201829569755161</v>
      </c>
      <c r="X140" s="826">
        <f t="shared" si="35"/>
        <v>-0.4365998863282799</v>
      </c>
      <c r="Y140" s="826">
        <f t="shared" si="36"/>
        <v>-1.1616497542352806</v>
      </c>
      <c r="Z140" s="832">
        <f t="shared" si="37"/>
        <v>-0.21334945428264296</v>
      </c>
    </row>
    <row r="141" spans="1:26" ht="20.100000000000001" customHeight="1" x14ac:dyDescent="0.2">
      <c r="A141" s="801">
        <f t="shared" si="55"/>
        <v>203</v>
      </c>
      <c r="B141" s="820">
        <v>42436</v>
      </c>
      <c r="C141" s="845">
        <v>2001.76</v>
      </c>
      <c r="D141" s="817">
        <f t="shared" si="53"/>
        <v>8.8500442502211603E-4</v>
      </c>
      <c r="E141" s="844">
        <f t="shared" si="57"/>
        <v>-4.7887216757672067E-2</v>
      </c>
      <c r="F141" s="841">
        <v>4708.5200000000004</v>
      </c>
      <c r="G141" s="817">
        <f t="shared" si="51"/>
        <v>-1.8019851516423502E-3</v>
      </c>
      <c r="H141" s="822">
        <f t="shared" si="50"/>
        <v>-7.5255808472612165E-2</v>
      </c>
      <c r="I141" s="824">
        <v>295332.12</v>
      </c>
      <c r="J141" s="825">
        <v>400000</v>
      </c>
      <c r="K141" s="825">
        <f t="shared" si="44"/>
        <v>163.53999999997905</v>
      </c>
      <c r="L141" s="817">
        <f t="shared" si="52"/>
        <v>5.5405626167927171E-4</v>
      </c>
      <c r="M141" s="842">
        <f t="shared" si="47"/>
        <v>-104667.88</v>
      </c>
      <c r="N141" s="827">
        <f t="shared" si="48"/>
        <v>-0.26166970000000001</v>
      </c>
      <c r="O141" s="811">
        <f t="shared" si="56"/>
        <v>-0.47081210800492612</v>
      </c>
      <c r="P141" s="842" t="b">
        <f t="shared" si="46"/>
        <v>0</v>
      </c>
      <c r="Q141" s="827">
        <f>COUNTIF(P$2:P141, TRUE)/(COUNTIF(P$2:P141,FALSE) + COUNTIF(P$2:P141, TRUE))</f>
        <v>0.45714285714285713</v>
      </c>
      <c r="R141" s="828"/>
      <c r="S141" s="828"/>
      <c r="T141" s="828"/>
      <c r="U141" s="828"/>
      <c r="V141" s="827">
        <f>STDEV(D$2:D141)*SQRT(252)</f>
        <v>0.20309473146639889</v>
      </c>
      <c r="W141" s="827">
        <f>STDEV(L$2:L141)*SQRT(252)</f>
        <v>0.41052951691081185</v>
      </c>
      <c r="X141" s="826">
        <f t="shared" si="35"/>
        <v>-0.4242434301410738</v>
      </c>
      <c r="Y141" s="826">
        <f t="shared" si="36"/>
        <v>-1.1468410640670468</v>
      </c>
      <c r="Z141" s="832">
        <f t="shared" si="37"/>
        <v>-0.21378248324232793</v>
      </c>
    </row>
    <row r="142" spans="1:26" ht="20.100000000000001" customHeight="1" x14ac:dyDescent="0.2">
      <c r="A142" s="801">
        <f t="shared" si="55"/>
        <v>204</v>
      </c>
      <c r="B142" s="820">
        <v>42437</v>
      </c>
      <c r="C142" s="845">
        <v>1979.26</v>
      </c>
      <c r="D142" s="817">
        <f t="shared" si="53"/>
        <v>-1.124010870434018E-2</v>
      </c>
      <c r="E142" s="844">
        <f t="shared" si="57"/>
        <v>-5.8589067940107716E-2</v>
      </c>
      <c r="F142" s="841">
        <v>4648.82</v>
      </c>
      <c r="G142" s="817">
        <f t="shared" si="51"/>
        <v>-1.2679143340157994E-2</v>
      </c>
      <c r="H142" s="822">
        <f t="shared" ref="H142:H173" si="58">(F142-F$2)/F$2</f>
        <v>-8.6980772629966438E-2</v>
      </c>
      <c r="I142" s="824">
        <v>279655.23</v>
      </c>
      <c r="J142" s="825">
        <v>400000</v>
      </c>
      <c r="K142" s="825">
        <f t="shared" si="44"/>
        <v>-15676.890000000014</v>
      </c>
      <c r="L142" s="817">
        <f t="shared" si="52"/>
        <v>-5.3082238396555084E-2</v>
      </c>
      <c r="M142" s="842">
        <f t="shared" si="47"/>
        <v>-120344.77000000002</v>
      </c>
      <c r="N142" s="827">
        <f t="shared" si="48"/>
        <v>-0.30086192500000003</v>
      </c>
      <c r="O142" s="811">
        <f t="shared" si="56"/>
        <v>-0.53867557895220597</v>
      </c>
      <c r="P142" s="842" t="b">
        <f t="shared" si="46"/>
        <v>0</v>
      </c>
      <c r="Q142" s="827">
        <f>COUNTIF(P$2:P142, TRUE)/(COUNTIF(P$2:P142,FALSE) + COUNTIF(P$2:P142, TRUE))</f>
        <v>0.45390070921985815</v>
      </c>
      <c r="R142" s="828"/>
      <c r="S142" s="828"/>
      <c r="T142" s="828"/>
      <c r="U142" s="828"/>
      <c r="V142" s="827">
        <f>STDEV(D$2:D142)*SQRT(252)</f>
        <v>0.2028972139328496</v>
      </c>
      <c r="W142" s="827">
        <f>STDEV(L$2:L142)*SQRT(252)</f>
        <v>0.41493428525347442</v>
      </c>
      <c r="X142" s="826">
        <f t="shared" si="35"/>
        <v>-0.51701192785091299</v>
      </c>
      <c r="Y142" s="826">
        <f t="shared" si="36"/>
        <v>-1.2982190146643116</v>
      </c>
      <c r="Z142" s="832">
        <f t="shared" si="37"/>
        <v>-0.24227285705989232</v>
      </c>
    </row>
    <row r="143" spans="1:26" ht="20.100000000000001" customHeight="1" x14ac:dyDescent="0.2">
      <c r="A143" s="801">
        <f t="shared" si="55"/>
        <v>205</v>
      </c>
      <c r="B143" s="820">
        <v>42438</v>
      </c>
      <c r="C143" s="845">
        <v>1989.26</v>
      </c>
      <c r="D143" s="817">
        <f t="shared" si="53"/>
        <v>5.0523933187150757E-3</v>
      </c>
      <c r="E143" s="844">
        <f t="shared" si="57"/>
        <v>-5.3832689636802981E-2</v>
      </c>
      <c r="F143" s="841">
        <v>4674.37</v>
      </c>
      <c r="G143" s="817">
        <f t="shared" si="51"/>
        <v>5.4960183444401336E-3</v>
      </c>
      <c r="H143" s="822">
        <f t="shared" si="58"/>
        <v>-8.1962802207514174E-2</v>
      </c>
      <c r="I143" s="824">
        <v>284441.56</v>
      </c>
      <c r="J143" s="825">
        <v>400000</v>
      </c>
      <c r="K143" s="825">
        <f t="shared" si="44"/>
        <v>4786.3300000000163</v>
      </c>
      <c r="L143" s="817">
        <f t="shared" si="52"/>
        <v>1.7115109915877547E-2</v>
      </c>
      <c r="M143" s="842">
        <f t="shared" si="47"/>
        <v>-115558.44</v>
      </c>
      <c r="N143" s="827">
        <f t="shared" si="48"/>
        <v>-0.28889609999999999</v>
      </c>
      <c r="O143" s="811">
        <f t="shared" si="56"/>
        <v>-0.5147282952439024</v>
      </c>
      <c r="P143" s="842" t="b">
        <f t="shared" si="46"/>
        <v>1</v>
      </c>
      <c r="Q143" s="827">
        <f>COUNTIF(P$2:P143, TRUE)/(COUNTIF(P$2:P143,FALSE) + COUNTIF(P$2:P143, TRUE))</f>
        <v>0.45774647887323944</v>
      </c>
      <c r="R143" s="828"/>
      <c r="S143" s="828"/>
      <c r="T143" s="828"/>
      <c r="U143" s="828"/>
      <c r="V143" s="827">
        <f>STDEV(D$2:D143)*SQRT(252)</f>
        <v>0.20230024410689199</v>
      </c>
      <c r="W143" s="827">
        <f>STDEV(L$2:L143)*SQRT(252)</f>
        <v>0.41420228414527577</v>
      </c>
      <c r="X143" s="826">
        <f t="shared" si="35"/>
        <v>-0.47411755456380739</v>
      </c>
      <c r="Y143" s="826">
        <f t="shared" si="36"/>
        <v>-1.2426978675553815</v>
      </c>
      <c r="Z143" s="832">
        <f t="shared" si="37"/>
        <v>-0.235063410363197</v>
      </c>
    </row>
    <row r="144" spans="1:26" ht="20.100000000000001" customHeight="1" x14ac:dyDescent="0.2">
      <c r="A144" s="801">
        <f t="shared" si="55"/>
        <v>206</v>
      </c>
      <c r="B144" s="820">
        <v>42439</v>
      </c>
      <c r="C144" s="845">
        <v>1989.57</v>
      </c>
      <c r="D144" s="817">
        <f t="shared" si="53"/>
        <v>1.5583684385145504E-4</v>
      </c>
      <c r="E144" s="844">
        <f t="shared" si="57"/>
        <v>-5.3685241909400563E-2</v>
      </c>
      <c r="F144" s="841">
        <v>4662.1499999999996</v>
      </c>
      <c r="G144" s="817">
        <f t="shared" si="51"/>
        <v>-2.6142560387817514E-3</v>
      </c>
      <c r="H144" s="822">
        <f t="shared" si="58"/>
        <v>-8.4362786495669459E-2</v>
      </c>
      <c r="I144" s="824">
        <v>287418.99</v>
      </c>
      <c r="J144" s="825">
        <v>400000</v>
      </c>
      <c r="K144" s="825">
        <f t="shared" si="44"/>
        <v>2977.429999999993</v>
      </c>
      <c r="L144" s="817">
        <f t="shared" si="52"/>
        <v>1.0467633492095856E-2</v>
      </c>
      <c r="M144" s="842">
        <f t="shared" si="47"/>
        <v>-112581.01000000001</v>
      </c>
      <c r="N144" s="827">
        <f t="shared" si="48"/>
        <v>-0.28145252500000001</v>
      </c>
      <c r="O144" s="811">
        <f t="shared" si="56"/>
        <v>-0.49903172211771846</v>
      </c>
      <c r="P144" s="842" t="b">
        <f t="shared" si="46"/>
        <v>1</v>
      </c>
      <c r="Q144" s="827">
        <f>COUNTIF(P$2:P144, TRUE)/(COUNTIF(P$2:P144,FALSE) + COUNTIF(P$2:P144, TRUE))</f>
        <v>0.46153846153846156</v>
      </c>
      <c r="R144" s="828"/>
      <c r="S144" s="828"/>
      <c r="T144" s="828"/>
      <c r="U144" s="828"/>
      <c r="V144" s="827">
        <f>STDEV(D$2:D144)*SQRT(252)</f>
        <v>0.20158255288168328</v>
      </c>
      <c r="W144" s="827">
        <f>STDEV(L$2:L144)*SQRT(252)</f>
        <v>0.41303460915058671</v>
      </c>
      <c r="X144" s="826">
        <f t="shared" si="35"/>
        <v>-0.47219890729770364</v>
      </c>
      <c r="Y144" s="826">
        <f t="shared" si="36"/>
        <v>-1.2082080074209431</v>
      </c>
      <c r="Z144" s="832">
        <f t="shared" si="37"/>
        <v>-0.22776728309059946</v>
      </c>
    </row>
    <row r="145" spans="1:26" ht="20.100000000000001" customHeight="1" x14ac:dyDescent="0.2">
      <c r="A145" s="801">
        <f t="shared" si="55"/>
        <v>207</v>
      </c>
      <c r="B145" s="820">
        <v>42440</v>
      </c>
      <c r="C145" s="845">
        <v>2022.19</v>
      </c>
      <c r="D145" s="817">
        <f t="shared" si="53"/>
        <v>1.6395502545776285E-2</v>
      </c>
      <c r="E145" s="844">
        <f t="shared" si="57"/>
        <v>-3.816993588402047E-2</v>
      </c>
      <c r="F145" s="841">
        <v>4748.47</v>
      </c>
      <c r="G145" s="817">
        <f t="shared" si="51"/>
        <v>1.8515062792917564E-2</v>
      </c>
      <c r="H145" s="822">
        <f t="shared" si="58"/>
        <v>-6.7409705992104718E-2</v>
      </c>
      <c r="I145" s="824">
        <v>297529.25</v>
      </c>
      <c r="J145" s="825">
        <v>400000</v>
      </c>
      <c r="K145" s="825">
        <f t="shared" si="44"/>
        <v>10110.260000000009</v>
      </c>
      <c r="L145" s="817">
        <f t="shared" si="52"/>
        <v>3.5176033427714741E-2</v>
      </c>
      <c r="M145" s="842">
        <f t="shared" si="47"/>
        <v>-102470.75</v>
      </c>
      <c r="N145" s="827">
        <f t="shared" si="48"/>
        <v>-0.25617687500000003</v>
      </c>
      <c r="O145" s="811">
        <f t="shared" si="56"/>
        <v>-0.45202223958333343</v>
      </c>
      <c r="P145" s="842" t="b">
        <f t="shared" si="46"/>
        <v>1</v>
      </c>
      <c r="Q145" s="827">
        <f>COUNTIF(P$2:P145, TRUE)/(COUNTIF(P$2:P145,FALSE) + COUNTIF(P$2:P145, TRUE))</f>
        <v>0.46527777777777779</v>
      </c>
      <c r="R145" s="828"/>
      <c r="S145" s="828"/>
      <c r="T145" s="828"/>
      <c r="U145" s="828"/>
      <c r="V145" s="827">
        <f>STDEV(D$2:D145)*SQRT(252)</f>
        <v>0.20209170666788678</v>
      </c>
      <c r="W145" s="827">
        <f>STDEV(L$2:L145)*SQRT(252)</f>
        <v>0.41442203469244021</v>
      </c>
      <c r="X145" s="826">
        <f t="shared" si="35"/>
        <v>-0.33326738827683977</v>
      </c>
      <c r="Y145" s="826">
        <f t="shared" si="36"/>
        <v>-1.0907292608579511</v>
      </c>
      <c r="Z145" s="832">
        <f t="shared" si="37"/>
        <v>-0.21800693911597957</v>
      </c>
    </row>
    <row r="146" spans="1:26" ht="20.100000000000001" customHeight="1" x14ac:dyDescent="0.2">
      <c r="A146" s="801">
        <f t="shared" si="55"/>
        <v>210</v>
      </c>
      <c r="B146" s="849">
        <v>42443</v>
      </c>
      <c r="C146" s="850">
        <v>2019.64</v>
      </c>
      <c r="D146" s="817">
        <f t="shared" si="53"/>
        <v>-1.261009103991195E-3</v>
      </c>
      <c r="E146" s="851">
        <f t="shared" si="57"/>
        <v>-3.9382812351363157E-2</v>
      </c>
      <c r="F146" s="852">
        <v>4750.28</v>
      </c>
      <c r="G146" s="817">
        <f t="shared" si="51"/>
        <v>3.8117541018464697E-4</v>
      </c>
      <c r="H146" s="853">
        <f t="shared" si="58"/>
        <v>-6.7054225504252038E-2</v>
      </c>
      <c r="I146" s="854">
        <v>295383.49</v>
      </c>
      <c r="J146" s="855">
        <v>400000</v>
      </c>
      <c r="K146" s="855">
        <f t="shared" si="44"/>
        <v>-2145.7600000000093</v>
      </c>
      <c r="L146" s="817">
        <f t="shared" si="52"/>
        <v>-7.2119295833939327E-3</v>
      </c>
      <c r="M146" s="856">
        <f t="shared" si="47"/>
        <v>-104616.51000000001</v>
      </c>
      <c r="N146" s="857">
        <f t="shared" si="48"/>
        <v>-0.26154127500000002</v>
      </c>
      <c r="O146" s="811">
        <f t="shared" si="56"/>
        <v>-0.45489500330357147</v>
      </c>
      <c r="P146" s="856" t="b">
        <f t="shared" si="46"/>
        <v>0</v>
      </c>
      <c r="Q146" s="857">
        <f>COUNTIF(P$2:P146, TRUE)/(COUNTIF(P$2:P146,FALSE) + COUNTIF(P$2:P146, TRUE))</f>
        <v>0.46206896551724136</v>
      </c>
      <c r="R146" s="855"/>
      <c r="S146" s="855"/>
      <c r="T146" s="855"/>
      <c r="U146" s="855"/>
      <c r="V146" s="857">
        <f>STDEV(D$2:D146)*SQRT(252)</f>
        <v>0.20138882204680125</v>
      </c>
      <c r="W146" s="857">
        <f>STDEV(L$2:L146)*SQRT(252)</f>
        <v>0.41305007987980863</v>
      </c>
      <c r="X146" s="826">
        <f t="shared" si="35"/>
        <v>-0.34012792872487485</v>
      </c>
      <c r="Y146" s="826">
        <f t="shared" si="36"/>
        <v>-1.1013071427947407</v>
      </c>
      <c r="Z146" s="832">
        <f t="shared" si="37"/>
        <v>-0.22215846264863687</v>
      </c>
    </row>
    <row r="147" spans="1:26" ht="20.100000000000001" customHeight="1" x14ac:dyDescent="0.2">
      <c r="A147" s="801">
        <f t="shared" si="55"/>
        <v>211</v>
      </c>
      <c r="B147" s="849">
        <v>42444</v>
      </c>
      <c r="C147" s="850">
        <v>2015.93</v>
      </c>
      <c r="D147" s="817">
        <f t="shared" si="53"/>
        <v>-1.8369610425620587E-3</v>
      </c>
      <c r="E147" s="851">
        <f t="shared" si="57"/>
        <v>-4.1147428701889227E-2</v>
      </c>
      <c r="F147" s="852">
        <v>4728.66</v>
      </c>
      <c r="G147" s="817">
        <f t="shared" si="51"/>
        <v>-4.5513106595821496E-3</v>
      </c>
      <c r="H147" s="853">
        <f t="shared" si="58"/>
        <v>-7.1300351552526661E-2</v>
      </c>
      <c r="I147" s="854">
        <v>295669.06</v>
      </c>
      <c r="J147" s="855">
        <v>400000</v>
      </c>
      <c r="K147" s="855">
        <f t="shared" si="44"/>
        <v>285.57000000000698</v>
      </c>
      <c r="L147" s="817">
        <f t="shared" si="52"/>
        <v>9.6677712082014809E-4</v>
      </c>
      <c r="M147" s="856">
        <f t="shared" si="47"/>
        <v>-104330.94</v>
      </c>
      <c r="N147" s="857">
        <f t="shared" si="48"/>
        <v>-0.26082735000000001</v>
      </c>
      <c r="O147" s="811">
        <f t="shared" si="56"/>
        <v>-0.45150326818720377</v>
      </c>
      <c r="P147" s="856" t="b">
        <f t="shared" si="46"/>
        <v>1</v>
      </c>
      <c r="Q147" s="857">
        <f>COUNTIF(P$2:P147, TRUE)/(COUNTIF(P$2:P147,FALSE) + COUNTIF(P$2:P147, TRUE))</f>
        <v>0.46575342465753422</v>
      </c>
      <c r="R147" s="855"/>
      <c r="S147" s="855"/>
      <c r="T147" s="855"/>
      <c r="U147" s="855"/>
      <c r="V147" s="857">
        <f>STDEV(D$2:D147)*SQRT(252)</f>
        <v>0.20069995386729664</v>
      </c>
      <c r="W147" s="857">
        <f>STDEV(L$2:L147)*SQRT(252)</f>
        <v>0.41162261053938765</v>
      </c>
      <c r="X147" s="826">
        <f t="shared" si="35"/>
        <v>-0.35489771080695059</v>
      </c>
      <c r="Y147" s="826">
        <f t="shared" si="36"/>
        <v>-1.0968864601377382</v>
      </c>
      <c r="Z147" s="832">
        <f t="shared" si="37"/>
        <v>-0.21967992129811079</v>
      </c>
    </row>
    <row r="148" spans="1:26" ht="20.100000000000001" customHeight="1" x14ac:dyDescent="0.2">
      <c r="A148" s="801">
        <f t="shared" si="55"/>
        <v>212</v>
      </c>
      <c r="B148" s="849">
        <v>42445</v>
      </c>
      <c r="C148" s="850">
        <v>2027.22</v>
      </c>
      <c r="D148" s="817">
        <f t="shared" si="53"/>
        <v>5.6003928707841853E-3</v>
      </c>
      <c r="E148" s="851">
        <f t="shared" si="57"/>
        <v>-3.5777477597458203E-2</v>
      </c>
      <c r="F148" s="852">
        <v>4763.97</v>
      </c>
      <c r="G148" s="817">
        <f t="shared" si="51"/>
        <v>7.467231731611154E-3</v>
      </c>
      <c r="H148" s="853">
        <f t="shared" si="58"/>
        <v>-6.4365536068503565E-2</v>
      </c>
      <c r="I148" s="854">
        <v>297622.03999999998</v>
      </c>
      <c r="J148" s="855">
        <v>400000</v>
      </c>
      <c r="K148" s="855">
        <f t="shared" si="44"/>
        <v>1952.9799999999814</v>
      </c>
      <c r="L148" s="817">
        <f t="shared" si="52"/>
        <v>6.6052903878409917E-3</v>
      </c>
      <c r="M148" s="856">
        <f t="shared" si="47"/>
        <v>-102377.96000000002</v>
      </c>
      <c r="N148" s="857">
        <f t="shared" si="48"/>
        <v>-0.25594490000000003</v>
      </c>
      <c r="O148" s="811">
        <f t="shared" si="56"/>
        <v>-0.44096167323113211</v>
      </c>
      <c r="P148" s="856" t="b">
        <f t="shared" si="46"/>
        <v>1</v>
      </c>
      <c r="Q148" s="857">
        <f>COUNTIF(P$2:P148, TRUE)/(COUNTIF(P$2:P148,FALSE) + COUNTIF(P$2:P148, TRUE))</f>
        <v>0.46938775510204084</v>
      </c>
      <c r="R148" s="855">
        <v>208116.46</v>
      </c>
      <c r="S148" s="855">
        <f t="shared" ref="S148:S153" si="59">I148-R148</f>
        <v>89505.579999999987</v>
      </c>
      <c r="T148" s="855"/>
      <c r="U148" s="855"/>
      <c r="V148" s="857">
        <f>STDEV(D$2:D148)*SQRT(252)</f>
        <v>0.20015232316185677</v>
      </c>
      <c r="W148" s="857">
        <f>STDEV(L$2:L148)*SQRT(252)</f>
        <v>0.41032597832718526</v>
      </c>
      <c r="X148" s="826">
        <f t="shared" si="35"/>
        <v>-0.30796647834418456</v>
      </c>
      <c r="Y148" s="826">
        <f t="shared" si="36"/>
        <v>-1.0746618457569814</v>
      </c>
      <c r="Z148" s="832">
        <f t="shared" si="37"/>
        <v>-0.22016742240254183</v>
      </c>
    </row>
    <row r="149" spans="1:26" ht="20.100000000000001" customHeight="1" x14ac:dyDescent="0.2">
      <c r="A149" s="801">
        <f t="shared" si="55"/>
        <v>213</v>
      </c>
      <c r="B149" s="849">
        <v>42446</v>
      </c>
      <c r="C149" s="850">
        <v>2040.59</v>
      </c>
      <c r="D149" s="817">
        <f t="shared" si="53"/>
        <v>6.5952387999328593E-3</v>
      </c>
      <c r="E149" s="851">
        <f t="shared" si="57"/>
        <v>-2.9418199805939828E-2</v>
      </c>
      <c r="F149" s="852">
        <v>4774.9799999999996</v>
      </c>
      <c r="G149" s="817">
        <f t="shared" si="51"/>
        <v>2.3110976769373671E-3</v>
      </c>
      <c r="H149" s="853">
        <f t="shared" si="58"/>
        <v>-6.2203193432448942E-2</v>
      </c>
      <c r="I149" s="854">
        <v>298243.74</v>
      </c>
      <c r="J149" s="855">
        <v>400000</v>
      </c>
      <c r="K149" s="855">
        <f t="shared" si="44"/>
        <v>621.70000000001164</v>
      </c>
      <c r="L149" s="817">
        <f t="shared" si="52"/>
        <v>2.0888909974543946E-3</v>
      </c>
      <c r="M149" s="856">
        <f t="shared" si="47"/>
        <v>-101756.26000000001</v>
      </c>
      <c r="N149" s="857">
        <f t="shared" si="48"/>
        <v>-0.25439065</v>
      </c>
      <c r="O149" s="811">
        <f t="shared" si="56"/>
        <v>-0.43622622024647889</v>
      </c>
      <c r="P149" s="856" t="b">
        <f t="shared" si="46"/>
        <v>0</v>
      </c>
      <c r="Q149" s="857">
        <f>COUNTIF(P$2:P149, TRUE)/(COUNTIF(P$2:P149,FALSE) + COUNTIF(P$2:P149, TRUE))</f>
        <v>0.46621621621621623</v>
      </c>
      <c r="R149" s="855">
        <v>201345.75</v>
      </c>
      <c r="S149" s="855">
        <f t="shared" si="59"/>
        <v>96897.989999999991</v>
      </c>
      <c r="T149" s="855"/>
      <c r="U149" s="855"/>
      <c r="V149" s="857">
        <f>STDEV(D$2:D149)*SQRT(252)</f>
        <v>0.19966229894539708</v>
      </c>
      <c r="W149" s="857">
        <f>STDEV(L$2:L149)*SQRT(252)</f>
        <v>0.40893908230401166</v>
      </c>
      <c r="X149" s="826">
        <f t="shared" si="35"/>
        <v>-0.25265659977373867</v>
      </c>
      <c r="Y149" s="826">
        <f t="shared" si="36"/>
        <v>-1.0667266571557021</v>
      </c>
      <c r="Z149" s="832">
        <f t="shared" si="37"/>
        <v>-0.22497245019406018</v>
      </c>
    </row>
    <row r="150" spans="1:26" ht="20.100000000000001" customHeight="1" x14ac:dyDescent="0.2">
      <c r="A150" s="801">
        <f t="shared" si="55"/>
        <v>214</v>
      </c>
      <c r="B150" s="849">
        <v>42447</v>
      </c>
      <c r="C150" s="850">
        <v>2049.56</v>
      </c>
      <c r="D150" s="817">
        <f t="shared" si="53"/>
        <v>4.3957874928329688E-3</v>
      </c>
      <c r="E150" s="851">
        <f t="shared" si="57"/>
        <v>-2.5151728467875473E-2</v>
      </c>
      <c r="F150" s="852">
        <v>4795.6499999999996</v>
      </c>
      <c r="G150" s="817">
        <f t="shared" si="51"/>
        <v>4.3288139426762157E-3</v>
      </c>
      <c r="H150" s="853">
        <f t="shared" si="58"/>
        <v>-5.8143645540782093E-2</v>
      </c>
      <c r="I150" s="854">
        <v>302252.61</v>
      </c>
      <c r="J150" s="855">
        <v>400000</v>
      </c>
      <c r="K150" s="855">
        <f t="shared" si="44"/>
        <v>4008.8699999999953</v>
      </c>
      <c r="L150" s="817">
        <f t="shared" si="52"/>
        <v>1.3441589754742196E-2</v>
      </c>
      <c r="M150" s="856">
        <f t="shared" si="47"/>
        <v>-97747.390000000014</v>
      </c>
      <c r="N150" s="857">
        <f t="shared" si="48"/>
        <v>-0.24436847500000003</v>
      </c>
      <c r="O150" s="811">
        <f t="shared" si="56"/>
        <v>-0.41708217520443935</v>
      </c>
      <c r="P150" s="856" t="b">
        <f t="shared" si="46"/>
        <v>1</v>
      </c>
      <c r="Q150" s="857">
        <f>COUNTIF(P$2:P150, TRUE)/(COUNTIF(P$2:P150,FALSE) + COUNTIF(P$2:P150, TRUE))</f>
        <v>0.46979865771812079</v>
      </c>
      <c r="R150" s="855">
        <v>189023.24</v>
      </c>
      <c r="S150" s="855">
        <f t="shared" si="59"/>
        <v>113229.37</v>
      </c>
      <c r="T150" s="855"/>
      <c r="U150" s="855"/>
      <c r="V150" s="857">
        <f>STDEV(D$2:D150)*SQRT(252)</f>
        <v>0.19906941872329306</v>
      </c>
      <c r="W150" s="857">
        <f>STDEV(L$2:L150)*SQRT(252)</f>
        <v>0.40798335166369004</v>
      </c>
      <c r="X150" s="826">
        <f t="shared" si="35"/>
        <v>-0.21564517172346245</v>
      </c>
      <c r="Y150" s="826">
        <f t="shared" si="36"/>
        <v>-1.0223019481153968</v>
      </c>
      <c r="Z150" s="832">
        <f t="shared" si="37"/>
        <v>-0.21921674653212456</v>
      </c>
    </row>
    <row r="151" spans="1:26" ht="20.100000000000001" customHeight="1" x14ac:dyDescent="0.2">
      <c r="A151" s="801">
        <f t="shared" si="55"/>
        <v>217</v>
      </c>
      <c r="B151" s="820">
        <v>42450</v>
      </c>
      <c r="C151" s="845">
        <v>2051.6</v>
      </c>
      <c r="D151" s="817">
        <f t="shared" si="53"/>
        <v>9.9533558422293736E-4</v>
      </c>
      <c r="E151" s="844">
        <f t="shared" si="57"/>
        <v>-2.4181427294001325E-2</v>
      </c>
      <c r="F151" s="841">
        <v>4808.87</v>
      </c>
      <c r="G151" s="817">
        <f t="shared" si="51"/>
        <v>2.7566648942271132E-3</v>
      </c>
      <c r="H151" s="822">
        <f t="shared" si="58"/>
        <v>-5.5547263193039639E-2</v>
      </c>
      <c r="I151" s="824">
        <v>302397.02</v>
      </c>
      <c r="J151" s="825">
        <v>400000</v>
      </c>
      <c r="K151" s="825">
        <f t="shared" si="44"/>
        <v>144.4100000000326</v>
      </c>
      <c r="L151" s="817">
        <f t="shared" si="52"/>
        <v>4.7777916624121991E-4</v>
      </c>
      <c r="M151" s="842">
        <f t="shared" si="47"/>
        <v>-97602.979999999981</v>
      </c>
      <c r="N151" s="827">
        <f t="shared" si="48"/>
        <v>-0.24400744999999996</v>
      </c>
      <c r="O151" s="811">
        <f t="shared" si="56"/>
        <v>-0.41070839222350225</v>
      </c>
      <c r="P151" s="842" t="b">
        <f t="shared" si="46"/>
        <v>0</v>
      </c>
      <c r="Q151" s="827">
        <f>COUNTIF(P$2:P151, TRUE)/(COUNTIF(P$2:P151,FALSE) + COUNTIF(P$2:P151, TRUE))</f>
        <v>0.46666666666666667</v>
      </c>
      <c r="R151" s="825">
        <v>190702.94</v>
      </c>
      <c r="S151" s="825">
        <f t="shared" si="59"/>
        <v>111694.08000000002</v>
      </c>
      <c r="T151" s="825"/>
      <c r="U151" s="825"/>
      <c r="V151" s="827">
        <f>STDEV(D$2:D151)*SQRT(252)</f>
        <v>0.19840080405595206</v>
      </c>
      <c r="W151" s="827">
        <f>STDEV(L$2:L151)*SQRT(252)</f>
        <v>0.40660686098578552</v>
      </c>
      <c r="X151" s="826">
        <f t="shared" si="35"/>
        <v>-0.2051488062272657</v>
      </c>
      <c r="Y151" s="826">
        <f t="shared" si="36"/>
        <v>-1.0100872160095207</v>
      </c>
      <c r="Z151" s="832">
        <f t="shared" si="37"/>
        <v>-0.21982602270599863</v>
      </c>
    </row>
    <row r="152" spans="1:26" ht="20.100000000000001" customHeight="1" x14ac:dyDescent="0.2">
      <c r="A152" s="801">
        <f t="shared" si="55"/>
        <v>218</v>
      </c>
      <c r="B152" s="820">
        <v>42451</v>
      </c>
      <c r="C152" s="845">
        <v>2052.6</v>
      </c>
      <c r="D152" s="817">
        <f t="shared" si="53"/>
        <v>4.8742444921037243E-4</v>
      </c>
      <c r="E152" s="844">
        <f t="shared" si="57"/>
        <v>-2.370578946367085E-2</v>
      </c>
      <c r="F152" s="841">
        <v>4809.87</v>
      </c>
      <c r="G152" s="817">
        <f t="shared" si="51"/>
        <v>2.0794906079806691E-4</v>
      </c>
      <c r="H152" s="822">
        <f t="shared" si="58"/>
        <v>-5.535086513345247E-2</v>
      </c>
      <c r="I152" s="824">
        <v>300927.05</v>
      </c>
      <c r="J152" s="825">
        <v>400000</v>
      </c>
      <c r="K152" s="825">
        <f t="shared" ref="K152:K183" si="60">I152-I151-J152+J151</f>
        <v>-1469.9700000000303</v>
      </c>
      <c r="L152" s="817">
        <f t="shared" si="52"/>
        <v>-4.8610598080630228E-3</v>
      </c>
      <c r="M152" s="842">
        <f t="shared" si="47"/>
        <v>-99072.950000000012</v>
      </c>
      <c r="N152" s="827">
        <f t="shared" si="48"/>
        <v>-0.24768237500000004</v>
      </c>
      <c r="O152" s="811">
        <f t="shared" si="56"/>
        <v>-0.41498159389334865</v>
      </c>
      <c r="P152" s="842" t="b">
        <f t="shared" si="46"/>
        <v>0</v>
      </c>
      <c r="Q152" s="827">
        <f>COUNTIF(P$2:P152, TRUE)/(COUNTIF(P$2:P152,FALSE) + COUNTIF(P$2:P152, TRUE))</f>
        <v>0.46357615894039733</v>
      </c>
      <c r="R152" s="825">
        <v>208698.82</v>
      </c>
      <c r="S152" s="825">
        <f t="shared" si="59"/>
        <v>92228.229999999981</v>
      </c>
      <c r="T152" s="825"/>
      <c r="U152" s="825"/>
      <c r="V152" s="827">
        <f>STDEV(D$2:D152)*SQRT(252)</f>
        <v>0.19773530847085422</v>
      </c>
      <c r="W152" s="827">
        <f>STDEV(L$2:L152)*SQRT(252)</f>
        <v>0.40527216981287528</v>
      </c>
      <c r="X152" s="826">
        <f t="shared" si="35"/>
        <v>-0.20086484237008859</v>
      </c>
      <c r="Y152" s="826">
        <f t="shared" si="36"/>
        <v>-1.0239577864055074</v>
      </c>
      <c r="Z152" s="832">
        <f t="shared" si="37"/>
        <v>-0.22397658553632918</v>
      </c>
    </row>
    <row r="153" spans="1:26" ht="20.100000000000001" customHeight="1" x14ac:dyDescent="0.2">
      <c r="A153" s="801">
        <f t="shared" si="55"/>
        <v>219</v>
      </c>
      <c r="B153" s="820">
        <v>42452</v>
      </c>
      <c r="C153" s="845">
        <v>2036.71</v>
      </c>
      <c r="D153" s="817">
        <f t="shared" si="53"/>
        <v>-7.7414011497612166E-3</v>
      </c>
      <c r="E153" s="844">
        <f t="shared" si="57"/>
        <v>-3.1263674587622012E-2</v>
      </c>
      <c r="F153" s="841">
        <v>4768.8599999999997</v>
      </c>
      <c r="G153" s="817">
        <f t="shared" si="51"/>
        <v>-8.5262179643109306E-3</v>
      </c>
      <c r="H153" s="822">
        <f t="shared" si="58"/>
        <v>-6.3405149557122412E-2</v>
      </c>
      <c r="I153" s="824">
        <v>283106.53999999998</v>
      </c>
      <c r="J153" s="825">
        <v>400000</v>
      </c>
      <c r="K153" s="825">
        <f t="shared" si="60"/>
        <v>-17820.510000000009</v>
      </c>
      <c r="L153" s="817">
        <f t="shared" si="52"/>
        <v>-5.9218704333824458E-2</v>
      </c>
      <c r="M153" s="842">
        <f t="shared" si="47"/>
        <v>-116893.46000000002</v>
      </c>
      <c r="N153" s="827">
        <f t="shared" si="48"/>
        <v>-0.29223365000000007</v>
      </c>
      <c r="O153" s="811">
        <f t="shared" si="56"/>
        <v>-0.48738968339041105</v>
      </c>
      <c r="P153" s="842" t="b">
        <f t="shared" si="46"/>
        <v>0</v>
      </c>
      <c r="Q153" s="827">
        <f>COUNTIF(P$2:P153, TRUE)/(COUNTIF(P$2:P153,FALSE) + COUNTIF(P$2:P153, TRUE))</f>
        <v>0.46052631578947367</v>
      </c>
      <c r="R153" s="825">
        <v>233281.17</v>
      </c>
      <c r="S153" s="825">
        <f t="shared" si="59"/>
        <v>49825.369999999966</v>
      </c>
      <c r="T153" s="825"/>
      <c r="U153" s="825"/>
      <c r="V153" s="827">
        <f>STDEV(D$2:D153)*SQRT(252)</f>
        <v>0.19732328223466214</v>
      </c>
      <c r="W153" s="827">
        <f>STDEV(L$2:L153)*SQRT(252)</f>
        <v>0.41087213630897762</v>
      </c>
      <c r="X153" s="826">
        <f t="shared" si="35"/>
        <v>-0.26424562194813123</v>
      </c>
      <c r="Y153" s="826">
        <f t="shared" si="36"/>
        <v>-1.1862320179918258</v>
      </c>
      <c r="Z153" s="832">
        <f t="shared" si="37"/>
        <v>-0.26096997541237804</v>
      </c>
    </row>
    <row r="154" spans="1:26" ht="20.100000000000001" customHeight="1" x14ac:dyDescent="0.2">
      <c r="A154" s="801">
        <f t="shared" si="55"/>
        <v>220</v>
      </c>
      <c r="B154" s="820">
        <v>42453</v>
      </c>
      <c r="C154" s="845">
        <v>2035.94</v>
      </c>
      <c r="D154" s="817">
        <f t="shared" si="53"/>
        <v>-3.7806069592626431E-4</v>
      </c>
      <c r="E154" s="844">
        <f t="shared" si="57"/>
        <v>-3.1629915716976466E-2</v>
      </c>
      <c r="F154" s="841">
        <v>4773.5</v>
      </c>
      <c r="G154" s="817">
        <f t="shared" si="51"/>
        <v>9.7297886706683098E-4</v>
      </c>
      <c r="H154" s="822">
        <f t="shared" si="58"/>
        <v>-6.2493862560637867E-2</v>
      </c>
      <c r="I154" s="824">
        <v>283603.99</v>
      </c>
      <c r="J154" s="825">
        <v>400000</v>
      </c>
      <c r="K154" s="825">
        <f t="shared" si="60"/>
        <v>497.45000000001164</v>
      </c>
      <c r="L154" s="817">
        <f t="shared" si="52"/>
        <v>1.7571123577717832E-3</v>
      </c>
      <c r="M154" s="842">
        <f t="shared" si="47"/>
        <v>-116396.01000000001</v>
      </c>
      <c r="N154" s="827">
        <f t="shared" si="48"/>
        <v>-0.29099002500000004</v>
      </c>
      <c r="O154" s="811">
        <f t="shared" si="56"/>
        <v>-0.48310957559659101</v>
      </c>
      <c r="P154" s="842" t="b">
        <f t="shared" si="46"/>
        <v>1</v>
      </c>
      <c r="Q154" s="827">
        <f>COUNTIF(P$2:P154, TRUE)/(COUNTIF(P$2:P154,FALSE) + COUNTIF(P$2:P154, TRUE))</f>
        <v>0.46405228758169936</v>
      </c>
      <c r="R154" s="825">
        <v>233282.17</v>
      </c>
      <c r="S154" s="825">
        <f t="shared" ref="S154:S191" si="61">I154-R154</f>
        <v>50321.819999999978</v>
      </c>
      <c r="T154" s="825"/>
      <c r="U154" s="825"/>
      <c r="V154" s="827">
        <f>STDEV(D$2:D154)*SQRT(252)</f>
        <v>0.19666906063244452</v>
      </c>
      <c r="W154" s="827">
        <f>STDEV(L$2:L154)*SQRT(252)</f>
        <v>0.40952879368350692</v>
      </c>
      <c r="X154" s="826">
        <f t="shared" si="35"/>
        <v>-0.26701123470320931</v>
      </c>
      <c r="Y154" s="826">
        <f t="shared" si="36"/>
        <v>-1.1796718156280581</v>
      </c>
      <c r="Z154" s="832">
        <f t="shared" si="37"/>
        <v>-0.25936010928302355</v>
      </c>
    </row>
    <row r="155" spans="1:26" ht="20.100000000000001" customHeight="1" x14ac:dyDescent="0.2">
      <c r="A155" s="801">
        <f t="shared" si="55"/>
        <v>224</v>
      </c>
      <c r="B155" s="849">
        <v>42457</v>
      </c>
      <c r="C155" s="850">
        <v>2037.05</v>
      </c>
      <c r="D155" s="817">
        <f t="shared" si="53"/>
        <v>5.4520270734889045E-4</v>
      </c>
      <c r="E155" s="851">
        <f t="shared" si="57"/>
        <v>-3.1101957725309687E-2</v>
      </c>
      <c r="F155" s="852">
        <v>4766.78</v>
      </c>
      <c r="G155" s="817">
        <f t="shared" si="51"/>
        <v>-1.4077720749974348E-3</v>
      </c>
      <c r="H155" s="853">
        <f t="shared" si="58"/>
        <v>-6.3813657521063702E-2</v>
      </c>
      <c r="I155" s="854">
        <v>281306.2</v>
      </c>
      <c r="J155" s="855">
        <v>400000</v>
      </c>
      <c r="K155" s="855">
        <f t="shared" si="60"/>
        <v>-2297.789999999979</v>
      </c>
      <c r="L155" s="817">
        <f t="shared" si="52"/>
        <v>-8.1021074491934297E-3</v>
      </c>
      <c r="M155" s="856">
        <f t="shared" si="47"/>
        <v>-118693.79999999999</v>
      </c>
      <c r="N155" s="857">
        <f t="shared" si="48"/>
        <v>-0.29673449999999996</v>
      </c>
      <c r="O155" s="811">
        <f t="shared" si="56"/>
        <v>-0.48384944698660709</v>
      </c>
      <c r="P155" s="856" t="b">
        <f t="shared" ref="P155:P191" si="62">L155&gt;D155</f>
        <v>0</v>
      </c>
      <c r="Q155" s="857">
        <f>COUNTIF(P$2:P155, TRUE)/(COUNTIF(P$2:P155,FALSE) + COUNTIF(P$2:P155, TRUE))</f>
        <v>0.46103896103896103</v>
      </c>
      <c r="R155" s="855">
        <v>231480.83</v>
      </c>
      <c r="S155" s="855">
        <f t="shared" si="61"/>
        <v>49825.370000000024</v>
      </c>
      <c r="T155" s="855"/>
      <c r="U155" s="855"/>
      <c r="V155" s="857">
        <f>STDEV(D$2:D155)*SQRT(252)</f>
        <v>0.19602299974071929</v>
      </c>
      <c r="W155" s="857">
        <f>STDEV(L$2:L155)*SQRT(252)</f>
        <v>0.40827222780986738</v>
      </c>
      <c r="X155" s="826">
        <f t="shared" ref="X155:X218" si="63">E155/(A155/365.25)/V155</f>
        <v>-0.25871577010176117</v>
      </c>
      <c r="Y155" s="826">
        <f t="shared" ref="Y155:Y218" si="64">O155/W155</f>
        <v>-1.185114769089648</v>
      </c>
      <c r="Z155" s="832">
        <f t="shared" ref="Z155:Z218" si="65">-(E155-N155)</f>
        <v>-0.26563254227469024</v>
      </c>
    </row>
    <row r="156" spans="1:26" ht="20.100000000000001" customHeight="1" x14ac:dyDescent="0.2">
      <c r="A156" s="801">
        <f t="shared" si="55"/>
        <v>225</v>
      </c>
      <c r="B156" s="849">
        <v>42458</v>
      </c>
      <c r="C156" s="850">
        <v>2055.0100000000002</v>
      </c>
      <c r="D156" s="817">
        <f t="shared" si="53"/>
        <v>8.8166711666381598E-3</v>
      </c>
      <c r="E156" s="851">
        <f t="shared" si="57"/>
        <v>-2.2559502292574262E-2</v>
      </c>
      <c r="F156" s="852">
        <v>4846.62</v>
      </c>
      <c r="G156" s="817">
        <f t="shared" si="51"/>
        <v>1.6749252115683993E-2</v>
      </c>
      <c r="H156" s="853">
        <f t="shared" si="58"/>
        <v>-4.8133236443623925E-2</v>
      </c>
      <c r="I156" s="854">
        <v>285322.46999999997</v>
      </c>
      <c r="J156" s="855">
        <v>400000</v>
      </c>
      <c r="K156" s="855">
        <f t="shared" si="60"/>
        <v>4016.2699999999604</v>
      </c>
      <c r="L156" s="817">
        <f t="shared" si="52"/>
        <v>1.4277218205641967E-2</v>
      </c>
      <c r="M156" s="856">
        <f t="shared" si="47"/>
        <v>-114677.53000000003</v>
      </c>
      <c r="N156" s="857">
        <f t="shared" si="48"/>
        <v>-0.28669382500000007</v>
      </c>
      <c r="O156" s="811">
        <f t="shared" si="56"/>
        <v>-0.46539964258333344</v>
      </c>
      <c r="P156" s="856" t="b">
        <f t="shared" si="62"/>
        <v>1</v>
      </c>
      <c r="Q156" s="857">
        <f>COUNTIF(P$2:P156, TRUE)/(COUNTIF(P$2:P156,FALSE) + COUNTIF(P$2:P156, TRUE))</f>
        <v>0.46451612903225808</v>
      </c>
      <c r="R156" s="855">
        <v>235497.1</v>
      </c>
      <c r="S156" s="855">
        <f t="shared" si="61"/>
        <v>49825.369999999966</v>
      </c>
      <c r="T156" s="855"/>
      <c r="U156" s="855"/>
      <c r="V156" s="857">
        <f>STDEV(D$2:D156)*SQRT(252)</f>
        <v>0.19571630227727144</v>
      </c>
      <c r="W156" s="857">
        <f>STDEV(L$2:L156)*SQRT(252)</f>
        <v>0.4074274282139313</v>
      </c>
      <c r="X156" s="826">
        <f t="shared" si="63"/>
        <v>-0.18711569567191041</v>
      </c>
      <c r="Y156" s="826">
        <f t="shared" si="64"/>
        <v>-1.1422884429345836</v>
      </c>
      <c r="Z156" s="832">
        <f t="shared" si="65"/>
        <v>-0.26413432270742582</v>
      </c>
    </row>
    <row r="157" spans="1:26" ht="20.100000000000001" customHeight="1" x14ac:dyDescent="0.2">
      <c r="A157" s="801">
        <f t="shared" si="55"/>
        <v>226</v>
      </c>
      <c r="B157" s="849">
        <v>42459</v>
      </c>
      <c r="C157" s="850">
        <v>2063.9499999999998</v>
      </c>
      <c r="D157" s="817">
        <f t="shared" si="53"/>
        <v>4.3503437939472799E-3</v>
      </c>
      <c r="E157" s="851">
        <f t="shared" si="57"/>
        <v>-1.8307300089420026E-2</v>
      </c>
      <c r="F157" s="852">
        <v>4869.29</v>
      </c>
      <c r="G157" s="817">
        <f t="shared" si="51"/>
        <v>4.6774865782751845E-3</v>
      </c>
      <c r="H157" s="853">
        <f t="shared" si="58"/>
        <v>-4.3680892432782739E-2</v>
      </c>
      <c r="I157" s="854">
        <v>288126.49</v>
      </c>
      <c r="J157" s="855">
        <v>400000</v>
      </c>
      <c r="K157" s="855">
        <f t="shared" si="60"/>
        <v>2804.0200000000186</v>
      </c>
      <c r="L157" s="817">
        <f t="shared" si="52"/>
        <v>9.8275470557927635E-3</v>
      </c>
      <c r="M157" s="856">
        <f t="shared" si="47"/>
        <v>-111873.51000000001</v>
      </c>
      <c r="N157" s="857">
        <f t="shared" si="48"/>
        <v>-0.27968377500000002</v>
      </c>
      <c r="O157" s="811">
        <f t="shared" si="56"/>
        <v>-0.45201105672013281</v>
      </c>
      <c r="P157" s="856" t="b">
        <f t="shared" si="62"/>
        <v>1</v>
      </c>
      <c r="Q157" s="857">
        <f>COUNTIF(P$2:P157, TRUE)/(COUNTIF(P$2:P157,FALSE) + COUNTIF(P$2:P157, TRUE))</f>
        <v>0.46794871794871795</v>
      </c>
      <c r="R157" s="855">
        <v>216771.49</v>
      </c>
      <c r="S157" s="855">
        <f t="shared" si="61"/>
        <v>71355</v>
      </c>
      <c r="T157" s="855"/>
      <c r="U157" s="855"/>
      <c r="V157" s="857">
        <f>STDEV(D$2:D157)*SQRT(252)</f>
        <v>0.19516132328288105</v>
      </c>
      <c r="W157" s="857">
        <f>STDEV(L$2:L157)*SQRT(252)</f>
        <v>0.40634858436204313</v>
      </c>
      <c r="X157" s="826">
        <f t="shared" si="63"/>
        <v>-0.1516045835434584</v>
      </c>
      <c r="Y157" s="826">
        <f t="shared" si="64"/>
        <v>-1.1123726625743722</v>
      </c>
      <c r="Z157" s="832">
        <f t="shared" si="65"/>
        <v>-0.26137647491058003</v>
      </c>
    </row>
    <row r="158" spans="1:26" ht="20.100000000000001" customHeight="1" x14ac:dyDescent="0.2">
      <c r="A158" s="801">
        <f t="shared" si="55"/>
        <v>227</v>
      </c>
      <c r="B158" s="849">
        <v>42460</v>
      </c>
      <c r="C158" s="850">
        <v>2059.7399999999998</v>
      </c>
      <c r="D158" s="817">
        <f t="shared" si="53"/>
        <v>-2.0397780953996156E-3</v>
      </c>
      <c r="E158" s="851">
        <f t="shared" si="57"/>
        <v>-2.0309735355111335E-2</v>
      </c>
      <c r="F158" s="852">
        <v>4869.84</v>
      </c>
      <c r="G158" s="817">
        <f t="shared" si="51"/>
        <v>1.129528124223823E-4</v>
      </c>
      <c r="H158" s="853">
        <f t="shared" si="58"/>
        <v>-4.3572873500009754E-2</v>
      </c>
      <c r="I158" s="861">
        <v>295667.37</v>
      </c>
      <c r="J158" s="855">
        <v>400000</v>
      </c>
      <c r="K158" s="855">
        <f t="shared" si="60"/>
        <v>7540.8800000000047</v>
      </c>
      <c r="L158" s="817">
        <f t="shared" si="52"/>
        <v>2.6172116281290222E-2</v>
      </c>
      <c r="M158" s="856">
        <f t="shared" ref="M158:M191" si="66">I158-J158</f>
        <v>-104332.63</v>
      </c>
      <c r="N158" s="857">
        <f t="shared" ref="N158:N189" si="67">M158/J158</f>
        <v>-0.26083157500000004</v>
      </c>
      <c r="O158" s="811">
        <f t="shared" si="56"/>
        <v>-0.41968604743942739</v>
      </c>
      <c r="P158" s="856" t="b">
        <f t="shared" si="62"/>
        <v>1</v>
      </c>
      <c r="Q158" s="857">
        <f>COUNTIF(P$2:P158, TRUE)/(COUNTIF(P$2:P158,FALSE) + COUNTIF(P$2:P158, TRUE))</f>
        <v>0.4713375796178344</v>
      </c>
      <c r="R158" s="855">
        <v>202826.77</v>
      </c>
      <c r="S158" s="855">
        <f t="shared" si="61"/>
        <v>92840.6</v>
      </c>
      <c r="T158" s="855"/>
      <c r="U158" s="855"/>
      <c r="V158" s="857">
        <f>STDEV(D$2:D158)*SQRT(252)</f>
        <v>0.19454728889036682</v>
      </c>
      <c r="W158" s="857">
        <f>STDEV(L$2:L158)*SQRT(252)</f>
        <v>0.40652602523849884</v>
      </c>
      <c r="X158" s="826">
        <f t="shared" si="63"/>
        <v>-0.16797453546725258</v>
      </c>
      <c r="Y158" s="826">
        <f t="shared" si="64"/>
        <v>-1.0323719058163814</v>
      </c>
      <c r="Z158" s="832">
        <f t="shared" si="65"/>
        <v>-0.24052183964488871</v>
      </c>
    </row>
    <row r="159" spans="1:26" ht="20.100000000000001" customHeight="1" x14ac:dyDescent="0.2">
      <c r="A159" s="801">
        <f t="shared" si="55"/>
        <v>228</v>
      </c>
      <c r="B159" s="849">
        <v>42461</v>
      </c>
      <c r="C159" s="850">
        <v>2072.7800000000002</v>
      </c>
      <c r="D159" s="817">
        <f t="shared" si="53"/>
        <v>6.3308961325217843E-3</v>
      </c>
      <c r="E159" s="851">
        <f t="shared" si="57"/>
        <v>-1.4107418047601765E-2</v>
      </c>
      <c r="F159" s="852">
        <v>4914.54</v>
      </c>
      <c r="G159" s="817">
        <f t="shared" si="51"/>
        <v>9.1789463308855762E-3</v>
      </c>
      <c r="H159" s="853">
        <f t="shared" si="58"/>
        <v>-3.4793880236463237E-2</v>
      </c>
      <c r="I159" s="854">
        <v>293885.49</v>
      </c>
      <c r="J159" s="855">
        <v>400000</v>
      </c>
      <c r="K159" s="855">
        <f t="shared" si="60"/>
        <v>-1781.8800000000047</v>
      </c>
      <c r="L159" s="817">
        <f t="shared" si="52"/>
        <v>-6.026637298529103E-3</v>
      </c>
      <c r="M159" s="856">
        <f t="shared" si="66"/>
        <v>-106114.51000000001</v>
      </c>
      <c r="N159" s="857">
        <f t="shared" si="67"/>
        <v>-0.26528627500000002</v>
      </c>
      <c r="O159" s="811">
        <f t="shared" si="56"/>
        <v>-0.42498163133223682</v>
      </c>
      <c r="P159" s="856" t="b">
        <f t="shared" si="62"/>
        <v>0</v>
      </c>
      <c r="Q159" s="857">
        <f>COUNTIF(P$2:P159, TRUE)/(COUNTIF(P$2:P159,FALSE) + COUNTIF(P$2:P159, TRUE))</f>
        <v>0.46835443037974683</v>
      </c>
      <c r="R159" s="855">
        <v>199513.83</v>
      </c>
      <c r="S159" s="855">
        <f t="shared" si="61"/>
        <v>94371.66</v>
      </c>
      <c r="T159" s="855"/>
      <c r="U159" s="855"/>
      <c r="V159" s="857">
        <f>STDEV(D$2:D159)*SQRT(252)</f>
        <v>0.19409152607046717</v>
      </c>
      <c r="W159" s="857">
        <f>STDEV(L$2:L159)*SQRT(252)</f>
        <v>0.40527068703901437</v>
      </c>
      <c r="X159" s="826">
        <f t="shared" si="63"/>
        <v>-0.11643842944595932</v>
      </c>
      <c r="Y159" s="826">
        <f t="shared" si="64"/>
        <v>-1.0486364914206709</v>
      </c>
      <c r="Z159" s="832">
        <f t="shared" si="65"/>
        <v>-0.25117885695239828</v>
      </c>
    </row>
    <row r="160" spans="1:26" ht="20.100000000000001" customHeight="1" x14ac:dyDescent="0.2">
      <c r="A160" s="801">
        <f t="shared" si="55"/>
        <v>231</v>
      </c>
      <c r="B160" s="820">
        <v>42464</v>
      </c>
      <c r="C160" s="845">
        <v>2066.13</v>
      </c>
      <c r="D160" s="817">
        <f t="shared" si="53"/>
        <v>-3.2082517199124318E-3</v>
      </c>
      <c r="E160" s="844">
        <f t="shared" si="57"/>
        <v>-1.7270409619299456E-2</v>
      </c>
      <c r="F160" s="841">
        <v>4891.79</v>
      </c>
      <c r="G160" s="817">
        <f t="shared" si="51"/>
        <v>-4.6291209350213854E-3</v>
      </c>
      <c r="H160" s="822">
        <f t="shared" si="58"/>
        <v>-3.9261936092071383E-2</v>
      </c>
      <c r="I160" s="824">
        <v>291382.05</v>
      </c>
      <c r="J160" s="825">
        <v>400000</v>
      </c>
      <c r="K160" s="825">
        <f t="shared" si="60"/>
        <v>-2503.4400000000023</v>
      </c>
      <c r="L160" s="817">
        <f t="shared" si="52"/>
        <v>-8.5184198784363334E-3</v>
      </c>
      <c r="M160" s="842">
        <f t="shared" si="66"/>
        <v>-108617.95000000001</v>
      </c>
      <c r="N160" s="827">
        <f t="shared" si="67"/>
        <v>-0.27154487500000002</v>
      </c>
      <c r="O160" s="811">
        <f t="shared" si="56"/>
        <v>-0.42935829261363634</v>
      </c>
      <c r="P160" s="842" t="b">
        <f t="shared" si="62"/>
        <v>0</v>
      </c>
      <c r="Q160" s="827">
        <f>COUNTIF(P$2:P160, TRUE)/(COUNTIF(P$2:P160,FALSE) + COUNTIF(P$2:P160, TRUE))</f>
        <v>0.46540880503144655</v>
      </c>
      <c r="R160" s="825">
        <v>199541.39</v>
      </c>
      <c r="S160" s="825">
        <f t="shared" si="61"/>
        <v>91840.659999999974</v>
      </c>
      <c r="T160" s="825"/>
      <c r="U160" s="825"/>
      <c r="V160" s="827">
        <f>STDEV(D$2:D160)*SQRT(252)</f>
        <v>0.19351440870684267</v>
      </c>
      <c r="W160" s="827">
        <f>STDEV(L$2:L160)*SQRT(252)</f>
        <v>0.40408811296561892</v>
      </c>
      <c r="X160" s="826">
        <f t="shared" si="63"/>
        <v>-0.14111317898256878</v>
      </c>
      <c r="Y160" s="826">
        <f t="shared" si="64"/>
        <v>-1.0625363103669607</v>
      </c>
      <c r="Z160" s="832">
        <f t="shared" si="65"/>
        <v>-0.25427446538070059</v>
      </c>
    </row>
    <row r="161" spans="1:26" ht="20.100000000000001" customHeight="1" x14ac:dyDescent="0.2">
      <c r="A161" s="801">
        <f t="shared" si="55"/>
        <v>232</v>
      </c>
      <c r="B161" s="820">
        <v>42465</v>
      </c>
      <c r="C161" s="845">
        <v>2045.17</v>
      </c>
      <c r="D161" s="817">
        <f t="shared" si="53"/>
        <v>-1.0144569799577004E-2</v>
      </c>
      <c r="E161" s="844">
        <f t="shared" si="57"/>
        <v>-2.7239778543026189E-2</v>
      </c>
      <c r="F161" s="841">
        <v>4843.93</v>
      </c>
      <c r="G161" s="817">
        <f t="shared" si="51"/>
        <v>-9.7837396944676028E-3</v>
      </c>
      <c r="H161" s="822">
        <f t="shared" si="58"/>
        <v>-4.8661547223913339E-2</v>
      </c>
      <c r="I161" s="824">
        <v>289909.68</v>
      </c>
      <c r="J161" s="825">
        <v>400000</v>
      </c>
      <c r="K161" s="825">
        <f t="shared" si="60"/>
        <v>-1472.3699999999953</v>
      </c>
      <c r="L161" s="817">
        <f t="shared" si="52"/>
        <v>-5.0530566313195871E-3</v>
      </c>
      <c r="M161" s="842">
        <f t="shared" si="66"/>
        <v>-110090.32</v>
      </c>
      <c r="N161" s="827">
        <f t="shared" si="67"/>
        <v>-0.27522580000000002</v>
      </c>
      <c r="O161" s="811">
        <f t="shared" si="56"/>
        <v>-0.43330268728448279</v>
      </c>
      <c r="P161" s="842" t="b">
        <f t="shared" si="62"/>
        <v>1</v>
      </c>
      <c r="Q161" s="827">
        <f>COUNTIF(P$2:P161, TRUE)/(COUNTIF(P$2:P161,FALSE) + COUNTIF(P$2:P161, TRUE))</f>
        <v>0.46875</v>
      </c>
      <c r="R161" s="825">
        <v>198034.04</v>
      </c>
      <c r="S161" s="825">
        <f t="shared" si="61"/>
        <v>91875.639999999985</v>
      </c>
      <c r="T161" s="825"/>
      <c r="U161" s="825"/>
      <c r="V161" s="827">
        <f>STDEV(D$2:D161)*SQRT(252)</f>
        <v>0.19332034289533651</v>
      </c>
      <c r="W161" s="827">
        <f>STDEV(L$2:L161)*SQRT(252)</f>
        <v>0.40283814257892614</v>
      </c>
      <c r="X161" s="826">
        <f t="shared" si="63"/>
        <v>-0.22183407414449935</v>
      </c>
      <c r="Y161" s="826">
        <f t="shared" si="64"/>
        <v>-1.0756247770147234</v>
      </c>
      <c r="Z161" s="832">
        <f t="shared" si="65"/>
        <v>-0.24798602145697382</v>
      </c>
    </row>
    <row r="162" spans="1:26" ht="20.100000000000001" customHeight="1" x14ac:dyDescent="0.2">
      <c r="A162" s="801">
        <f t="shared" si="55"/>
        <v>233</v>
      </c>
      <c r="B162" s="820">
        <v>42466</v>
      </c>
      <c r="C162" s="845">
        <v>2066.66</v>
      </c>
      <c r="D162" s="817">
        <f t="shared" si="53"/>
        <v>1.0507683957812691E-2</v>
      </c>
      <c r="E162" s="844">
        <f t="shared" si="57"/>
        <v>-1.7018321569224424E-2</v>
      </c>
      <c r="F162" s="841">
        <v>4920.71</v>
      </c>
      <c r="G162" s="817">
        <f t="shared" si="51"/>
        <v>1.5850765803799755E-2</v>
      </c>
      <c r="H162" s="822">
        <f t="shared" si="58"/>
        <v>-3.3582104208810373E-2</v>
      </c>
      <c r="I162" s="824">
        <v>294800.27</v>
      </c>
      <c r="J162" s="825">
        <v>400000</v>
      </c>
      <c r="K162" s="825">
        <f t="shared" si="60"/>
        <v>4890.5900000000256</v>
      </c>
      <c r="L162" s="817">
        <f t="shared" si="52"/>
        <v>1.6869357380547022E-2</v>
      </c>
      <c r="M162" s="842">
        <f t="shared" si="66"/>
        <v>-105199.72999999998</v>
      </c>
      <c r="N162" s="827">
        <f t="shared" si="67"/>
        <v>-0.26299932499999995</v>
      </c>
      <c r="O162" s="811">
        <f t="shared" si="56"/>
        <v>-0.41227683886802569</v>
      </c>
      <c r="P162" s="842" t="b">
        <f t="shared" si="62"/>
        <v>1</v>
      </c>
      <c r="Q162" s="827">
        <f>COUNTIF(P$2:P162, TRUE)/(COUNTIF(P$2:P162,FALSE) + COUNTIF(P$2:P162, TRUE))</f>
        <v>0.47204968944099379</v>
      </c>
      <c r="R162" s="825">
        <v>206520.01</v>
      </c>
      <c r="S162" s="825">
        <f t="shared" si="61"/>
        <v>88280.260000000009</v>
      </c>
      <c r="T162" s="825"/>
      <c r="U162" s="825"/>
      <c r="V162" s="827">
        <f>STDEV(D$2:D162)*SQRT(252)</f>
        <v>0.19317071885367709</v>
      </c>
      <c r="W162" s="827">
        <f>STDEV(L$2:L162)*SQRT(252)</f>
        <v>0.40220348115797722</v>
      </c>
      <c r="X162" s="826">
        <f t="shared" si="63"/>
        <v>-0.1381051052572764</v>
      </c>
      <c r="Y162" s="826">
        <f t="shared" si="64"/>
        <v>-1.0250454264618656</v>
      </c>
      <c r="Z162" s="832">
        <f t="shared" si="65"/>
        <v>-0.24598100343077553</v>
      </c>
    </row>
    <row r="163" spans="1:26" ht="20.100000000000001" customHeight="1" x14ac:dyDescent="0.2">
      <c r="A163" s="801">
        <f t="shared" si="55"/>
        <v>234</v>
      </c>
      <c r="B163" s="820">
        <v>42467</v>
      </c>
      <c r="C163" s="845">
        <v>2041.91</v>
      </c>
      <c r="D163" s="817">
        <f t="shared" si="53"/>
        <v>-1.1975845083371128E-2</v>
      </c>
      <c r="E163" s="844">
        <f t="shared" si="57"/>
        <v>-2.8790357869903527E-2</v>
      </c>
      <c r="F163" s="841">
        <v>4848.3599999999997</v>
      </c>
      <c r="G163" s="817">
        <f t="shared" si="51"/>
        <v>-1.4703162754968361E-2</v>
      </c>
      <c r="H163" s="822">
        <f t="shared" si="58"/>
        <v>-4.7791503819942287E-2</v>
      </c>
      <c r="I163" s="824">
        <v>296412.12</v>
      </c>
      <c r="J163" s="825">
        <v>400000</v>
      </c>
      <c r="K163" s="825">
        <f t="shared" si="60"/>
        <v>1611.8499999999767</v>
      </c>
      <c r="L163" s="817">
        <f t="shared" si="52"/>
        <v>5.4676001483986991E-3</v>
      </c>
      <c r="M163" s="842">
        <f t="shared" si="66"/>
        <v>-103587.88</v>
      </c>
      <c r="N163" s="827">
        <f t="shared" si="67"/>
        <v>-0.25896970000000002</v>
      </c>
      <c r="O163" s="811">
        <f t="shared" si="56"/>
        <v>-0.40422514070512827</v>
      </c>
      <c r="P163" s="842" t="b">
        <f t="shared" si="62"/>
        <v>1</v>
      </c>
      <c r="Q163" s="827">
        <f>COUNTIF(P$2:P163, TRUE)/(COUNTIF(P$2:P163,FALSE) + COUNTIF(P$2:P163, TRUE))</f>
        <v>0.47530864197530864</v>
      </c>
      <c r="R163" s="825">
        <v>210406.8</v>
      </c>
      <c r="S163" s="825">
        <f t="shared" si="61"/>
        <v>86005.32</v>
      </c>
      <c r="T163" s="825"/>
      <c r="U163" s="825"/>
      <c r="V163" s="827">
        <f>STDEV(D$2:D163)*SQRT(252)</f>
        <v>0.19314485515344837</v>
      </c>
      <c r="W163" s="827">
        <f>STDEV(L$2:L163)*SQRT(252)</f>
        <v>0.40102645372059886</v>
      </c>
      <c r="X163" s="826">
        <f t="shared" si="63"/>
        <v>-0.23266887301760808</v>
      </c>
      <c r="Y163" s="826">
        <f t="shared" si="64"/>
        <v>-1.0079762493343094</v>
      </c>
      <c r="Z163" s="832">
        <f t="shared" si="65"/>
        <v>-0.2301793421300965</v>
      </c>
    </row>
    <row r="164" spans="1:26" ht="20.100000000000001" customHeight="1" x14ac:dyDescent="0.2">
      <c r="A164" s="801">
        <f t="shared" si="55"/>
        <v>235</v>
      </c>
      <c r="B164" s="820">
        <v>42468</v>
      </c>
      <c r="C164" s="845">
        <v>2047.6</v>
      </c>
      <c r="D164" s="817">
        <f t="shared" si="53"/>
        <v>2.7866066574921654E-3</v>
      </c>
      <c r="E164" s="844">
        <f t="shared" si="57"/>
        <v>-2.6083978615323217E-2</v>
      </c>
      <c r="F164" s="841">
        <v>4850.6899999999996</v>
      </c>
      <c r="G164" s="817">
        <f t="shared" si="51"/>
        <v>4.8057487480301122E-4</v>
      </c>
      <c r="H164" s="822">
        <f t="shared" si="58"/>
        <v>-4.7333896341104194E-2</v>
      </c>
      <c r="I164" s="824">
        <v>303561.17</v>
      </c>
      <c r="J164" s="825">
        <v>400000</v>
      </c>
      <c r="K164" s="825">
        <f t="shared" si="60"/>
        <v>7149.0499999999884</v>
      </c>
      <c r="L164" s="817">
        <f t="shared" si="52"/>
        <v>2.4118615662544394E-2</v>
      </c>
      <c r="M164" s="842">
        <f t="shared" si="66"/>
        <v>-96438.830000000016</v>
      </c>
      <c r="N164" s="827">
        <f t="shared" si="67"/>
        <v>-0.24109707500000005</v>
      </c>
      <c r="O164" s="811">
        <f t="shared" si="56"/>
        <v>-0.37472641125000006</v>
      </c>
      <c r="P164" s="842" t="b">
        <f t="shared" si="62"/>
        <v>1</v>
      </c>
      <c r="Q164" s="827">
        <f>COUNTIF(P$2:P164, TRUE)/(COUNTIF(P$2:P164,FALSE) + COUNTIF(P$2:P164, TRUE))</f>
        <v>0.4785276073619632</v>
      </c>
      <c r="R164" s="825">
        <v>199980.39</v>
      </c>
      <c r="S164" s="825">
        <f t="shared" si="61"/>
        <v>103580.77999999997</v>
      </c>
      <c r="T164" s="825"/>
      <c r="U164" s="825"/>
      <c r="V164" s="827">
        <f>STDEV(D$2:D164)*SQRT(252)</f>
        <v>0.19257792977422014</v>
      </c>
      <c r="W164" s="827">
        <f>STDEV(L$2:L164)*SQRT(252)</f>
        <v>0.40100153728117882</v>
      </c>
      <c r="X164" s="826">
        <f t="shared" si="63"/>
        <v>-0.21051821750791477</v>
      </c>
      <c r="Y164" s="826">
        <f t="shared" si="64"/>
        <v>-0.93447624612781754</v>
      </c>
      <c r="Z164" s="832">
        <f t="shared" si="65"/>
        <v>-0.21501309638467683</v>
      </c>
    </row>
    <row r="165" spans="1:26" ht="20.100000000000001" customHeight="1" x14ac:dyDescent="0.2">
      <c r="A165" s="801">
        <f t="shared" si="55"/>
        <v>238</v>
      </c>
      <c r="B165" s="849">
        <v>42471</v>
      </c>
      <c r="C165" s="850">
        <v>2041.99</v>
      </c>
      <c r="D165" s="817">
        <f t="shared" si="53"/>
        <v>-2.7397929283062613E-3</v>
      </c>
      <c r="E165" s="851">
        <f t="shared" si="57"/>
        <v>-2.8752306843477123E-2</v>
      </c>
      <c r="F165" s="852">
        <v>4833.3900000000003</v>
      </c>
      <c r="G165" s="817">
        <f t="shared" si="51"/>
        <v>-3.5665029098951436E-3</v>
      </c>
      <c r="H165" s="853">
        <f t="shared" si="58"/>
        <v>-5.0731582771962117E-2</v>
      </c>
      <c r="I165" s="854">
        <v>301374.21999999997</v>
      </c>
      <c r="J165" s="855">
        <v>400000</v>
      </c>
      <c r="K165" s="855">
        <f t="shared" si="60"/>
        <v>-2186.9500000000116</v>
      </c>
      <c r="L165" s="817">
        <f t="shared" si="52"/>
        <v>-7.2043140431960117E-3</v>
      </c>
      <c r="M165" s="856">
        <f t="shared" si="66"/>
        <v>-98625.780000000028</v>
      </c>
      <c r="N165" s="857">
        <f t="shared" si="67"/>
        <v>-0.24656445000000007</v>
      </c>
      <c r="O165" s="811">
        <f t="shared" si="56"/>
        <v>-0.3783935519432774</v>
      </c>
      <c r="P165" s="856" t="b">
        <f t="shared" si="62"/>
        <v>0</v>
      </c>
      <c r="Q165" s="857">
        <f>COUNTIF(P$2:P165, TRUE)/(COUNTIF(P$2:P165,FALSE) + COUNTIF(P$2:P165, TRUE))</f>
        <v>0.47560975609756095</v>
      </c>
      <c r="R165" s="855">
        <v>209823.35</v>
      </c>
      <c r="S165" s="855">
        <f t="shared" si="61"/>
        <v>91550.869999999966</v>
      </c>
      <c r="T165" s="855"/>
      <c r="U165" s="855"/>
      <c r="V165" s="857">
        <f>STDEV(D$2:D165)*SQRT(252)</f>
        <v>0.19201090434466217</v>
      </c>
      <c r="W165" s="857">
        <f>STDEV(L$2:L165)*SQRT(252)</f>
        <v>0.39984095752163645</v>
      </c>
      <c r="X165" s="826">
        <f t="shared" si="63"/>
        <v>-0.22980531503865212</v>
      </c>
      <c r="Y165" s="826">
        <f t="shared" si="64"/>
        <v>-0.9463601585207827</v>
      </c>
      <c r="Z165" s="832">
        <f t="shared" si="65"/>
        <v>-0.21781214315652295</v>
      </c>
    </row>
    <row r="166" spans="1:26" ht="20.100000000000001" customHeight="1" x14ac:dyDescent="0.2">
      <c r="A166" s="801">
        <f t="shared" si="55"/>
        <v>239</v>
      </c>
      <c r="B166" s="849">
        <v>42472</v>
      </c>
      <c r="C166" s="850">
        <v>2061.7199999999998</v>
      </c>
      <c r="D166" s="817">
        <f>(C166-C165)/C165</f>
        <v>9.6621433013872691E-3</v>
      </c>
      <c r="E166" s="851">
        <f t="shared" si="57"/>
        <v>-1.9367972451056988E-2</v>
      </c>
      <c r="F166" s="852">
        <v>4872.09</v>
      </c>
      <c r="G166" s="817">
        <f t="shared" ref="G166:G171" si="68">(F166-F165)/F165</f>
        <v>8.0068026788651069E-3</v>
      </c>
      <c r="H166" s="853">
        <f t="shared" si="58"/>
        <v>-4.313097786593862E-2</v>
      </c>
      <c r="I166" s="854">
        <v>314750.48</v>
      </c>
      <c r="J166" s="855">
        <v>400000</v>
      </c>
      <c r="K166" s="855">
        <f t="shared" si="60"/>
        <v>13376.260000000009</v>
      </c>
      <c r="L166" s="817">
        <f t="shared" si="52"/>
        <v>4.438422105248422E-2</v>
      </c>
      <c r="M166" s="856">
        <f t="shared" si="66"/>
        <v>-85249.520000000019</v>
      </c>
      <c r="N166" s="857">
        <f t="shared" si="67"/>
        <v>-0.21312380000000006</v>
      </c>
      <c r="O166" s="811">
        <f t="shared" si="56"/>
        <v>-0.32570488682008375</v>
      </c>
      <c r="P166" s="856" t="b">
        <f t="shared" si="62"/>
        <v>1</v>
      </c>
      <c r="Q166" s="857">
        <f>COUNTIF(P$2:P166, TRUE)/(COUNTIF(P$2:P166,FALSE) + COUNTIF(P$2:P166, TRUE))</f>
        <v>0.47878787878787876</v>
      </c>
      <c r="R166" s="855">
        <v>212987.96</v>
      </c>
      <c r="S166" s="855">
        <f t="shared" si="61"/>
        <v>101762.51999999999</v>
      </c>
      <c r="T166" s="855"/>
      <c r="U166" s="855"/>
      <c r="V166" s="857">
        <f>STDEV(D$2:D166)*SQRT(252)</f>
        <v>0.19180360559269574</v>
      </c>
      <c r="W166" s="857">
        <f>STDEV(L$2:L166)*SQRT(252)</f>
        <v>0.40253727965834457</v>
      </c>
      <c r="X166" s="826">
        <f t="shared" si="63"/>
        <v>-0.15431911194352002</v>
      </c>
      <c r="Y166" s="826">
        <f t="shared" si="64"/>
        <v>-0.80912974593689146</v>
      </c>
      <c r="Z166" s="832">
        <f t="shared" si="65"/>
        <v>-0.19375582754894308</v>
      </c>
    </row>
    <row r="167" spans="1:26" ht="20.100000000000001" customHeight="1" x14ac:dyDescent="0.2">
      <c r="A167" s="801">
        <f t="shared" si="55"/>
        <v>240</v>
      </c>
      <c r="B167" s="849">
        <v>42473</v>
      </c>
      <c r="C167" s="850">
        <v>2082.42</v>
      </c>
      <c r="D167" s="817">
        <f>(C167-C166)/C166</f>
        <v>1.0040160642570415E-2</v>
      </c>
      <c r="E167" s="851">
        <f t="shared" si="57"/>
        <v>-9.522269363216063E-3</v>
      </c>
      <c r="F167" s="852">
        <v>4947.42</v>
      </c>
      <c r="G167" s="817">
        <f t="shared" si="68"/>
        <v>1.5461537040571896E-2</v>
      </c>
      <c r="H167" s="853">
        <f t="shared" si="58"/>
        <v>-2.8336312037237021E-2</v>
      </c>
      <c r="I167" s="854">
        <v>317683.34999999998</v>
      </c>
      <c r="J167" s="855">
        <v>400000</v>
      </c>
      <c r="K167" s="855">
        <f t="shared" si="60"/>
        <v>2932.8699999999953</v>
      </c>
      <c r="L167" s="817">
        <f t="shared" si="52"/>
        <v>9.3180795149224102E-3</v>
      </c>
      <c r="M167" s="856">
        <f t="shared" si="66"/>
        <v>-82316.650000000023</v>
      </c>
      <c r="N167" s="857">
        <f t="shared" si="67"/>
        <v>-0.20579162500000006</v>
      </c>
      <c r="O167" s="811">
        <f t="shared" si="56"/>
        <v>-0.31318912929687509</v>
      </c>
      <c r="P167" s="856" t="b">
        <f t="shared" si="62"/>
        <v>0</v>
      </c>
      <c r="Q167" s="857">
        <f>COUNTIF(P$2:P167, TRUE)/(COUNTIF(P$2:P167,FALSE) + COUNTIF(P$2:P167, TRUE))</f>
        <v>0.4759036144578313</v>
      </c>
      <c r="R167" s="855">
        <v>219889.91</v>
      </c>
      <c r="S167" s="855">
        <f t="shared" si="61"/>
        <v>97793.439999999973</v>
      </c>
      <c r="T167" s="855"/>
      <c r="U167" s="855"/>
      <c r="V167" s="857">
        <f>STDEV(D$2:D167)*SQRT(252)</f>
        <v>0.19162382789500107</v>
      </c>
      <c r="W167" s="857">
        <f>STDEV(L$2:L167)*SQRT(252)</f>
        <v>0.40149438106382634</v>
      </c>
      <c r="X167" s="826">
        <f t="shared" si="63"/>
        <v>-7.5625791668690989E-2</v>
      </c>
      <c r="Y167" s="826">
        <f t="shared" si="64"/>
        <v>-0.78005856138516372</v>
      </c>
      <c r="Z167" s="832">
        <f t="shared" si="65"/>
        <v>-0.19626935563678399</v>
      </c>
    </row>
    <row r="168" spans="1:26" ht="20.100000000000001" customHeight="1" x14ac:dyDescent="0.2">
      <c r="A168" s="801">
        <f t="shared" si="55"/>
        <v>241</v>
      </c>
      <c r="B168" s="849">
        <v>42474</v>
      </c>
      <c r="C168" s="850">
        <v>2082.7800000000002</v>
      </c>
      <c r="D168" s="817">
        <f>(C168-C167)/C167</f>
        <v>1.728757887458473E-4</v>
      </c>
      <c r="E168" s="851">
        <f t="shared" si="57"/>
        <v>-9.3510397442970322E-3</v>
      </c>
      <c r="F168" s="852">
        <v>4945.88</v>
      </c>
      <c r="G168" s="817">
        <f t="shared" si="68"/>
        <v>-3.1127335055442304E-4</v>
      </c>
      <c r="H168" s="853">
        <f t="shared" si="58"/>
        <v>-2.8638765049001261E-2</v>
      </c>
      <c r="I168" s="854">
        <v>317242.28999999998</v>
      </c>
      <c r="J168" s="855">
        <v>400000</v>
      </c>
      <c r="K168" s="855">
        <f t="shared" si="60"/>
        <v>-441.05999999999767</v>
      </c>
      <c r="L168" s="817">
        <f t="shared" si="52"/>
        <v>-1.3883636016807229E-3</v>
      </c>
      <c r="M168" s="856">
        <f t="shared" si="66"/>
        <v>-82757.710000000021</v>
      </c>
      <c r="N168" s="857">
        <f t="shared" si="67"/>
        <v>-0.20689427500000004</v>
      </c>
      <c r="O168" s="811">
        <f t="shared" si="56"/>
        <v>-0.3135607217582988</v>
      </c>
      <c r="P168" s="856" t="b">
        <f t="shared" si="62"/>
        <v>0</v>
      </c>
      <c r="Q168" s="857">
        <f>COUNTIF(P$2:P168, TRUE)/(COUNTIF(P$2:P168,FALSE) + COUNTIF(P$2:P168, TRUE))</f>
        <v>0.47305389221556887</v>
      </c>
      <c r="R168" s="855">
        <v>220158.43</v>
      </c>
      <c r="S168" s="855">
        <f t="shared" si="61"/>
        <v>97083.859999999986</v>
      </c>
      <c r="T168" s="855"/>
      <c r="U168" s="855"/>
      <c r="V168" s="857">
        <f>STDEV(D$2:D168)*SQRT(252)</f>
        <v>0.19104236676485162</v>
      </c>
      <c r="W168" s="857">
        <f>STDEV(L$2:L168)*SQRT(252)</f>
        <v>0.40027732610236538</v>
      </c>
      <c r="X168" s="826">
        <f t="shared" si="63"/>
        <v>-7.4182829635640837E-2</v>
      </c>
      <c r="Y168" s="826">
        <f t="shared" si="64"/>
        <v>-0.78335868986521107</v>
      </c>
      <c r="Z168" s="832">
        <f t="shared" si="65"/>
        <v>-0.197543235255703</v>
      </c>
    </row>
    <row r="169" spans="1:26" ht="20.100000000000001" customHeight="1" x14ac:dyDescent="0.2">
      <c r="A169" s="801">
        <f t="shared" si="55"/>
        <v>242</v>
      </c>
      <c r="B169" s="849">
        <v>42475</v>
      </c>
      <c r="C169" s="850">
        <v>2080.73</v>
      </c>
      <c r="D169" s="817">
        <f>(C169-C168)/C168</f>
        <v>-9.8426141983319485E-4</v>
      </c>
      <c r="E169" s="851">
        <f t="shared" si="57"/>
        <v>-1.0326097296474589E-2</v>
      </c>
      <c r="F169" s="852">
        <v>4938.21</v>
      </c>
      <c r="G169" s="817">
        <f t="shared" si="68"/>
        <v>-1.5507857044651453E-3</v>
      </c>
      <c r="H169" s="853">
        <f t="shared" si="58"/>
        <v>-3.0145138166034879E-2</v>
      </c>
      <c r="I169" s="854">
        <v>317721.64</v>
      </c>
      <c r="J169" s="855">
        <v>400000</v>
      </c>
      <c r="K169" s="855">
        <f t="shared" si="60"/>
        <v>479.35000000003492</v>
      </c>
      <c r="L169" s="817">
        <f t="shared" si="52"/>
        <v>1.5109902276901196E-3</v>
      </c>
      <c r="M169" s="856">
        <f t="shared" si="66"/>
        <v>-82278.359999999986</v>
      </c>
      <c r="N169" s="857">
        <f t="shared" si="67"/>
        <v>-0.20569589999999996</v>
      </c>
      <c r="O169" s="811">
        <f t="shared" si="56"/>
        <v>-0.3104563118801652</v>
      </c>
      <c r="P169" s="856" t="b">
        <f t="shared" si="62"/>
        <v>1</v>
      </c>
      <c r="Q169" s="857">
        <f>COUNTIF(P$2:P169, TRUE)/(COUNTIF(P$2:P169,FALSE) + COUNTIF(P$2:P169, TRUE))</f>
        <v>0.47619047619047616</v>
      </c>
      <c r="R169" s="855">
        <v>227146.03</v>
      </c>
      <c r="S169" s="855">
        <f t="shared" si="61"/>
        <v>90575.610000000015</v>
      </c>
      <c r="T169" s="855"/>
      <c r="U169" s="855"/>
      <c r="V169" s="857">
        <f>STDEV(D$2:D169)*SQRT(252)</f>
        <v>0.1904700278981748</v>
      </c>
      <c r="W169" s="857">
        <f>STDEV(L$2:L169)*SQRT(252)</f>
        <v>0.39907765714792898</v>
      </c>
      <c r="X169" s="826">
        <f t="shared" si="63"/>
        <v>-8.1824700818581231E-2</v>
      </c>
      <c r="Y169" s="826">
        <f t="shared" si="64"/>
        <v>-0.77793458571168805</v>
      </c>
      <c r="Z169" s="832">
        <f t="shared" si="65"/>
        <v>-0.19536980270352536</v>
      </c>
    </row>
    <row r="170" spans="1:26" ht="20.100000000000001" customHeight="1" x14ac:dyDescent="0.2">
      <c r="A170" s="801">
        <f t="shared" si="55"/>
        <v>245</v>
      </c>
      <c r="B170" s="820">
        <v>42478</v>
      </c>
      <c r="C170" s="845">
        <v>2094.39</v>
      </c>
      <c r="D170" s="817">
        <f>(C170-C169)/C169</f>
        <v>6.5650036285341464E-3</v>
      </c>
      <c r="E170" s="844">
        <f t="shared" si="57"/>
        <v>-3.8288845341603954E-3</v>
      </c>
      <c r="F170" s="841">
        <v>4960.01</v>
      </c>
      <c r="G170" s="817">
        <f t="shared" si="68"/>
        <v>4.414555071574555E-3</v>
      </c>
      <c r="H170" s="822">
        <f t="shared" si="58"/>
        <v>-2.5863660467034508E-2</v>
      </c>
      <c r="I170" s="824">
        <v>322899.31</v>
      </c>
      <c r="J170" s="825">
        <v>400000</v>
      </c>
      <c r="K170" s="825">
        <f t="shared" si="60"/>
        <v>5177.6699999999837</v>
      </c>
      <c r="L170" s="817">
        <f t="shared" si="52"/>
        <v>1.6296245984377972E-2</v>
      </c>
      <c r="M170" s="842">
        <f t="shared" si="66"/>
        <v>-77100.69</v>
      </c>
      <c r="N170" s="827">
        <f t="shared" si="67"/>
        <v>-0.19275172500000001</v>
      </c>
      <c r="O170" s="811">
        <f t="shared" si="56"/>
        <v>-0.28735741859693881</v>
      </c>
      <c r="P170" s="842" t="b">
        <f t="shared" si="62"/>
        <v>1</v>
      </c>
      <c r="Q170" s="827">
        <f>COUNTIF(P$2:P170, TRUE)/(COUNTIF(P$2:P170,FALSE) + COUNTIF(P$2:P170, TRUE))</f>
        <v>0.47928994082840237</v>
      </c>
      <c r="R170" s="825">
        <v>221962.67</v>
      </c>
      <c r="S170" s="825">
        <f t="shared" si="61"/>
        <v>100936.63999999998</v>
      </c>
      <c r="T170" s="825"/>
      <c r="U170" s="825"/>
      <c r="V170" s="827">
        <f>STDEV(D$2:D170)*SQRT(252)</f>
        <v>0.19006855377528359</v>
      </c>
      <c r="W170" s="827">
        <f>STDEV(L$2:L170)*SQRT(252)</f>
        <v>0.39841300907192778</v>
      </c>
      <c r="X170" s="826">
        <f t="shared" si="63"/>
        <v>-3.0032130315862705E-2</v>
      </c>
      <c r="Y170" s="826">
        <f t="shared" si="64"/>
        <v>-0.72125510978247331</v>
      </c>
      <c r="Z170" s="832">
        <f t="shared" si="65"/>
        <v>-0.18892284046583963</v>
      </c>
    </row>
    <row r="171" spans="1:26" ht="20.100000000000001" customHeight="1" x14ac:dyDescent="0.2">
      <c r="A171" s="801">
        <f t="shared" si="55"/>
        <v>246</v>
      </c>
      <c r="B171" s="820">
        <v>42479</v>
      </c>
      <c r="C171" s="845">
        <v>2100.8000000000002</v>
      </c>
      <c r="D171" s="817">
        <f t="shared" ref="D171:D190" si="69">(C171-C170)/C170</f>
        <v>3.0605570118269806E-3</v>
      </c>
      <c r="E171" s="844">
        <f t="shared" si="57"/>
        <v>-7.8004604174191543E-4</v>
      </c>
      <c r="F171" s="841">
        <v>4940.33</v>
      </c>
      <c r="G171" s="817">
        <f t="shared" si="68"/>
        <v>-3.9677339360203491E-3</v>
      </c>
      <c r="H171" s="822">
        <f t="shared" si="58"/>
        <v>-2.9728774279710095E-2</v>
      </c>
      <c r="I171" s="824">
        <v>328320.36</v>
      </c>
      <c r="J171" s="825">
        <v>400000</v>
      </c>
      <c r="K171" s="825">
        <f t="shared" si="60"/>
        <v>5421.0499999999884</v>
      </c>
      <c r="L171" s="817">
        <f t="shared" si="52"/>
        <v>1.6788670127539103E-2</v>
      </c>
      <c r="M171" s="842">
        <f t="shared" si="66"/>
        <v>-71679.640000000014</v>
      </c>
      <c r="N171" s="827">
        <f t="shared" si="67"/>
        <v>-0.17919910000000003</v>
      </c>
      <c r="O171" s="811">
        <f t="shared" si="56"/>
        <v>-0.26606695640243905</v>
      </c>
      <c r="P171" s="842" t="b">
        <f t="shared" si="62"/>
        <v>1</v>
      </c>
      <c r="Q171" s="827">
        <f>COUNTIF(P$2:P171, TRUE)/(COUNTIF(P$2:P171,FALSE) + COUNTIF(P$2:P171, TRUE))</f>
        <v>0.4823529411764706</v>
      </c>
      <c r="R171" s="825">
        <v>219508.9</v>
      </c>
      <c r="S171" s="825">
        <f t="shared" si="61"/>
        <v>108811.45999999999</v>
      </c>
      <c r="T171" s="825"/>
      <c r="U171" s="825"/>
      <c r="V171" s="827">
        <f>STDEV(D$2:D171)*SQRT(252)</f>
        <v>0.18953771970498626</v>
      </c>
      <c r="W171" s="827">
        <f>STDEV(L$2:L171)*SQRT(252)</f>
        <v>0.39778020996769808</v>
      </c>
      <c r="X171" s="826">
        <f t="shared" si="63"/>
        <v>-6.1105415779893627E-3</v>
      </c>
      <c r="Y171" s="826">
        <f t="shared" si="64"/>
        <v>-0.66887932012516438</v>
      </c>
      <c r="Z171" s="832">
        <f t="shared" si="65"/>
        <v>-0.17841905395825811</v>
      </c>
    </row>
    <row r="172" spans="1:26" ht="20.100000000000001" customHeight="1" x14ac:dyDescent="0.2">
      <c r="A172" s="801">
        <f t="shared" si="55"/>
        <v>247</v>
      </c>
      <c r="B172" s="820">
        <v>42480</v>
      </c>
      <c r="C172" s="845">
        <v>2102.4</v>
      </c>
      <c r="D172" s="817">
        <f t="shared" si="69"/>
        <v>7.6161462300071826E-4</v>
      </c>
      <c r="E172" s="844">
        <f t="shared" ref="E172:E191" si="70">(C172-$C$2)/$C$2</f>
        <v>-1.9025513213201623E-5</v>
      </c>
      <c r="F172" s="841">
        <v>4948.13</v>
      </c>
      <c r="G172" s="817">
        <f t="shared" ref="G172:G190" si="71">(F172-F171)/F171</f>
        <v>1.5788418992253922E-3</v>
      </c>
      <c r="H172" s="822">
        <f t="shared" si="58"/>
        <v>-2.8196869414930124E-2</v>
      </c>
      <c r="I172" s="824">
        <v>329335.82</v>
      </c>
      <c r="J172" s="825">
        <v>400000</v>
      </c>
      <c r="K172" s="825">
        <f t="shared" si="60"/>
        <v>1015.460000000021</v>
      </c>
      <c r="L172" s="817">
        <f t="shared" si="52"/>
        <v>3.0928937821584411E-3</v>
      </c>
      <c r="M172" s="842">
        <f t="shared" si="66"/>
        <v>-70664.179999999993</v>
      </c>
      <c r="N172" s="827">
        <f t="shared" si="67"/>
        <v>-0.17666044999999997</v>
      </c>
      <c r="O172" s="811">
        <f t="shared" si="56"/>
        <v>-0.26123574640688257</v>
      </c>
      <c r="P172" s="842" t="b">
        <f t="shared" si="62"/>
        <v>1</v>
      </c>
      <c r="Q172" s="827">
        <f>COUNTIF(P$2:P172, TRUE)/(COUNTIF(P$2:P172,FALSE) + COUNTIF(P$2:P172, TRUE))</f>
        <v>0.4853801169590643</v>
      </c>
      <c r="R172" s="825">
        <v>225120.43</v>
      </c>
      <c r="S172" s="825">
        <f t="shared" si="61"/>
        <v>104215.39000000001</v>
      </c>
      <c r="T172" s="825"/>
      <c r="U172" s="825"/>
      <c r="V172" s="827">
        <f>STDEV(D$2:D172)*SQRT(252)</f>
        <v>0.18897802119908777</v>
      </c>
      <c r="W172" s="827">
        <f>STDEV(L$2:L172)*SQRT(252)</f>
        <v>0.39662320245584515</v>
      </c>
      <c r="X172" s="826">
        <f t="shared" si="63"/>
        <v>-1.4887382777397873E-4</v>
      </c>
      <c r="Y172" s="826">
        <f t="shared" si="64"/>
        <v>-0.65864968259380929</v>
      </c>
      <c r="Z172" s="832">
        <f t="shared" si="65"/>
        <v>-0.17664142448678677</v>
      </c>
    </row>
    <row r="173" spans="1:26" ht="20.100000000000001" customHeight="1" x14ac:dyDescent="0.2">
      <c r="A173" s="801">
        <f t="shared" si="55"/>
        <v>248</v>
      </c>
      <c r="B173" s="820">
        <v>42481</v>
      </c>
      <c r="C173" s="845">
        <v>2091.48</v>
      </c>
      <c r="D173" s="817">
        <f t="shared" si="69"/>
        <v>-5.194063926940674E-3</v>
      </c>
      <c r="E173" s="844">
        <f t="shared" si="70"/>
        <v>-5.2129906204220026E-3</v>
      </c>
      <c r="F173" s="841">
        <v>4945.88</v>
      </c>
      <c r="G173" s="817">
        <f t="shared" si="71"/>
        <v>-4.547172366126193E-4</v>
      </c>
      <c r="H173" s="822">
        <f t="shared" si="58"/>
        <v>-2.8638765049001261E-2</v>
      </c>
      <c r="I173" s="824">
        <v>327169.02</v>
      </c>
      <c r="J173" s="825">
        <v>400000</v>
      </c>
      <c r="K173" s="825">
        <f t="shared" si="60"/>
        <v>-2166.7999999999884</v>
      </c>
      <c r="L173" s="817">
        <f t="shared" si="52"/>
        <v>-6.5793025489908393E-3</v>
      </c>
      <c r="M173" s="842">
        <f t="shared" si="66"/>
        <v>-72830.979999999981</v>
      </c>
      <c r="N173" s="827">
        <f t="shared" si="67"/>
        <v>-0.18207744999999995</v>
      </c>
      <c r="O173" s="811">
        <f t="shared" si="56"/>
        <v>-0.26816043795362893</v>
      </c>
      <c r="P173" s="842" t="b">
        <f t="shared" si="62"/>
        <v>0</v>
      </c>
      <c r="Q173" s="827">
        <f>COUNTIF(P$2:P173, TRUE)/(COUNTIF(P$2:P173,FALSE) + COUNTIF(P$2:P173, TRUE))</f>
        <v>0.48255813953488375</v>
      </c>
      <c r="R173" s="825">
        <v>222953.63</v>
      </c>
      <c r="S173" s="825">
        <f t="shared" si="61"/>
        <v>104215.39000000001</v>
      </c>
      <c r="T173" s="825"/>
      <c r="U173" s="825"/>
      <c r="V173" s="827">
        <f>STDEV(D$2:D173)*SQRT(252)</f>
        <v>0.18852973440522966</v>
      </c>
      <c r="W173" s="827">
        <f>STDEV(L$2:L173)*SQRT(252)</f>
        <v>0.39552870627175002</v>
      </c>
      <c r="X173" s="826">
        <f t="shared" si="63"/>
        <v>-4.0723550168016834E-2</v>
      </c>
      <c r="Y173" s="826">
        <f t="shared" si="64"/>
        <v>-0.67797971095778808</v>
      </c>
      <c r="Z173" s="832">
        <f t="shared" si="65"/>
        <v>-0.17686445937957795</v>
      </c>
    </row>
    <row r="174" spans="1:26" ht="20.100000000000001" customHeight="1" x14ac:dyDescent="0.2">
      <c r="A174" s="801">
        <f t="shared" si="55"/>
        <v>249</v>
      </c>
      <c r="B174" s="820">
        <v>42482</v>
      </c>
      <c r="C174" s="845">
        <v>2091.58</v>
      </c>
      <c r="D174" s="817">
        <f t="shared" si="69"/>
        <v>4.7813031919936622E-5</v>
      </c>
      <c r="E174" s="844">
        <f t="shared" si="70"/>
        <v>-5.1654268373889992E-3</v>
      </c>
      <c r="F174" s="841">
        <v>4906.28</v>
      </c>
      <c r="G174" s="817">
        <f t="shared" si="71"/>
        <v>-8.006664132571022E-3</v>
      </c>
      <c r="H174" s="822">
        <f t="shared" ref="H174:H191" si="72">(F174-F$2)/F$2</f>
        <v>-3.6416128208653316E-2</v>
      </c>
      <c r="I174" s="824">
        <v>331471.71000000002</v>
      </c>
      <c r="J174" s="825">
        <v>400000</v>
      </c>
      <c r="K174" s="825">
        <f t="shared" si="60"/>
        <v>4302.6900000000023</v>
      </c>
      <c r="L174" s="817">
        <f t="shared" si="52"/>
        <v>1.3151275753431673E-2</v>
      </c>
      <c r="M174" s="842">
        <f t="shared" si="66"/>
        <v>-68528.289999999979</v>
      </c>
      <c r="N174" s="827">
        <f t="shared" si="67"/>
        <v>-0.17132072499999995</v>
      </c>
      <c r="O174" s="811">
        <f t="shared" si="56"/>
        <v>-0.25130479841867465</v>
      </c>
      <c r="P174" s="842" t="b">
        <f t="shared" si="62"/>
        <v>1</v>
      </c>
      <c r="Q174" s="827">
        <f>COUNTIF(P$2:P174, TRUE)/(COUNTIF(P$2:P174,FALSE) + COUNTIF(P$2:P174, TRUE))</f>
        <v>0.48554913294797686</v>
      </c>
      <c r="R174" s="825">
        <v>230600.27</v>
      </c>
      <c r="S174" s="825">
        <f t="shared" si="61"/>
        <v>100871.44000000003</v>
      </c>
      <c r="T174" s="825"/>
      <c r="U174" s="825"/>
      <c r="V174" s="827">
        <f>STDEV(D$2:D174)*SQRT(252)</f>
        <v>0.18797766983654679</v>
      </c>
      <c r="W174" s="827">
        <f>STDEV(L$2:L174)*SQRT(252)</f>
        <v>0.39470764282961784</v>
      </c>
      <c r="X174" s="826">
        <f t="shared" si="63"/>
        <v>-4.0307961059401515E-2</v>
      </c>
      <c r="Y174" s="826">
        <f t="shared" si="64"/>
        <v>-0.63668591927203844</v>
      </c>
      <c r="Z174" s="832">
        <f t="shared" si="65"/>
        <v>-0.16615529816261096</v>
      </c>
    </row>
    <row r="175" spans="1:26" ht="20.100000000000001" customHeight="1" x14ac:dyDescent="0.2">
      <c r="A175" s="801">
        <f t="shared" si="55"/>
        <v>252</v>
      </c>
      <c r="B175" s="849">
        <v>42485</v>
      </c>
      <c r="C175" s="850">
        <v>2087.79</v>
      </c>
      <c r="D175" s="817">
        <f t="shared" si="69"/>
        <v>-1.8120272712494688E-3</v>
      </c>
      <c r="E175" s="851">
        <f t="shared" si="70"/>
        <v>-6.9680942143414753E-3</v>
      </c>
      <c r="F175" s="852">
        <v>4895.78</v>
      </c>
      <c r="G175" s="817">
        <f t="shared" si="71"/>
        <v>-2.140114302485794E-3</v>
      </c>
      <c r="H175" s="853">
        <f t="shared" si="72"/>
        <v>-3.8478307834318611E-2</v>
      </c>
      <c r="I175" s="854">
        <v>325541.03000000003</v>
      </c>
      <c r="J175" s="855">
        <v>400000</v>
      </c>
      <c r="K175" s="855">
        <f t="shared" si="60"/>
        <v>-5930.679999999993</v>
      </c>
      <c r="L175" s="817">
        <f t="shared" si="52"/>
        <v>-1.7891964294630129E-2</v>
      </c>
      <c r="M175" s="856">
        <f t="shared" si="66"/>
        <v>-74458.969999999972</v>
      </c>
      <c r="N175" s="857">
        <f t="shared" si="67"/>
        <v>-0.18614742499999992</v>
      </c>
      <c r="O175" s="811">
        <f t="shared" si="56"/>
        <v>-0.26980296421130939</v>
      </c>
      <c r="P175" s="856" t="b">
        <f t="shared" si="62"/>
        <v>0</v>
      </c>
      <c r="Q175" s="857">
        <f>COUNTIF(P$2:P175, TRUE)/(COUNTIF(P$2:P175,FALSE) + COUNTIF(P$2:P175, TRUE))</f>
        <v>0.48275862068965519</v>
      </c>
      <c r="R175" s="855">
        <v>238708.14</v>
      </c>
      <c r="S175" s="855">
        <f t="shared" si="61"/>
        <v>86832.890000000014</v>
      </c>
      <c r="T175" s="855"/>
      <c r="U175" s="855"/>
      <c r="V175" s="857">
        <f>STDEV(D$2:D175)*SQRT(252)</f>
        <v>0.18744374998531149</v>
      </c>
      <c r="W175" s="857">
        <f>STDEV(L$2:L175)*SQRT(252)</f>
        <v>0.39413441432117591</v>
      </c>
      <c r="X175" s="826">
        <f t="shared" si="63"/>
        <v>-5.3880638519337033E-2</v>
      </c>
      <c r="Y175" s="826">
        <f t="shared" si="64"/>
        <v>-0.68454556214279183</v>
      </c>
      <c r="Z175" s="832">
        <f t="shared" si="65"/>
        <v>-0.17917933078565845</v>
      </c>
    </row>
    <row r="176" spans="1:26" ht="20.100000000000001" customHeight="1" x14ac:dyDescent="0.2">
      <c r="A176" s="801">
        <f t="shared" si="55"/>
        <v>253</v>
      </c>
      <c r="B176" s="849">
        <v>42486</v>
      </c>
      <c r="C176" s="860">
        <v>2091.6999999999998</v>
      </c>
      <c r="D176" s="817">
        <f t="shared" si="69"/>
        <v>1.8727937196748019E-3</v>
      </c>
      <c r="E176" s="851">
        <f t="shared" si="70"/>
        <v>-5.1083502977493939E-3</v>
      </c>
      <c r="F176" s="852">
        <v>4888.28</v>
      </c>
      <c r="G176" s="817">
        <f t="shared" si="71"/>
        <v>-1.5319315818929772E-3</v>
      </c>
      <c r="H176" s="853">
        <f t="shared" si="72"/>
        <v>-3.9951293281222398E-2</v>
      </c>
      <c r="I176" s="854">
        <v>336797.26</v>
      </c>
      <c r="J176" s="855">
        <v>400000</v>
      </c>
      <c r="K176" s="855">
        <f t="shared" si="60"/>
        <v>11256.229999999981</v>
      </c>
      <c r="L176" s="817">
        <f t="shared" si="52"/>
        <v>3.4576993259497826E-2</v>
      </c>
      <c r="M176" s="856">
        <f t="shared" si="66"/>
        <v>-63202.739999999991</v>
      </c>
      <c r="N176" s="857">
        <f t="shared" si="67"/>
        <v>-0.15800684999999998</v>
      </c>
      <c r="O176" s="811">
        <f t="shared" si="56"/>
        <v>-0.22811067969367585</v>
      </c>
      <c r="P176" s="856" t="b">
        <f t="shared" si="62"/>
        <v>1</v>
      </c>
      <c r="Q176" s="857">
        <f>COUNTIF(P$2:P176, TRUE)/(COUNTIF(P$2:P176,FALSE) + COUNTIF(P$2:P176, TRUE))</f>
        <v>0.48571428571428571</v>
      </c>
      <c r="R176" s="855">
        <v>231627.32</v>
      </c>
      <c r="S176" s="855">
        <f t="shared" si="61"/>
        <v>105169.94</v>
      </c>
      <c r="T176" s="855"/>
      <c r="U176" s="855"/>
      <c r="V176" s="857">
        <f>STDEV(D$2:D176)*SQRT(252)</f>
        <v>0.18691439115354258</v>
      </c>
      <c r="W176" s="857">
        <f>STDEV(L$2:L176)*SQRT(252)</f>
        <v>0.39523474671048564</v>
      </c>
      <c r="X176" s="826">
        <f t="shared" si="63"/>
        <v>-3.9455507484410512E-2</v>
      </c>
      <c r="Y176" s="826">
        <f t="shared" si="64"/>
        <v>-0.57715239257739082</v>
      </c>
      <c r="Z176" s="832">
        <f t="shared" si="65"/>
        <v>-0.15289849970225058</v>
      </c>
    </row>
    <row r="177" spans="1:26" ht="20.100000000000001" customHeight="1" x14ac:dyDescent="0.2">
      <c r="A177" s="801">
        <f t="shared" si="55"/>
        <v>254</v>
      </c>
      <c r="B177" s="849">
        <v>42487</v>
      </c>
      <c r="C177" s="860">
        <v>2095.15</v>
      </c>
      <c r="D177" s="817">
        <f t="shared" si="69"/>
        <v>1.6493761055602013E-3</v>
      </c>
      <c r="E177" s="851">
        <f t="shared" si="70"/>
        <v>-3.4673997831091321E-3</v>
      </c>
      <c r="F177" s="852">
        <v>4863.1400000000003</v>
      </c>
      <c r="G177" s="817">
        <f t="shared" si="71"/>
        <v>-5.1429132537414834E-3</v>
      </c>
      <c r="H177" s="853">
        <f t="shared" si="72"/>
        <v>-4.4888740499243768E-2</v>
      </c>
      <c r="I177" s="854">
        <v>341540.33</v>
      </c>
      <c r="J177" s="855">
        <v>400000</v>
      </c>
      <c r="K177" s="855">
        <f t="shared" si="60"/>
        <v>4743.070000000007</v>
      </c>
      <c r="L177" s="817">
        <f t="shared" si="52"/>
        <v>1.4082863975793648E-2</v>
      </c>
      <c r="M177" s="856">
        <f t="shared" si="66"/>
        <v>-58459.669999999984</v>
      </c>
      <c r="N177" s="857">
        <f t="shared" si="67"/>
        <v>-0.14614917499999996</v>
      </c>
      <c r="O177" s="811">
        <f t="shared" si="56"/>
        <v>-0.21016136286909445</v>
      </c>
      <c r="P177" s="856" t="b">
        <f t="shared" si="62"/>
        <v>1</v>
      </c>
      <c r="Q177" s="857">
        <f>COUNTIF(P$2:P177, TRUE)/(COUNTIF(P$2:P177,FALSE) + COUNTIF(P$2:P177, TRUE))</f>
        <v>0.48863636363636365</v>
      </c>
      <c r="R177" s="855">
        <v>245489.82</v>
      </c>
      <c r="S177" s="855">
        <f t="shared" si="61"/>
        <v>96050.510000000009</v>
      </c>
      <c r="T177" s="855"/>
      <c r="U177" s="855"/>
      <c r="V177" s="857">
        <f>STDEV(D$2:D177)*SQRT(252)</f>
        <v>0.18638651777551687</v>
      </c>
      <c r="W177" s="857">
        <f>STDEV(L$2:L177)*SQRT(252)</f>
        <v>0.39446713655061666</v>
      </c>
      <c r="X177" s="826">
        <f t="shared" si="63"/>
        <v>-2.6751364021702823E-2</v>
      </c>
      <c r="Y177" s="826">
        <f t="shared" si="64"/>
        <v>-0.53277280512346881</v>
      </c>
      <c r="Z177" s="832">
        <f t="shared" si="65"/>
        <v>-0.14268177521689082</v>
      </c>
    </row>
    <row r="178" spans="1:26" ht="20.100000000000001" customHeight="1" x14ac:dyDescent="0.2">
      <c r="A178" s="801">
        <f t="shared" si="55"/>
        <v>255</v>
      </c>
      <c r="B178" s="849">
        <v>42488</v>
      </c>
      <c r="C178" s="860">
        <v>2075.81</v>
      </c>
      <c r="D178" s="817">
        <f t="shared" si="69"/>
        <v>-9.2308426604301094E-3</v>
      </c>
      <c r="E178" s="851">
        <f t="shared" si="70"/>
        <v>-1.2666235421700553E-2</v>
      </c>
      <c r="F178" s="852">
        <v>4805.29</v>
      </c>
      <c r="G178" s="817">
        <f t="shared" si="71"/>
        <v>-1.1895606542275229E-2</v>
      </c>
      <c r="H178" s="853">
        <f t="shared" si="72"/>
        <v>-5.6250368246361697E-2</v>
      </c>
      <c r="I178" s="854">
        <v>336936.02</v>
      </c>
      <c r="J178" s="855">
        <v>400000</v>
      </c>
      <c r="K178" s="855">
        <f t="shared" si="60"/>
        <v>-4604.3099999999977</v>
      </c>
      <c r="L178" s="817">
        <f t="shared" si="52"/>
        <v>-1.3481014086974729E-2</v>
      </c>
      <c r="M178" s="856">
        <f t="shared" si="66"/>
        <v>-63063.979999999981</v>
      </c>
      <c r="N178" s="857">
        <f t="shared" si="67"/>
        <v>-0.15765994999999997</v>
      </c>
      <c r="O178" s="811">
        <f t="shared" si="56"/>
        <v>-0.22582469308823525</v>
      </c>
      <c r="P178" s="856" t="b">
        <f t="shared" si="62"/>
        <v>0</v>
      </c>
      <c r="Q178" s="857">
        <f>COUNTIF(P$2:P178, TRUE)/(COUNTIF(P$2:P178,FALSE) + COUNTIF(P$2:P178, TRUE))</f>
        <v>0.48587570621468928</v>
      </c>
      <c r="R178" s="855">
        <v>254190.85</v>
      </c>
      <c r="S178" s="855">
        <f t="shared" si="61"/>
        <v>82745.170000000013</v>
      </c>
      <c r="T178" s="855"/>
      <c r="U178" s="855"/>
      <c r="V178" s="857">
        <f>STDEV(D$2:D178)*SQRT(252)</f>
        <v>0.18618462851964468</v>
      </c>
      <c r="W178" s="857">
        <f>STDEV(L$2:L178)*SQRT(252)</f>
        <v>0.39366590594633838</v>
      </c>
      <c r="X178" s="826">
        <f t="shared" si="63"/>
        <v>-9.7443702544929095E-2</v>
      </c>
      <c r="Y178" s="826">
        <f t="shared" si="64"/>
        <v>-0.57364554480625507</v>
      </c>
      <c r="Z178" s="832">
        <f t="shared" si="65"/>
        <v>-0.1449937145782994</v>
      </c>
    </row>
    <row r="179" spans="1:26" ht="20.100000000000001" customHeight="1" x14ac:dyDescent="0.2">
      <c r="A179" s="801">
        <f t="shared" si="55"/>
        <v>256</v>
      </c>
      <c r="B179" s="849">
        <v>42489</v>
      </c>
      <c r="C179" s="860">
        <v>2065.3000000000002</v>
      </c>
      <c r="D179" s="817">
        <f t="shared" si="69"/>
        <v>-5.0630838082482326E-3</v>
      </c>
      <c r="E179" s="851">
        <f t="shared" si="70"/>
        <v>-1.7665189018473713E-2</v>
      </c>
      <c r="F179" s="852">
        <v>4775.3599999999997</v>
      </c>
      <c r="G179" s="817">
        <f t="shared" si="71"/>
        <v>-6.2285522830048323E-3</v>
      </c>
      <c r="H179" s="853">
        <f t="shared" si="72"/>
        <v>-6.2128562169805793E-2</v>
      </c>
      <c r="I179" s="861">
        <v>329545.53999999998</v>
      </c>
      <c r="J179" s="855">
        <v>400000</v>
      </c>
      <c r="K179" s="855">
        <f t="shared" si="60"/>
        <v>-7390.4800000000396</v>
      </c>
      <c r="L179" s="817">
        <f t="shared" si="52"/>
        <v>-2.1934371991454163E-2</v>
      </c>
      <c r="M179" s="856">
        <f t="shared" si="66"/>
        <v>-70454.460000000021</v>
      </c>
      <c r="N179" s="857">
        <f t="shared" si="67"/>
        <v>-0.17613615000000005</v>
      </c>
      <c r="O179" s="811">
        <f t="shared" si="56"/>
        <v>-0.25130362807617196</v>
      </c>
      <c r="P179" s="856" t="b">
        <f t="shared" si="62"/>
        <v>0</v>
      </c>
      <c r="Q179" s="857">
        <f>COUNTIF(P$2:P179, TRUE)/(COUNTIF(P$2:P179,FALSE) + COUNTIF(P$2:P179, TRUE))</f>
        <v>0.48314606741573035</v>
      </c>
      <c r="R179" s="855">
        <v>264639.32</v>
      </c>
      <c r="S179" s="855">
        <f t="shared" si="61"/>
        <v>64906.219999999972</v>
      </c>
      <c r="T179" s="855"/>
      <c r="U179" s="855"/>
      <c r="V179" s="857">
        <f>STDEV(D$2:D179)*SQRT(252)</f>
        <v>0.18575305494733241</v>
      </c>
      <c r="W179" s="857">
        <f>STDEV(L$2:L179)*SQRT(252)</f>
        <v>0.39340624271023572</v>
      </c>
      <c r="X179" s="826">
        <f t="shared" si="63"/>
        <v>-0.13568523246383643</v>
      </c>
      <c r="Y179" s="826">
        <f t="shared" si="64"/>
        <v>-0.6387891212526341</v>
      </c>
      <c r="Z179" s="832">
        <f t="shared" si="65"/>
        <v>-0.15847096098152633</v>
      </c>
    </row>
    <row r="180" spans="1:26" ht="20.100000000000001" customHeight="1" x14ac:dyDescent="0.2">
      <c r="A180" s="801">
        <f t="shared" si="55"/>
        <v>259</v>
      </c>
      <c r="B180" s="820">
        <v>42492</v>
      </c>
      <c r="C180" s="845">
        <v>2081.4299999999998</v>
      </c>
      <c r="D180" s="817">
        <f t="shared" si="69"/>
        <v>7.8100033893379424E-3</v>
      </c>
      <c r="E180" s="844">
        <f t="shared" si="70"/>
        <v>-9.9931508152433443E-3</v>
      </c>
      <c r="F180" s="841">
        <v>4817.59</v>
      </c>
      <c r="G180" s="817">
        <f t="shared" si="71"/>
        <v>8.8433123366616281E-3</v>
      </c>
      <c r="H180" s="822">
        <f t="shared" si="72"/>
        <v>-5.3834672113439459E-2</v>
      </c>
      <c r="I180" s="824">
        <v>323730.93</v>
      </c>
      <c r="J180" s="825">
        <v>400000</v>
      </c>
      <c r="K180" s="825">
        <f t="shared" si="60"/>
        <v>-5814.609999999986</v>
      </c>
      <c r="L180" s="817">
        <f t="shared" si="52"/>
        <v>-1.7644329217746314E-2</v>
      </c>
      <c r="M180" s="842">
        <f t="shared" si="66"/>
        <v>-76269.070000000007</v>
      </c>
      <c r="N180" s="827">
        <f t="shared" si="67"/>
        <v>-0.19067267500000001</v>
      </c>
      <c r="O180" s="811">
        <f t="shared" si="56"/>
        <v>-0.26889264302606181</v>
      </c>
      <c r="P180" s="842" t="b">
        <f t="shared" si="62"/>
        <v>0</v>
      </c>
      <c r="Q180" s="827">
        <f>COUNTIF(P$2:P180, TRUE)/(COUNTIF(P$2:P180,FALSE) + COUNTIF(P$2:P180, TRUE))</f>
        <v>0.48044692737430167</v>
      </c>
      <c r="R180" s="825">
        <v>258410.3</v>
      </c>
      <c r="S180" s="825">
        <f t="shared" si="61"/>
        <v>65320.630000000005</v>
      </c>
      <c r="T180" s="825"/>
      <c r="U180" s="825"/>
      <c r="V180" s="827">
        <f>STDEV(D$2:D180)*SQRT(252)</f>
        <v>0.18546248521467029</v>
      </c>
      <c r="W180" s="827">
        <f>STDEV(L$2:L180)*SQRT(252)</f>
        <v>0.39283799176483652</v>
      </c>
      <c r="X180" s="826">
        <f t="shared" si="63"/>
        <v>-7.5986567573565797E-2</v>
      </c>
      <c r="Y180" s="826">
        <f t="shared" si="64"/>
        <v>-0.68448736798101806</v>
      </c>
      <c r="Z180" s="832">
        <f t="shared" si="65"/>
        <v>-0.18067952418475666</v>
      </c>
    </row>
    <row r="181" spans="1:26" ht="20.100000000000001" customHeight="1" x14ac:dyDescent="0.2">
      <c r="A181" s="801">
        <f t="shared" si="55"/>
        <v>260</v>
      </c>
      <c r="B181" s="820">
        <v>42493</v>
      </c>
      <c r="C181" s="845">
        <v>2063.37</v>
      </c>
      <c r="D181" s="817">
        <f t="shared" si="69"/>
        <v>-8.6767270578400179E-3</v>
      </c>
      <c r="E181" s="844">
        <f t="shared" si="70"/>
        <v>-1.8583170031011665E-2</v>
      </c>
      <c r="F181" s="841">
        <v>4763.22</v>
      </c>
      <c r="G181" s="817">
        <f t="shared" si="71"/>
        <v>-1.1285725850477083E-2</v>
      </c>
      <c r="H181" s="822">
        <f t="shared" si="72"/>
        <v>-6.4512834613193945E-2</v>
      </c>
      <c r="I181" s="824">
        <v>314233.52</v>
      </c>
      <c r="J181" s="825">
        <v>400000</v>
      </c>
      <c r="K181" s="825">
        <f t="shared" si="60"/>
        <v>-9497.4099999999744</v>
      </c>
      <c r="L181" s="817">
        <f t="shared" si="52"/>
        <v>-2.9337357415925549E-2</v>
      </c>
      <c r="M181" s="842">
        <f t="shared" si="66"/>
        <v>-85766.479999999981</v>
      </c>
      <c r="N181" s="827">
        <f t="shared" si="67"/>
        <v>-0.21441619999999995</v>
      </c>
      <c r="O181" s="811">
        <f t="shared" si="56"/>
        <v>-0.30121352711538457</v>
      </c>
      <c r="P181" s="842" t="b">
        <f t="shared" si="62"/>
        <v>0</v>
      </c>
      <c r="Q181" s="827">
        <f>COUNTIF(P$2:P181, TRUE)/(COUNTIF(P$2:P181,FALSE) + COUNTIF(P$2:P181, TRUE))</f>
        <v>0.4777777777777778</v>
      </c>
      <c r="R181" s="825">
        <v>250705.72</v>
      </c>
      <c r="S181" s="825">
        <f t="shared" si="61"/>
        <v>63527.800000000017</v>
      </c>
      <c r="T181" s="825"/>
      <c r="U181" s="825"/>
      <c r="V181" s="827">
        <f>STDEV(D$2:D181)*SQRT(252)</f>
        <v>0.18522787612316166</v>
      </c>
      <c r="W181" s="827">
        <f>STDEV(L$2:L181)*SQRT(252)</f>
        <v>0.3932386492905699</v>
      </c>
      <c r="X181" s="826">
        <f t="shared" si="63"/>
        <v>-0.14093872236416896</v>
      </c>
      <c r="Y181" s="826">
        <f t="shared" si="64"/>
        <v>-0.7659814915415738</v>
      </c>
      <c r="Z181" s="832">
        <f t="shared" si="65"/>
        <v>-0.19583302996898827</v>
      </c>
    </row>
    <row r="182" spans="1:26" ht="20.100000000000001" customHeight="1" x14ac:dyDescent="0.2">
      <c r="A182" s="801">
        <f t="shared" si="55"/>
        <v>261</v>
      </c>
      <c r="B182" s="820">
        <v>42494</v>
      </c>
      <c r="C182" s="845">
        <v>2051.12</v>
      </c>
      <c r="D182" s="817">
        <f t="shared" si="69"/>
        <v>-5.9368896513955329E-3</v>
      </c>
      <c r="E182" s="844">
        <f t="shared" si="70"/>
        <v>-2.4409733452559961E-2</v>
      </c>
      <c r="F182" s="841">
        <v>4725.6400000000003</v>
      </c>
      <c r="G182" s="817">
        <f t="shared" si="71"/>
        <v>-7.8896208867110743E-3</v>
      </c>
      <c r="H182" s="822">
        <f t="shared" si="72"/>
        <v>-7.1893473692479823E-2</v>
      </c>
      <c r="I182" s="824">
        <v>304379.90999999997</v>
      </c>
      <c r="J182" s="825">
        <v>400000</v>
      </c>
      <c r="K182" s="825">
        <f t="shared" si="60"/>
        <v>-9853.6100000000442</v>
      </c>
      <c r="L182" s="817">
        <f t="shared" si="52"/>
        <v>-3.135760309721268E-2</v>
      </c>
      <c r="M182" s="842">
        <f t="shared" si="66"/>
        <v>-95620.090000000026</v>
      </c>
      <c r="N182" s="827">
        <f t="shared" si="67"/>
        <v>-0.23905022500000006</v>
      </c>
      <c r="O182" s="811">
        <f t="shared" si="56"/>
        <v>-0.33453292981321847</v>
      </c>
      <c r="P182" s="842" t="b">
        <f t="shared" si="62"/>
        <v>0</v>
      </c>
      <c r="Q182" s="827">
        <f>COUNTIF(P$2:P182, TRUE)/(COUNTIF(P$2:P182,FALSE) + COUNTIF(P$2:P182, TRUE))</f>
        <v>0.47513812154696133</v>
      </c>
      <c r="R182" s="825">
        <v>275717.40999999997</v>
      </c>
      <c r="S182" s="825">
        <f t="shared" si="61"/>
        <v>28662.5</v>
      </c>
      <c r="T182" s="825"/>
      <c r="U182" s="825"/>
      <c r="V182" s="827">
        <f>STDEV(D$2:D182)*SQRT(252)</f>
        <v>0.18484162325464118</v>
      </c>
      <c r="W182" s="827">
        <f>STDEV(L$2:L182)*SQRT(252)</f>
        <v>0.39383207665570702</v>
      </c>
      <c r="X182" s="826">
        <f t="shared" si="63"/>
        <v>-0.18480468657257493</v>
      </c>
      <c r="Y182" s="826">
        <f t="shared" si="64"/>
        <v>-0.84943037818037204</v>
      </c>
      <c r="Z182" s="832">
        <f t="shared" si="65"/>
        <v>-0.21464049154744011</v>
      </c>
    </row>
    <row r="183" spans="1:26" ht="20.100000000000001" customHeight="1" x14ac:dyDescent="0.2">
      <c r="A183" s="801">
        <f t="shared" si="55"/>
        <v>262</v>
      </c>
      <c r="B183" s="820">
        <v>42495</v>
      </c>
      <c r="C183" s="845">
        <v>2050.63</v>
      </c>
      <c r="D183" s="817">
        <f t="shared" si="69"/>
        <v>-2.3889387261583024E-4</v>
      </c>
      <c r="E183" s="844">
        <f t="shared" si="70"/>
        <v>-2.464279598942179E-2</v>
      </c>
      <c r="F183" s="841">
        <v>4717.09</v>
      </c>
      <c r="G183" s="817">
        <f t="shared" si="71"/>
        <v>-1.8092787431967271E-3</v>
      </c>
      <c r="H183" s="822">
        <f t="shared" si="72"/>
        <v>-7.3572677101950174E-2</v>
      </c>
      <c r="I183" s="824">
        <v>304854.58</v>
      </c>
      <c r="J183" s="825">
        <v>400000</v>
      </c>
      <c r="K183" s="825">
        <f t="shared" si="60"/>
        <v>474.67000000004191</v>
      </c>
      <c r="L183" s="817">
        <f t="shared" si="52"/>
        <v>1.5594656033640392E-3</v>
      </c>
      <c r="M183" s="842">
        <f t="shared" si="66"/>
        <v>-95145.419999999984</v>
      </c>
      <c r="N183" s="827">
        <f t="shared" si="67"/>
        <v>-0.23786354999999995</v>
      </c>
      <c r="O183" s="811">
        <f t="shared" si="56"/>
        <v>-0.33160176197519076</v>
      </c>
      <c r="P183" s="842" t="b">
        <f t="shared" si="62"/>
        <v>1</v>
      </c>
      <c r="Q183" s="827">
        <f>COUNTIF(P$2:P183, TRUE)/(COUNTIF(P$2:P183,FALSE) + COUNTIF(P$2:P183, TRUE))</f>
        <v>0.47802197802197804</v>
      </c>
      <c r="R183" s="825">
        <v>244688.61</v>
      </c>
      <c r="S183" s="825">
        <f t="shared" si="61"/>
        <v>60165.97000000003</v>
      </c>
      <c r="T183" s="825"/>
      <c r="U183" s="825"/>
      <c r="V183" s="827">
        <f>STDEV(D$2:D183)*SQRT(252)</f>
        <v>0.18432756719124724</v>
      </c>
      <c r="W183" s="827">
        <f>STDEV(L$2:L183)*SQRT(252)</f>
        <v>0.39274558948509919</v>
      </c>
      <c r="X183" s="826">
        <f t="shared" si="63"/>
        <v>-0.18637541511097749</v>
      </c>
      <c r="Y183" s="826">
        <f t="shared" si="64"/>
        <v>-0.84431695951043073</v>
      </c>
      <c r="Z183" s="832">
        <f t="shared" si="65"/>
        <v>-0.21322075401057816</v>
      </c>
    </row>
    <row r="184" spans="1:26" ht="20.100000000000001" customHeight="1" x14ac:dyDescent="0.2">
      <c r="A184" s="801">
        <f t="shared" si="55"/>
        <v>263</v>
      </c>
      <c r="B184" s="820">
        <v>42496</v>
      </c>
      <c r="C184" s="845">
        <v>2057.14</v>
      </c>
      <c r="D184" s="817">
        <f t="shared" si="69"/>
        <v>3.1746341368261281E-3</v>
      </c>
      <c r="E184" s="844">
        <f t="shared" si="70"/>
        <v>-2.1546393713970519E-2</v>
      </c>
      <c r="F184" s="841">
        <v>4736.1499999999996</v>
      </c>
      <c r="G184" s="817">
        <f t="shared" si="71"/>
        <v>4.0406267423346784E-3</v>
      </c>
      <c r="H184" s="822">
        <f t="shared" si="72"/>
        <v>-6.9829330086218791E-2</v>
      </c>
      <c r="I184" s="824">
        <v>304553.01</v>
      </c>
      <c r="J184" s="825">
        <v>400000</v>
      </c>
      <c r="K184" s="825">
        <f t="shared" ref="K184:K191" si="73">I184-I183-J184+J183</f>
        <v>-301.57000000000698</v>
      </c>
      <c r="L184" s="817">
        <f t="shared" si="52"/>
        <v>-9.8922574822397935E-4</v>
      </c>
      <c r="M184" s="842">
        <f t="shared" si="66"/>
        <v>-95446.989999999991</v>
      </c>
      <c r="N184" s="827">
        <f t="shared" si="67"/>
        <v>-0.23861747499999997</v>
      </c>
      <c r="O184" s="811">
        <f t="shared" si="56"/>
        <v>-0.33138795720057029</v>
      </c>
      <c r="P184" s="842" t="b">
        <f t="shared" si="62"/>
        <v>0</v>
      </c>
      <c r="Q184" s="827">
        <f>COUNTIF(P$2:P184, TRUE)/(COUNTIF(P$2:P184,FALSE) + COUNTIF(P$2:P184, TRUE))</f>
        <v>0.47540983606557374</v>
      </c>
      <c r="R184" s="825">
        <v>244387.04</v>
      </c>
      <c r="S184" s="825">
        <f t="shared" si="61"/>
        <v>60165.97</v>
      </c>
      <c r="T184" s="825"/>
      <c r="U184" s="825"/>
      <c r="V184" s="827">
        <f>STDEV(D$2:D184)*SQRT(252)</f>
        <v>0.18385733310568392</v>
      </c>
      <c r="W184" s="827">
        <f>STDEV(L$2:L184)*SQRT(252)</f>
        <v>0.39165931974206192</v>
      </c>
      <c r="X184" s="826">
        <f t="shared" si="63"/>
        <v>-0.16275266595309434</v>
      </c>
      <c r="Y184" s="826">
        <f t="shared" si="64"/>
        <v>-0.8461127834742066</v>
      </c>
      <c r="Z184" s="832">
        <f t="shared" si="65"/>
        <v>-0.21707108128602945</v>
      </c>
    </row>
    <row r="185" spans="1:26" ht="20.100000000000001" customHeight="1" x14ac:dyDescent="0.2">
      <c r="A185" s="801">
        <f t="shared" si="55"/>
        <v>266</v>
      </c>
      <c r="B185" s="849">
        <v>42499</v>
      </c>
      <c r="C185" s="850">
        <v>2058.69</v>
      </c>
      <c r="D185" s="817">
        <f t="shared" si="69"/>
        <v>7.5347326871296166E-4</v>
      </c>
      <c r="E185" s="851">
        <f t="shared" si="70"/>
        <v>-2.08091550769582E-2</v>
      </c>
      <c r="F185" s="852">
        <v>4750.2</v>
      </c>
      <c r="G185" s="817">
        <f t="shared" si="71"/>
        <v>2.9665445562324214E-3</v>
      </c>
      <c r="H185" s="853">
        <f t="shared" si="72"/>
        <v>-6.706993734901899E-2</v>
      </c>
      <c r="I185" s="854">
        <v>298140.64</v>
      </c>
      <c r="J185" s="855">
        <v>400000</v>
      </c>
      <c r="K185" s="855">
        <f t="shared" si="73"/>
        <v>-6412.3699999999953</v>
      </c>
      <c r="L185" s="817">
        <f t="shared" si="52"/>
        <v>-2.1055020930510572E-2</v>
      </c>
      <c r="M185" s="856">
        <f t="shared" si="66"/>
        <v>-101859.35999999999</v>
      </c>
      <c r="N185" s="857">
        <f t="shared" si="67"/>
        <v>-0.25464839999999994</v>
      </c>
      <c r="O185" s="811">
        <f t="shared" si="56"/>
        <v>-0.34966288759398489</v>
      </c>
      <c r="P185" s="856" t="b">
        <f t="shared" si="62"/>
        <v>0</v>
      </c>
      <c r="Q185" s="857">
        <f>COUNTIF(P$2:P185, TRUE)/(COUNTIF(P$2:P185,FALSE) + COUNTIF(P$2:P185, TRUE))</f>
        <v>0.47282608695652173</v>
      </c>
      <c r="R185" s="855">
        <v>244388.04</v>
      </c>
      <c r="S185" s="855">
        <f t="shared" si="61"/>
        <v>53752.600000000006</v>
      </c>
      <c r="T185" s="855"/>
      <c r="U185" s="855"/>
      <c r="V185" s="857">
        <f>STDEV(D$2:D185)*SQRT(252)</f>
        <v>0.18335397650588192</v>
      </c>
      <c r="W185" s="857">
        <f>STDEV(L$2:L185)*SQRT(252)</f>
        <v>0.39131263252933984</v>
      </c>
      <c r="X185" s="826">
        <f t="shared" si="63"/>
        <v>-0.15583776159198121</v>
      </c>
      <c r="Y185" s="826">
        <f t="shared" si="64"/>
        <v>-0.89356401640769378</v>
      </c>
      <c r="Z185" s="832">
        <f t="shared" si="65"/>
        <v>-0.23383924492304176</v>
      </c>
    </row>
    <row r="186" spans="1:26" ht="20.100000000000001" customHeight="1" x14ac:dyDescent="0.2">
      <c r="A186" s="801">
        <f t="shared" si="55"/>
        <v>267</v>
      </c>
      <c r="B186" s="849">
        <v>42500</v>
      </c>
      <c r="C186" s="850">
        <v>2084.39</v>
      </c>
      <c r="D186" s="817">
        <f t="shared" si="69"/>
        <v>1.2483666797817941E-2</v>
      </c>
      <c r="E186" s="851">
        <f t="shared" si="70"/>
        <v>-8.5852628374651265E-3</v>
      </c>
      <c r="F186" s="852">
        <v>4809.88</v>
      </c>
      <c r="G186" s="817">
        <f t="shared" si="71"/>
        <v>1.2563681529198832E-2</v>
      </c>
      <c r="H186" s="853">
        <f t="shared" si="72"/>
        <v>-5.5348901152856553E-2</v>
      </c>
      <c r="I186" s="854">
        <v>304800.26</v>
      </c>
      <c r="J186" s="855">
        <v>400000</v>
      </c>
      <c r="K186" s="855">
        <f t="shared" si="73"/>
        <v>6659.6199999999953</v>
      </c>
      <c r="L186" s="817">
        <f t="shared" si="52"/>
        <v>2.2337176172963186E-2</v>
      </c>
      <c r="M186" s="856">
        <f t="shared" si="66"/>
        <v>-95199.739999999991</v>
      </c>
      <c r="N186" s="857">
        <f t="shared" si="67"/>
        <v>-0.23799934999999997</v>
      </c>
      <c r="O186" s="811">
        <f t="shared" si="56"/>
        <v>-0.32557776249999998</v>
      </c>
      <c r="P186" s="856" t="b">
        <f t="shared" si="62"/>
        <v>1</v>
      </c>
      <c r="Q186" s="857">
        <f>COUNTIF(P$2:P186, TRUE)/(COUNTIF(P$2:P186,FALSE) + COUNTIF(P$2:P186, TRUE))</f>
        <v>0.4756756756756757</v>
      </c>
      <c r="R186" s="855">
        <v>245950.62</v>
      </c>
      <c r="S186" s="855">
        <f t="shared" si="61"/>
        <v>58849.640000000014</v>
      </c>
      <c r="T186" s="855"/>
      <c r="U186" s="855"/>
      <c r="V186" s="857">
        <f>STDEV(D$2:D186)*SQRT(252)</f>
        <v>0.1834395508093867</v>
      </c>
      <c r="W186" s="857">
        <f>STDEV(L$2:L186)*SQRT(252)</f>
        <v>0.39117995017069312</v>
      </c>
      <c r="X186" s="826">
        <f t="shared" si="63"/>
        <v>-6.4023524820998143E-2</v>
      </c>
      <c r="Y186" s="826">
        <f t="shared" si="64"/>
        <v>-0.83229665108841255</v>
      </c>
      <c r="Z186" s="832">
        <f t="shared" si="65"/>
        <v>-0.22941408716253484</v>
      </c>
    </row>
    <row r="187" spans="1:26" ht="20.100000000000001" customHeight="1" x14ac:dyDescent="0.2">
      <c r="A187" s="801">
        <f t="shared" si="55"/>
        <v>268</v>
      </c>
      <c r="B187" s="849">
        <v>42501</v>
      </c>
      <c r="C187" s="850">
        <v>2064.46</v>
      </c>
      <c r="D187" s="817">
        <f t="shared" si="69"/>
        <v>-9.5615503816463502E-3</v>
      </c>
      <c r="E187" s="851">
        <f t="shared" si="70"/>
        <v>-1.8064724795951378E-2</v>
      </c>
      <c r="F187" s="852">
        <v>4760.68</v>
      </c>
      <c r="G187" s="817">
        <f t="shared" si="71"/>
        <v>-1.0228945420675737E-2</v>
      </c>
      <c r="H187" s="853">
        <f t="shared" si="72"/>
        <v>-6.5011685684545351E-2</v>
      </c>
      <c r="I187" s="854">
        <v>308835.23</v>
      </c>
      <c r="J187" s="855">
        <v>400000</v>
      </c>
      <c r="K187" s="855">
        <f t="shared" si="73"/>
        <v>4034.9699999999721</v>
      </c>
      <c r="L187" s="817">
        <f t="shared" si="52"/>
        <v>1.3238079258856183E-2</v>
      </c>
      <c r="M187" s="856">
        <f t="shared" si="66"/>
        <v>-91164.770000000019</v>
      </c>
      <c r="N187" s="857">
        <f t="shared" si="67"/>
        <v>-0.22791192500000004</v>
      </c>
      <c r="O187" s="811">
        <f t="shared" si="56"/>
        <v>-0.31061503957555975</v>
      </c>
      <c r="P187" s="856" t="b">
        <f t="shared" si="62"/>
        <v>1</v>
      </c>
      <c r="Q187" s="857">
        <f>COUNTIF(P$2:P187, TRUE)/(COUNTIF(P$2:P187,FALSE) + COUNTIF(P$2:P187, TRUE))</f>
        <v>0.478494623655914</v>
      </c>
      <c r="R187" s="855">
        <v>248232.13</v>
      </c>
      <c r="S187" s="855">
        <f t="shared" si="61"/>
        <v>60603.099999999977</v>
      </c>
      <c r="T187" s="855"/>
      <c r="U187" s="855"/>
      <c r="V187" s="857">
        <f>STDEV(D$2:D187)*SQRT(252)</f>
        <v>0.18328184052807739</v>
      </c>
      <c r="W187" s="857">
        <f>STDEV(L$2:L187)*SQRT(252)</f>
        <v>0.39045309819153251</v>
      </c>
      <c r="X187" s="826">
        <f t="shared" si="63"/>
        <v>-0.13432824568163304</v>
      </c>
      <c r="Y187" s="826">
        <f t="shared" si="64"/>
        <v>-0.7955245867281886</v>
      </c>
      <c r="Z187" s="832">
        <f t="shared" si="65"/>
        <v>-0.20984720020404868</v>
      </c>
    </row>
    <row r="188" spans="1:26" ht="20.100000000000001" customHeight="1" x14ac:dyDescent="0.2">
      <c r="A188" s="801">
        <f t="shared" si="55"/>
        <v>269</v>
      </c>
      <c r="B188" s="849">
        <v>42502</v>
      </c>
      <c r="C188" s="850">
        <v>2064.11</v>
      </c>
      <c r="D188" s="817">
        <f t="shared" si="69"/>
        <v>-1.6953585925612947E-4</v>
      </c>
      <c r="E188" s="851">
        <f t="shared" si="70"/>
        <v>-1.8231198036567E-2</v>
      </c>
      <c r="F188" s="852">
        <v>4737.33</v>
      </c>
      <c r="G188" s="817">
        <f t="shared" si="71"/>
        <v>-4.9047615046590746E-3</v>
      </c>
      <c r="H188" s="853">
        <f t="shared" si="72"/>
        <v>-6.9597580375905868E-2</v>
      </c>
      <c r="I188" s="854">
        <v>304301.34000000003</v>
      </c>
      <c r="J188" s="855">
        <v>400000</v>
      </c>
      <c r="K188" s="855">
        <f t="shared" si="73"/>
        <v>-4533.8899999999558</v>
      </c>
      <c r="L188" s="817">
        <f t="shared" si="52"/>
        <v>-1.4680611405635154E-2</v>
      </c>
      <c r="M188" s="856">
        <f t="shared" si="66"/>
        <v>-95698.659999999974</v>
      </c>
      <c r="N188" s="857">
        <f t="shared" si="67"/>
        <v>-0.23924664999999995</v>
      </c>
      <c r="O188" s="811">
        <f t="shared" si="56"/>
        <v>-0.32485070227695162</v>
      </c>
      <c r="P188" s="856" t="b">
        <f t="shared" si="62"/>
        <v>0</v>
      </c>
      <c r="Q188" s="857">
        <f>COUNTIF(P$2:P188, TRUE)/(COUNTIF(P$2:P188,FALSE) + COUNTIF(P$2:P188, TRUE))</f>
        <v>0.47593582887700536</v>
      </c>
      <c r="R188" s="855">
        <v>280165.89</v>
      </c>
      <c r="S188" s="855">
        <f t="shared" si="61"/>
        <v>24135.450000000012</v>
      </c>
      <c r="T188" s="855"/>
      <c r="U188" s="855"/>
      <c r="V188" s="857">
        <f>STDEV(D$2:D188)*SQRT(252)</f>
        <v>0.1827858829252009</v>
      </c>
      <c r="W188" s="857">
        <f>STDEV(L$2:L188)*SQRT(252)</f>
        <v>0.38974137838139039</v>
      </c>
      <c r="X188" s="826">
        <f t="shared" si="63"/>
        <v>-0.13542863535761854</v>
      </c>
      <c r="Y188" s="826">
        <f t="shared" si="64"/>
        <v>-0.83350324162671152</v>
      </c>
      <c r="Z188" s="832">
        <f t="shared" si="65"/>
        <v>-0.22101545196343295</v>
      </c>
    </row>
    <row r="189" spans="1:26" ht="20.100000000000001" customHeight="1" x14ac:dyDescent="0.2">
      <c r="A189" s="801">
        <f t="shared" si="55"/>
        <v>270</v>
      </c>
      <c r="B189" s="849">
        <v>42503</v>
      </c>
      <c r="C189" s="850">
        <v>2046.61</v>
      </c>
      <c r="D189" s="817">
        <f t="shared" si="69"/>
        <v>-8.4782303268722235E-3</v>
      </c>
      <c r="E189" s="851">
        <f t="shared" si="70"/>
        <v>-2.6554860067350389E-2</v>
      </c>
      <c r="F189" s="852">
        <v>4717.68</v>
      </c>
      <c r="G189" s="817">
        <f t="shared" si="71"/>
        <v>-4.1479060990050592E-3</v>
      </c>
      <c r="H189" s="853">
        <f t="shared" si="72"/>
        <v>-7.3456802246793712E-2</v>
      </c>
      <c r="I189" s="854">
        <v>303736.26</v>
      </c>
      <c r="J189" s="855">
        <v>400000</v>
      </c>
      <c r="K189" s="855">
        <f t="shared" si="73"/>
        <v>-565.0800000000163</v>
      </c>
      <c r="L189" s="817">
        <f t="shared" si="52"/>
        <v>-1.8569750629425959E-3</v>
      </c>
      <c r="M189" s="856">
        <f t="shared" si="66"/>
        <v>-96263.739999999991</v>
      </c>
      <c r="N189" s="857">
        <f t="shared" si="67"/>
        <v>-0.24065934999999997</v>
      </c>
      <c r="O189" s="811">
        <f t="shared" si="56"/>
        <v>-0.32555862069444441</v>
      </c>
      <c r="P189" s="856" t="b">
        <f t="shared" si="62"/>
        <v>1</v>
      </c>
      <c r="Q189" s="857">
        <f>COUNTIF(P$2:P189, TRUE)/(COUNTIF(P$2:P189,FALSE) + COUNTIF(P$2:P189, TRUE))</f>
        <v>0.47872340425531917</v>
      </c>
      <c r="R189" s="855">
        <v>251738</v>
      </c>
      <c r="S189" s="855">
        <f t="shared" si="61"/>
        <v>51998.260000000009</v>
      </c>
      <c r="T189" s="855"/>
      <c r="U189" s="855"/>
      <c r="V189" s="857">
        <f>STDEV(D$2:D189)*SQRT(252)</f>
        <v>0.18255729754579855</v>
      </c>
      <c r="W189" s="857">
        <f>STDEV(L$2:L189)*SQRT(252)</f>
        <v>0.38869471253740751</v>
      </c>
      <c r="X189" s="826">
        <f t="shared" si="63"/>
        <v>-0.19677561551379819</v>
      </c>
      <c r="Y189" s="826">
        <f t="shared" si="64"/>
        <v>-0.83756894599669407</v>
      </c>
      <c r="Z189" s="832">
        <f t="shared" si="65"/>
        <v>-0.21410448993264958</v>
      </c>
    </row>
    <row r="190" spans="1:26" ht="20.100000000000001" customHeight="1" x14ac:dyDescent="0.2">
      <c r="A190" s="801">
        <f t="shared" si="55"/>
        <v>273</v>
      </c>
      <c r="B190" s="820">
        <v>42506</v>
      </c>
      <c r="C190" s="845">
        <v>2066.66</v>
      </c>
      <c r="D190" s="817">
        <f t="shared" si="69"/>
        <v>9.7966881819203239E-3</v>
      </c>
      <c r="E190" s="844">
        <f t="shared" si="70"/>
        <v>-1.7018321569224424E-2</v>
      </c>
      <c r="F190" s="841">
        <v>4775.45</v>
      </c>
      <c r="G190" s="817">
        <f t="shared" si="71"/>
        <v>1.224542571772556E-2</v>
      </c>
      <c r="H190" s="822">
        <f t="shared" si="72"/>
        <v>-6.2110886344442916E-2</v>
      </c>
      <c r="I190" s="824">
        <v>310136.52</v>
      </c>
      <c r="J190" s="825">
        <v>400000</v>
      </c>
      <c r="K190" s="825">
        <f t="shared" si="73"/>
        <v>6400.2600000000093</v>
      </c>
      <c r="L190" s="817">
        <f t="shared" si="52"/>
        <v>2.1071767987134657E-2</v>
      </c>
      <c r="M190" s="842">
        <f t="shared" si="66"/>
        <v>-89863.479999999981</v>
      </c>
      <c r="N190" s="827">
        <f t="shared" ref="N190:N221" si="74">M190/J190</f>
        <v>-0.22465869999999996</v>
      </c>
      <c r="O190" s="811">
        <f t="shared" si="56"/>
        <v>-0.30057359038461534</v>
      </c>
      <c r="P190" s="842" t="b">
        <f t="shared" si="62"/>
        <v>1</v>
      </c>
      <c r="Q190" s="827">
        <f>COUNTIF(P$2:P190, TRUE)/(COUNTIF(P$2:P190,FALSE) + COUNTIF(P$2:P190, TRUE))</f>
        <v>0.48148148148148145</v>
      </c>
      <c r="R190" s="825">
        <v>258123.64</v>
      </c>
      <c r="S190" s="825">
        <f t="shared" si="61"/>
        <v>52012.880000000005</v>
      </c>
      <c r="T190" s="825"/>
      <c r="U190" s="825"/>
      <c r="V190" s="827">
        <f>STDEV(D$2:D190)*SQRT(252)</f>
        <v>0.18242711588099725</v>
      </c>
      <c r="W190" s="827">
        <f>STDEV(L$2:L190)*SQRT(252)</f>
        <v>0.38847097955636578</v>
      </c>
      <c r="X190" s="826">
        <f t="shared" si="63"/>
        <v>-0.124811588636271</v>
      </c>
      <c r="Y190" s="826">
        <f t="shared" si="64"/>
        <v>-0.77373499232264575</v>
      </c>
      <c r="Z190" s="832">
        <f t="shared" si="65"/>
        <v>-0.20764037843077554</v>
      </c>
    </row>
    <row r="191" spans="1:26" ht="20.100000000000001" customHeight="1" x14ac:dyDescent="0.2">
      <c r="A191" s="801">
        <f t="shared" si="55"/>
        <v>274</v>
      </c>
      <c r="B191" s="820">
        <v>42507</v>
      </c>
      <c r="C191" s="845">
        <v>2047.21</v>
      </c>
      <c r="D191" s="817">
        <f>(C191-C190)/C190</f>
        <v>-9.4113206816795313E-3</v>
      </c>
      <c r="E191" s="844">
        <f t="shared" si="70"/>
        <v>-2.6269477369152042E-2</v>
      </c>
      <c r="F191" s="841">
        <v>4715.7299999999996</v>
      </c>
      <c r="G191" s="817">
        <f>(F191-F190)/F190</f>
        <v>-1.2505627741888252E-2</v>
      </c>
      <c r="H191" s="822">
        <f t="shared" si="72"/>
        <v>-7.3839778462988837E-2</v>
      </c>
      <c r="I191" s="824">
        <v>311039.01</v>
      </c>
      <c r="J191" s="825">
        <v>400000</v>
      </c>
      <c r="K191" s="825">
        <f t="shared" si="73"/>
        <v>902.48999999999069</v>
      </c>
      <c r="L191" s="817">
        <f t="shared" si="52"/>
        <v>2.9099765483922711E-3</v>
      </c>
      <c r="M191" s="842">
        <f t="shared" si="66"/>
        <v>-88960.989999999991</v>
      </c>
      <c r="N191" s="827">
        <f t="shared" si="74"/>
        <v>-0.22240247499999999</v>
      </c>
      <c r="O191" s="811">
        <f t="shared" si="56"/>
        <v>-0.29646899267791965</v>
      </c>
      <c r="P191" s="842" t="b">
        <f t="shared" si="62"/>
        <v>1</v>
      </c>
      <c r="Q191" s="827">
        <f>COUNTIF(P$2:P191, TRUE)/(COUNTIF(P$2:P191,FALSE) + COUNTIF(P$2:P191, TRUE))</f>
        <v>0.48421052631578948</v>
      </c>
      <c r="R191" s="825">
        <v>255974.63</v>
      </c>
      <c r="S191" s="825">
        <f t="shared" si="61"/>
        <v>55064.380000000005</v>
      </c>
      <c r="T191" s="825"/>
      <c r="U191" s="825"/>
      <c r="V191" s="827">
        <f>STDEV(D$2:D191)*SQRT(252)</f>
        <v>0.18226379341821147</v>
      </c>
      <c r="W191" s="827">
        <f>STDEV(L$2:L191)*SQRT(252)</f>
        <v>0.38745717293573728</v>
      </c>
      <c r="X191" s="826">
        <f t="shared" si="63"/>
        <v>-0.1921280121980645</v>
      </c>
      <c r="Y191" s="826">
        <f t="shared" si="64"/>
        <v>-0.76516583866958454</v>
      </c>
      <c r="Z191" s="832">
        <f t="shared" si="65"/>
        <v>-0.19613299763084796</v>
      </c>
    </row>
    <row r="192" spans="1:26" ht="20.100000000000001" customHeight="1" x14ac:dyDescent="0.2">
      <c r="A192" s="801">
        <f t="shared" si="55"/>
        <v>275</v>
      </c>
      <c r="B192" s="820">
        <v>42508</v>
      </c>
      <c r="C192" s="845">
        <v>2047.63</v>
      </c>
      <c r="D192" s="817">
        <f>(C192-C191)/C191</f>
        <v>2.051572628113739E-4</v>
      </c>
      <c r="E192" s="844">
        <f t="shared" ref="E192:E223" si="75">(C192-$C$2)/$C$2</f>
        <v>-2.6069709480413209E-2</v>
      </c>
      <c r="F192" s="841">
        <v>4739.1099999999997</v>
      </c>
      <c r="G192" s="817">
        <f t="shared" ref="G192:G255" si="76">(F192-F191)/F191</f>
        <v>4.9578750267721249E-3</v>
      </c>
      <c r="H192" s="822">
        <f t="shared" ref="H192:H223" si="77">(F192-F$2)/F$2</f>
        <v>-6.9247991829840747E-2</v>
      </c>
      <c r="I192" s="824">
        <v>310817.56</v>
      </c>
      <c r="J192" s="825">
        <v>400000</v>
      </c>
      <c r="K192" s="825">
        <f t="shared" ref="K192:K223" si="78">I192-I191-J192+J191</f>
        <v>-221.45000000001164</v>
      </c>
      <c r="L192" s="817">
        <f t="shared" si="52"/>
        <v>-7.1196857268807415E-4</v>
      </c>
      <c r="M192" s="842">
        <f t="shared" ref="M192:M223" si="79">I192-J192</f>
        <v>-89182.44</v>
      </c>
      <c r="N192" s="827">
        <f t="shared" si="74"/>
        <v>-0.22295610000000002</v>
      </c>
      <c r="O192" s="811">
        <f t="shared" si="56"/>
        <v>-0.29612623827272727</v>
      </c>
      <c r="P192" s="842" t="b">
        <f t="shared" ref="P192:P223" si="80">L192&gt;D192</f>
        <v>0</v>
      </c>
      <c r="Q192" s="827">
        <f>COUNTIF(P$2:P192, TRUE)/(COUNTIF(P$2:P192,FALSE) + COUNTIF(P$2:P192, TRUE))</f>
        <v>0.48167539267015708</v>
      </c>
      <c r="R192" s="825">
        <v>257102.48</v>
      </c>
      <c r="S192" s="825">
        <f t="shared" ref="S192:S236" si="81">I192-R192</f>
        <v>53715.079999999987</v>
      </c>
      <c r="T192" s="825"/>
      <c r="U192" s="825"/>
      <c r="V192" s="827">
        <f>STDEV(D$2:D192)*SQRT(252)</f>
        <v>0.18178126131382988</v>
      </c>
      <c r="W192" s="827">
        <f>STDEV(L$2:L192)*SQRT(252)</f>
        <v>0.38643084331736716</v>
      </c>
      <c r="X192" s="826">
        <f t="shared" si="63"/>
        <v>-0.19047790672653184</v>
      </c>
      <c r="Y192" s="826">
        <f t="shared" si="64"/>
        <v>-0.76631108358378452</v>
      </c>
      <c r="Z192" s="832">
        <f t="shared" si="65"/>
        <v>-0.19688639051958681</v>
      </c>
    </row>
    <row r="193" spans="1:26" ht="20.100000000000001" customHeight="1" x14ac:dyDescent="0.2">
      <c r="A193" s="801">
        <f t="shared" si="55"/>
        <v>276</v>
      </c>
      <c r="B193" s="820">
        <v>42509</v>
      </c>
      <c r="C193" s="845">
        <v>2040.04</v>
      </c>
      <c r="D193" s="817">
        <f t="shared" ref="D193:D256" si="82">(C193-C192)/C192</f>
        <v>-3.7067243593814046E-3</v>
      </c>
      <c r="E193" s="844">
        <f t="shared" si="75"/>
        <v>-2.9679800612621567E-2</v>
      </c>
      <c r="F193" s="841">
        <v>4712.53</v>
      </c>
      <c r="G193" s="817">
        <f t="shared" si="76"/>
        <v>-5.6086480372896869E-3</v>
      </c>
      <c r="H193" s="822">
        <f t="shared" si="77"/>
        <v>-7.4468252253667752E-2</v>
      </c>
      <c r="I193" s="824">
        <v>311569.3</v>
      </c>
      <c r="J193" s="825">
        <v>400000</v>
      </c>
      <c r="K193" s="825">
        <f t="shared" si="78"/>
        <v>751.73999999999069</v>
      </c>
      <c r="L193" s="817">
        <f t="shared" si="52"/>
        <v>2.4185892199912731E-3</v>
      </c>
      <c r="M193" s="842">
        <f t="shared" si="79"/>
        <v>-88430.700000000012</v>
      </c>
      <c r="N193" s="827">
        <f t="shared" si="74"/>
        <v>-0.22107675000000002</v>
      </c>
      <c r="O193" s="811">
        <f t="shared" si="56"/>
        <v>-0.29256624252717395</v>
      </c>
      <c r="P193" s="842" t="b">
        <f t="shared" si="80"/>
        <v>1</v>
      </c>
      <c r="Q193" s="827">
        <f>COUNTIF(P$2:P193, TRUE)/(COUNTIF(P$2:P193,FALSE) + COUNTIF(P$2:P193, TRUE))</f>
        <v>0.484375</v>
      </c>
      <c r="R193" s="825">
        <v>263424.27</v>
      </c>
      <c r="S193" s="825">
        <f t="shared" si="81"/>
        <v>48145.02999999997</v>
      </c>
      <c r="T193" s="825"/>
      <c r="U193" s="825"/>
      <c r="V193" s="827">
        <f>STDEV(D$2:D193)*SQRT(252)</f>
        <v>0.18135027686058963</v>
      </c>
      <c r="W193" s="827">
        <f>STDEV(L$2:L193)*SQRT(252)</f>
        <v>0.38542760333105391</v>
      </c>
      <c r="X193" s="826">
        <f t="shared" si="63"/>
        <v>-0.2165827674068441</v>
      </c>
      <c r="Y193" s="826">
        <f t="shared" si="64"/>
        <v>-0.75906925191313057</v>
      </c>
      <c r="Z193" s="832">
        <f t="shared" si="65"/>
        <v>-0.19139694938737845</v>
      </c>
    </row>
    <row r="194" spans="1:26" ht="20.100000000000001" customHeight="1" x14ac:dyDescent="0.2">
      <c r="A194" s="801">
        <f t="shared" si="55"/>
        <v>277</v>
      </c>
      <c r="B194" s="820">
        <v>42510</v>
      </c>
      <c r="C194" s="845">
        <v>2052.3200000000002</v>
      </c>
      <c r="D194" s="817">
        <f t="shared" si="82"/>
        <v>6.0194898139253154E-3</v>
      </c>
      <c r="E194" s="844">
        <f t="shared" si="75"/>
        <v>-2.3838968056163264E-2</v>
      </c>
      <c r="F194" s="841">
        <v>4769.55</v>
      </c>
      <c r="G194" s="817">
        <f t="shared" si="76"/>
        <v>1.209965772101195E-2</v>
      </c>
      <c r="H194" s="822">
        <f t="shared" si="77"/>
        <v>-6.3269634896007163E-2</v>
      </c>
      <c r="I194" s="824">
        <v>320418.83</v>
      </c>
      <c r="J194" s="825">
        <v>400000</v>
      </c>
      <c r="K194" s="825">
        <f t="shared" si="78"/>
        <v>8849.5300000000279</v>
      </c>
      <c r="L194" s="817">
        <f t="shared" si="52"/>
        <v>2.8403087210453752E-2</v>
      </c>
      <c r="M194" s="842">
        <f t="shared" si="79"/>
        <v>-79581.169999999984</v>
      </c>
      <c r="N194" s="827">
        <f t="shared" si="74"/>
        <v>-0.19895292499999995</v>
      </c>
      <c r="O194" s="811">
        <f t="shared" si="56"/>
        <v>-0.26233774677346566</v>
      </c>
      <c r="P194" s="842" t="b">
        <f t="shared" si="80"/>
        <v>1</v>
      </c>
      <c r="Q194" s="827">
        <f>COUNTIF(P$2:P194, TRUE)/(COUNTIF(P$2:P194,FALSE) + COUNTIF(P$2:P194, TRUE))</f>
        <v>0.48704663212435234</v>
      </c>
      <c r="R194" s="825">
        <v>264120.78000000003</v>
      </c>
      <c r="S194" s="825">
        <f t="shared" si="81"/>
        <v>56298.049999999988</v>
      </c>
      <c r="T194" s="825"/>
      <c r="U194" s="825"/>
      <c r="V194" s="827">
        <f>STDEV(D$2:D194)*SQRT(252)</f>
        <v>0.18101041145584279</v>
      </c>
      <c r="W194" s="827">
        <f>STDEV(L$2:L194)*SQRT(252)</f>
        <v>0.38584361102495252</v>
      </c>
      <c r="X194" s="826">
        <f t="shared" si="63"/>
        <v>-0.17365782272563243</v>
      </c>
      <c r="Y194" s="826">
        <f t="shared" si="64"/>
        <v>-0.67990693451316542</v>
      </c>
      <c r="Z194" s="832">
        <f t="shared" si="65"/>
        <v>-0.17511395694383669</v>
      </c>
    </row>
    <row r="195" spans="1:26" ht="20.100000000000001" customHeight="1" x14ac:dyDescent="0.2">
      <c r="A195" s="801">
        <f t="shared" si="55"/>
        <v>280</v>
      </c>
      <c r="B195" s="849">
        <v>42513</v>
      </c>
      <c r="C195" s="850">
        <v>2048.04</v>
      </c>
      <c r="D195" s="817">
        <f t="shared" si="82"/>
        <v>-2.085444764949033E-3</v>
      </c>
      <c r="E195" s="851">
        <f t="shared" si="75"/>
        <v>-2.5874697969977784E-2</v>
      </c>
      <c r="F195" s="852">
        <v>4765.78</v>
      </c>
      <c r="G195" s="817">
        <f t="shared" si="76"/>
        <v>-7.9043096308885254E-4</v>
      </c>
      <c r="H195" s="853">
        <f t="shared" si="77"/>
        <v>-6.4010055580650885E-2</v>
      </c>
      <c r="I195" s="854">
        <v>322945.12</v>
      </c>
      <c r="J195" s="855">
        <v>400000</v>
      </c>
      <c r="K195" s="855">
        <f t="shared" si="78"/>
        <v>2526.289999999979</v>
      </c>
      <c r="L195" s="817">
        <f t="shared" si="52"/>
        <v>7.8843368849451784E-3</v>
      </c>
      <c r="M195" s="856">
        <f t="shared" si="79"/>
        <v>-77054.880000000005</v>
      </c>
      <c r="N195" s="857">
        <f t="shared" si="74"/>
        <v>-0.19263720000000001</v>
      </c>
      <c r="O195" s="811">
        <f t="shared" si="56"/>
        <v>-0.25128834750000001</v>
      </c>
      <c r="P195" s="856" t="b">
        <f t="shared" si="80"/>
        <v>1</v>
      </c>
      <c r="Q195" s="857">
        <f>COUNTIF(P$2:P195, TRUE)/(COUNTIF(P$2:P195,FALSE) + COUNTIF(P$2:P195, TRUE))</f>
        <v>0.48969072164948452</v>
      </c>
      <c r="R195" s="855">
        <v>257529.17</v>
      </c>
      <c r="S195" s="855">
        <f t="shared" si="81"/>
        <v>65415.949999999983</v>
      </c>
      <c r="T195" s="855"/>
      <c r="U195" s="855"/>
      <c r="V195" s="857">
        <f>STDEV(D$2:D195)*SQRT(252)</f>
        <v>0.18055323575964988</v>
      </c>
      <c r="W195" s="857">
        <f>STDEV(L$2:L195)*SQRT(252)</f>
        <v>0.38495329027119468</v>
      </c>
      <c r="X195" s="826">
        <f t="shared" si="63"/>
        <v>-0.18693998622329316</v>
      </c>
      <c r="Y195" s="826">
        <f t="shared" si="64"/>
        <v>-0.65277620389468705</v>
      </c>
      <c r="Z195" s="832">
        <f t="shared" si="65"/>
        <v>-0.16676250203002221</v>
      </c>
    </row>
    <row r="196" spans="1:26" ht="20.100000000000001" customHeight="1" x14ac:dyDescent="0.2">
      <c r="A196" s="801">
        <f t="shared" si="55"/>
        <v>281</v>
      </c>
      <c r="B196" s="849">
        <v>42514</v>
      </c>
      <c r="C196" s="850">
        <v>2076.06</v>
      </c>
      <c r="D196" s="817">
        <f t="shared" si="82"/>
        <v>1.3681373410675565E-2</v>
      </c>
      <c r="E196" s="851">
        <f t="shared" si="75"/>
        <v>-1.2547325964117933E-2</v>
      </c>
      <c r="F196" s="852">
        <v>4861.05</v>
      </c>
      <c r="G196" s="817">
        <f t="shared" si="76"/>
        <v>1.9990431786612146E-2</v>
      </c>
      <c r="H196" s="853">
        <f t="shared" si="77"/>
        <v>-4.5299212443780983E-2</v>
      </c>
      <c r="I196" s="854">
        <v>324441.06</v>
      </c>
      <c r="J196" s="855">
        <v>400000</v>
      </c>
      <c r="K196" s="855">
        <f t="shared" si="78"/>
        <v>1495.9400000000023</v>
      </c>
      <c r="L196" s="817">
        <f t="shared" ref="L196:L219" si="83">K196/I195</f>
        <v>4.6321802292600125E-3</v>
      </c>
      <c r="M196" s="856">
        <f t="shared" si="79"/>
        <v>-75558.94</v>
      </c>
      <c r="N196" s="857">
        <f t="shared" si="74"/>
        <v>-0.18889735000000002</v>
      </c>
      <c r="O196" s="811">
        <f t="shared" si="56"/>
        <v>-0.24553294337188614</v>
      </c>
      <c r="P196" s="856" t="b">
        <f t="shared" si="80"/>
        <v>0</v>
      </c>
      <c r="Q196" s="857">
        <f>COUNTIF(P$2:P196, TRUE)/(COUNTIF(P$2:P196,FALSE) + COUNTIF(P$2:P196, TRUE))</f>
        <v>0.48717948717948717</v>
      </c>
      <c r="R196" s="855">
        <v>256296.81</v>
      </c>
      <c r="S196" s="855">
        <f t="shared" si="81"/>
        <v>68144.25</v>
      </c>
      <c r="T196" s="855"/>
      <c r="U196" s="855"/>
      <c r="V196" s="857">
        <f>STDEV(D$2:D196)*SQRT(252)</f>
        <v>0.18076572452731524</v>
      </c>
      <c r="W196" s="857">
        <f>STDEV(L$2:L196)*SQRT(252)</f>
        <v>0.38399644388523335</v>
      </c>
      <c r="X196" s="826">
        <f t="shared" si="63"/>
        <v>-9.0223360516614573E-2</v>
      </c>
      <c r="Y196" s="826">
        <f t="shared" si="64"/>
        <v>-0.63941462813460226</v>
      </c>
      <c r="Z196" s="832">
        <f t="shared" si="65"/>
        <v>-0.1763500240358821</v>
      </c>
    </row>
    <row r="197" spans="1:26" ht="20.100000000000001" customHeight="1" x14ac:dyDescent="0.2">
      <c r="A197" s="801">
        <f t="shared" si="55"/>
        <v>282</v>
      </c>
      <c r="B197" s="849">
        <v>42515</v>
      </c>
      <c r="C197" s="850">
        <v>2090.54</v>
      </c>
      <c r="D197" s="817">
        <f t="shared" si="82"/>
        <v>6.9747502480660573E-3</v>
      </c>
      <c r="E197" s="851">
        <f t="shared" si="75"/>
        <v>-5.6600901809326738E-3</v>
      </c>
      <c r="F197" s="852">
        <v>4894.8900000000003</v>
      </c>
      <c r="G197" s="817">
        <f t="shared" si="76"/>
        <v>6.9614589440553263E-3</v>
      </c>
      <c r="H197" s="853">
        <f t="shared" si="77"/>
        <v>-3.8653102107351081E-2</v>
      </c>
      <c r="I197" s="854">
        <v>329556.86</v>
      </c>
      <c r="J197" s="855">
        <v>400000</v>
      </c>
      <c r="K197" s="855">
        <f t="shared" si="78"/>
        <v>5115.7999999999884</v>
      </c>
      <c r="L197" s="817">
        <f t="shared" si="83"/>
        <v>1.5768041196758474E-2</v>
      </c>
      <c r="M197" s="856">
        <f t="shared" si="79"/>
        <v>-70443.140000000014</v>
      </c>
      <c r="N197" s="857">
        <f t="shared" si="74"/>
        <v>-0.17610785000000004</v>
      </c>
      <c r="O197" s="811">
        <f t="shared" si="56"/>
        <v>-0.22809713550531921</v>
      </c>
      <c r="P197" s="856" t="b">
        <f t="shared" si="80"/>
        <v>1</v>
      </c>
      <c r="Q197" s="857">
        <f>COUNTIF(P$2:P197, TRUE)/(COUNTIF(P$2:P197,FALSE) + COUNTIF(P$2:P197, TRUE))</f>
        <v>0.48979591836734693</v>
      </c>
      <c r="R197" s="855">
        <v>253103.72</v>
      </c>
      <c r="S197" s="855">
        <f t="shared" si="81"/>
        <v>76453.139999999985</v>
      </c>
      <c r="T197" s="855"/>
      <c r="U197" s="855"/>
      <c r="V197" s="857">
        <f>STDEV(D$2:D197)*SQRT(252)</f>
        <v>0.18047351369657114</v>
      </c>
      <c r="W197" s="857">
        <f>STDEV(L$2:L197)*SQRT(252)</f>
        <v>0.38344132562048239</v>
      </c>
      <c r="X197" s="826">
        <f t="shared" si="63"/>
        <v>-4.0621035788885831E-2</v>
      </c>
      <c r="Y197" s="826">
        <f t="shared" si="64"/>
        <v>-0.59486841992373629</v>
      </c>
      <c r="Z197" s="832">
        <f t="shared" si="65"/>
        <v>-0.17044775981906737</v>
      </c>
    </row>
    <row r="198" spans="1:26" ht="20.100000000000001" customHeight="1" x14ac:dyDescent="0.2">
      <c r="A198" s="801">
        <f t="shared" si="55"/>
        <v>283</v>
      </c>
      <c r="B198" s="849">
        <v>42516</v>
      </c>
      <c r="C198" s="850">
        <v>2090.1</v>
      </c>
      <c r="D198" s="817">
        <f t="shared" si="82"/>
        <v>-2.1047193548081098E-4</v>
      </c>
      <c r="E198" s="851">
        <f t="shared" si="75"/>
        <v>-5.8693708262781081E-3</v>
      </c>
      <c r="F198" s="852">
        <v>4901.76</v>
      </c>
      <c r="G198" s="817">
        <f t="shared" si="76"/>
        <v>1.4035044709891111E-3</v>
      </c>
      <c r="H198" s="853">
        <f t="shared" si="77"/>
        <v>-3.7303847437987238E-2</v>
      </c>
      <c r="I198" s="854">
        <v>327477.31</v>
      </c>
      <c r="J198" s="855">
        <v>400000</v>
      </c>
      <c r="K198" s="855">
        <f t="shared" si="78"/>
        <v>-2079.5499999999884</v>
      </c>
      <c r="L198" s="817">
        <f t="shared" si="83"/>
        <v>-6.3101402289122083E-3</v>
      </c>
      <c r="M198" s="856">
        <f t="shared" si="79"/>
        <v>-72522.69</v>
      </c>
      <c r="N198" s="857">
        <f t="shared" si="74"/>
        <v>-0.181306725</v>
      </c>
      <c r="O198" s="811">
        <f t="shared" si="56"/>
        <v>-0.23400099401501767</v>
      </c>
      <c r="P198" s="856" t="b">
        <f t="shared" si="80"/>
        <v>0</v>
      </c>
      <c r="Q198" s="857">
        <f>COUNTIF(P$2:P198, TRUE)/(COUNTIF(P$2:P198,FALSE) + COUNTIF(P$2:P198, TRUE))</f>
        <v>0.48730964467005078</v>
      </c>
      <c r="R198" s="855">
        <v>253608.16</v>
      </c>
      <c r="S198" s="855">
        <f t="shared" si="81"/>
        <v>73869.149999999994</v>
      </c>
      <c r="T198" s="855"/>
      <c r="U198" s="855"/>
      <c r="V198" s="857">
        <f>STDEV(D$2:D198)*SQRT(252)</f>
        <v>0.18001038194737823</v>
      </c>
      <c r="W198" s="857">
        <f>STDEV(L$2:L198)*SQRT(252)</f>
        <v>0.38251907030209392</v>
      </c>
      <c r="X198" s="826">
        <f t="shared" si="63"/>
        <v>-4.2082136889396882E-2</v>
      </c>
      <c r="Y198" s="826">
        <f t="shared" si="64"/>
        <v>-0.6117368052531752</v>
      </c>
      <c r="Z198" s="832">
        <f t="shared" si="65"/>
        <v>-0.17543735417372189</v>
      </c>
    </row>
    <row r="199" spans="1:26" ht="20.100000000000001" customHeight="1" x14ac:dyDescent="0.2">
      <c r="A199" s="801">
        <f t="shared" ref="A199:A250" si="84">B199-$B$2</f>
        <v>284</v>
      </c>
      <c r="B199" s="849">
        <v>42517</v>
      </c>
      <c r="C199" s="850">
        <v>2099.06</v>
      </c>
      <c r="D199" s="817">
        <f t="shared" si="82"/>
        <v>4.2868762260179112E-3</v>
      </c>
      <c r="E199" s="851">
        <f t="shared" si="75"/>
        <v>-1.6076558665170512E-3</v>
      </c>
      <c r="F199" s="852">
        <v>4933.5</v>
      </c>
      <c r="G199" s="817">
        <f t="shared" si="76"/>
        <v>6.4752252252251808E-3</v>
      </c>
      <c r="H199" s="853">
        <f t="shared" si="77"/>
        <v>-3.1070173026690462E-2</v>
      </c>
      <c r="I199" s="854">
        <v>327126.28999999998</v>
      </c>
      <c r="J199" s="855">
        <v>400000</v>
      </c>
      <c r="K199" s="855">
        <f t="shared" si="78"/>
        <v>-351.02000000001863</v>
      </c>
      <c r="L199" s="817">
        <f t="shared" si="83"/>
        <v>-1.0718910571239841E-3</v>
      </c>
      <c r="M199" s="856">
        <f t="shared" si="79"/>
        <v>-72873.710000000021</v>
      </c>
      <c r="N199" s="857">
        <f t="shared" si="74"/>
        <v>-0.18218427500000006</v>
      </c>
      <c r="O199" s="811">
        <f t="shared" ref="O199:O262" si="85">N199/(A199/365.25)</f>
        <v>-0.23430565649207752</v>
      </c>
      <c r="P199" s="856" t="b">
        <f t="shared" si="80"/>
        <v>0</v>
      </c>
      <c r="Q199" s="857">
        <f>COUNTIF(P$2:P199, TRUE)/(COUNTIF(P$2:P199,FALSE) + COUNTIF(P$2:P199, TRUE))</f>
        <v>0.48484848484848486</v>
      </c>
      <c r="R199" s="855">
        <v>252103.35</v>
      </c>
      <c r="S199" s="855">
        <f t="shared" si="81"/>
        <v>75022.939999999973</v>
      </c>
      <c r="T199" s="855">
        <v>-82653.611999999514</v>
      </c>
      <c r="U199" s="855">
        <f t="shared" ref="U199:U204" si="86">M199-T199</f>
        <v>9779.9019999994925</v>
      </c>
      <c r="V199" s="857">
        <f>STDEV(D$2:D199)*SQRT(252)</f>
        <v>0.17961500199880534</v>
      </c>
      <c r="W199" s="857">
        <f>STDEV(L$2:L199)*SQRT(252)</f>
        <v>0.38154311840719901</v>
      </c>
      <c r="X199" s="826">
        <f t="shared" si="63"/>
        <v>-1.1511246839599219E-2</v>
      </c>
      <c r="Y199" s="826">
        <f t="shared" si="64"/>
        <v>-0.61410007201864025</v>
      </c>
      <c r="Z199" s="832">
        <f t="shared" si="65"/>
        <v>-0.18057661913348302</v>
      </c>
    </row>
    <row r="200" spans="1:26" ht="20.100000000000001" customHeight="1" x14ac:dyDescent="0.2">
      <c r="A200" s="801">
        <f t="shared" si="84"/>
        <v>288</v>
      </c>
      <c r="B200" s="820">
        <v>42521</v>
      </c>
      <c r="C200" s="845">
        <v>2096.9499999999998</v>
      </c>
      <c r="D200" s="817">
        <f t="shared" si="82"/>
        <v>-1.0052118567359328E-3</v>
      </c>
      <c r="E200" s="844">
        <f t="shared" si="75"/>
        <v>-2.6112516885144102E-3</v>
      </c>
      <c r="F200" s="841">
        <v>4948.05</v>
      </c>
      <c r="G200" s="817">
        <f t="shared" si="76"/>
        <v>2.9492246883551601E-3</v>
      </c>
      <c r="H200" s="822">
        <f t="shared" si="77"/>
        <v>-2.8212581259697084E-2</v>
      </c>
      <c r="I200" s="847">
        <v>330773</v>
      </c>
      <c r="J200" s="825">
        <v>400000</v>
      </c>
      <c r="K200" s="825">
        <f t="shared" si="78"/>
        <v>3646.710000000021</v>
      </c>
      <c r="L200" s="817">
        <f t="shared" si="83"/>
        <v>1.1147713013221962E-2</v>
      </c>
      <c r="M200" s="842">
        <f t="shared" si="79"/>
        <v>-69227</v>
      </c>
      <c r="N200" s="827">
        <f t="shared" si="74"/>
        <v>-0.17306750000000001</v>
      </c>
      <c r="O200" s="811">
        <f t="shared" si="85"/>
        <v>-0.21948925130208335</v>
      </c>
      <c r="P200" s="842" t="b">
        <f t="shared" si="80"/>
        <v>1</v>
      </c>
      <c r="Q200" s="827">
        <f>COUNTIF(P$2:P200, TRUE)/(COUNTIF(P$2:P200,FALSE) + COUNTIF(P$2:P200, TRUE))</f>
        <v>0.48743718592964824</v>
      </c>
      <c r="R200" s="825">
        <v>253849.33</v>
      </c>
      <c r="S200" s="825">
        <f t="shared" si="81"/>
        <v>76923.670000000013</v>
      </c>
      <c r="T200" s="825">
        <v>-78775</v>
      </c>
      <c r="U200" s="825">
        <f t="shared" si="86"/>
        <v>9548</v>
      </c>
      <c r="V200" s="827">
        <f>STDEV(D$2:D200)*SQRT(252)</f>
        <v>0.17916254338672621</v>
      </c>
      <c r="W200" s="827">
        <f>STDEV(L$2:L200)*SQRT(252)</f>
        <v>0.38079113185082497</v>
      </c>
      <c r="X200" s="826">
        <f t="shared" si="63"/>
        <v>-1.8484140101389691E-2</v>
      </c>
      <c r="Y200" s="826">
        <f t="shared" si="64"/>
        <v>-0.57640326400266151</v>
      </c>
      <c r="Z200" s="832">
        <f t="shared" si="65"/>
        <v>-0.17045624831148559</v>
      </c>
    </row>
    <row r="201" spans="1:26" ht="20.100000000000001" customHeight="1" x14ac:dyDescent="0.2">
      <c r="A201" s="801">
        <f t="shared" si="84"/>
        <v>289</v>
      </c>
      <c r="B201" s="820">
        <v>42522</v>
      </c>
      <c r="C201" s="845">
        <v>2099.33</v>
      </c>
      <c r="D201" s="817">
        <f t="shared" si="82"/>
        <v>1.1349817592217789E-3</v>
      </c>
      <c r="E201" s="844">
        <f t="shared" si="75"/>
        <v>-1.4792336523278321E-3</v>
      </c>
      <c r="F201" s="841">
        <v>4952.25</v>
      </c>
      <c r="G201" s="817">
        <f t="shared" si="76"/>
        <v>8.4881923181855839E-4</v>
      </c>
      <c r="H201" s="822">
        <f t="shared" si="77"/>
        <v>-2.7387709409430999E-2</v>
      </c>
      <c r="I201" s="824">
        <v>334317.64</v>
      </c>
      <c r="J201" s="825">
        <v>400000</v>
      </c>
      <c r="K201" s="825">
        <f t="shared" si="78"/>
        <v>3544.640000000014</v>
      </c>
      <c r="L201" s="817">
        <f t="shared" si="83"/>
        <v>1.0716231373177417E-2</v>
      </c>
      <c r="M201" s="842">
        <f t="shared" si="79"/>
        <v>-65682.359999999986</v>
      </c>
      <c r="N201" s="827">
        <f t="shared" si="74"/>
        <v>-0.16420589999999996</v>
      </c>
      <c r="O201" s="811">
        <f t="shared" si="85"/>
        <v>-0.20753012102076121</v>
      </c>
      <c r="P201" s="842" t="b">
        <f t="shared" si="80"/>
        <v>1</v>
      </c>
      <c r="Q201" s="827">
        <f>COUNTIF(P$2:P201, TRUE)/(COUNTIF(P$2:P201,FALSE) + COUNTIF(P$2:P201, TRUE))</f>
        <v>0.49</v>
      </c>
      <c r="R201" s="825">
        <v>248634.19</v>
      </c>
      <c r="S201" s="825">
        <f t="shared" si="81"/>
        <v>85683.450000000012</v>
      </c>
      <c r="T201" s="825">
        <v>-75736.72</v>
      </c>
      <c r="U201" s="825">
        <f t="shared" si="86"/>
        <v>10054.360000000015</v>
      </c>
      <c r="V201" s="827">
        <f>STDEV(D$2:D201)*SQRT(252)</f>
        <v>0.17871370889489749</v>
      </c>
      <c r="W201" s="827">
        <f>STDEV(L$2:L201)*SQRT(252)</f>
        <v>0.3800270839694988</v>
      </c>
      <c r="X201" s="826">
        <f t="shared" si="63"/>
        <v>-1.0460953998144656E-2</v>
      </c>
      <c r="Y201" s="826">
        <f t="shared" si="64"/>
        <v>-0.54609297540860979</v>
      </c>
      <c r="Z201" s="832">
        <f t="shared" si="65"/>
        <v>-0.16272666634767213</v>
      </c>
    </row>
    <row r="202" spans="1:26" ht="20.100000000000001" customHeight="1" x14ac:dyDescent="0.2">
      <c r="A202" s="801">
        <f t="shared" si="84"/>
        <v>290</v>
      </c>
      <c r="B202" s="820">
        <v>42523</v>
      </c>
      <c r="C202" s="845">
        <v>2105.2600000000002</v>
      </c>
      <c r="D202" s="817">
        <f t="shared" si="82"/>
        <v>2.8247107410460915E-3</v>
      </c>
      <c r="E202" s="844">
        <f t="shared" si="75"/>
        <v>1.3412986815320121E-3</v>
      </c>
      <c r="F202" s="841">
        <v>4971.3599999999997</v>
      </c>
      <c r="G202" s="817">
        <f t="shared" si="76"/>
        <v>3.8588520369528339E-3</v>
      </c>
      <c r="H202" s="822">
        <f t="shared" si="77"/>
        <v>-2.3634542490720223E-2</v>
      </c>
      <c r="I202" s="824">
        <v>335688.99</v>
      </c>
      <c r="J202" s="825">
        <v>400000</v>
      </c>
      <c r="K202" s="825">
        <f t="shared" si="78"/>
        <v>1371.3499999999767</v>
      </c>
      <c r="L202" s="817">
        <f t="shared" si="83"/>
        <v>4.1019373072864974E-3</v>
      </c>
      <c r="M202" s="842">
        <f t="shared" si="79"/>
        <v>-64311.010000000009</v>
      </c>
      <c r="N202" s="827">
        <f t="shared" si="74"/>
        <v>-0.16077752500000003</v>
      </c>
      <c r="O202" s="811">
        <f t="shared" si="85"/>
        <v>-0.20249652071120694</v>
      </c>
      <c r="P202" s="842" t="b">
        <f t="shared" si="80"/>
        <v>1</v>
      </c>
      <c r="Q202" s="827">
        <f>COUNTIF(P$2:P202, TRUE)/(COUNTIF(P$2:P202,FALSE) + COUNTIF(P$2:P202, TRUE))</f>
        <v>0.4925373134328358</v>
      </c>
      <c r="R202" s="825">
        <v>250005.54</v>
      </c>
      <c r="S202" s="825">
        <f t="shared" si="81"/>
        <v>85683.449999999983</v>
      </c>
      <c r="T202" s="825">
        <v>-74052.52</v>
      </c>
      <c r="U202" s="825">
        <f t="shared" si="86"/>
        <v>9741.5099999999948</v>
      </c>
      <c r="V202" s="827">
        <f>STDEV(D$2:D202)*SQRT(252)</f>
        <v>0.17829120938366202</v>
      </c>
      <c r="W202" s="827">
        <f>STDEV(L$2:L202)*SQRT(252)</f>
        <v>0.37910108221879157</v>
      </c>
      <c r="X202" s="826">
        <f t="shared" si="63"/>
        <v>9.475187079554569E-3</v>
      </c>
      <c r="Y202" s="826">
        <f t="shared" si="64"/>
        <v>-0.53414914968335436</v>
      </c>
      <c r="Z202" s="832">
        <f t="shared" si="65"/>
        <v>-0.16211882368153205</v>
      </c>
    </row>
    <row r="203" spans="1:26" ht="20.100000000000001" customHeight="1" x14ac:dyDescent="0.2">
      <c r="A203" s="801">
        <f t="shared" si="84"/>
        <v>291</v>
      </c>
      <c r="B203" s="820">
        <v>42524</v>
      </c>
      <c r="C203" s="845">
        <v>2099.13</v>
      </c>
      <c r="D203" s="817">
        <f t="shared" si="82"/>
        <v>-2.911754367631603E-3</v>
      </c>
      <c r="E203" s="844">
        <f t="shared" si="75"/>
        <v>-1.5743612183938402E-3</v>
      </c>
      <c r="F203" s="841">
        <v>4942.51</v>
      </c>
      <c r="G203" s="817">
        <f t="shared" si="76"/>
        <v>-5.8032409642430755E-3</v>
      </c>
      <c r="H203" s="822">
        <f t="shared" si="77"/>
        <v>-2.9300626509810006E-2</v>
      </c>
      <c r="I203" s="824">
        <v>333931.11</v>
      </c>
      <c r="J203" s="825">
        <v>400000</v>
      </c>
      <c r="K203" s="825">
        <f t="shared" si="78"/>
        <v>-1757.8800000000047</v>
      </c>
      <c r="L203" s="817">
        <f t="shared" si="83"/>
        <v>-5.2366328725884179E-3</v>
      </c>
      <c r="M203" s="842">
        <f t="shared" si="79"/>
        <v>-66068.890000000014</v>
      </c>
      <c r="N203" s="827">
        <f t="shared" si="74"/>
        <v>-0.16517222500000003</v>
      </c>
      <c r="O203" s="811">
        <f t="shared" si="85"/>
        <v>-0.20731668447164953</v>
      </c>
      <c r="P203" s="842" t="b">
        <f t="shared" si="80"/>
        <v>0</v>
      </c>
      <c r="Q203" s="827">
        <f>COUNTIF(P$2:P203, TRUE)/(COUNTIF(P$2:P203,FALSE) + COUNTIF(P$2:P203, TRUE))</f>
        <v>0.49009900990099009</v>
      </c>
      <c r="R203" s="825">
        <v>260288.76</v>
      </c>
      <c r="S203" s="825">
        <f t="shared" si="81"/>
        <v>73642.349999999977</v>
      </c>
      <c r="T203" s="825">
        <v>-75134.75</v>
      </c>
      <c r="U203" s="825">
        <f t="shared" si="86"/>
        <v>9065.859999999986</v>
      </c>
      <c r="V203" s="827">
        <f>STDEV(D$2:D203)*SQRT(252)</f>
        <v>0.17787624865882645</v>
      </c>
      <c r="W203" s="827">
        <f>STDEV(L$2:L203)*SQRT(252)</f>
        <v>0.37819539294836535</v>
      </c>
      <c r="X203" s="826">
        <f t="shared" si="63"/>
        <v>-1.1109222293049436E-2</v>
      </c>
      <c r="Y203" s="826">
        <f t="shared" si="64"/>
        <v>-0.54817347946899575</v>
      </c>
      <c r="Z203" s="832">
        <f t="shared" si="65"/>
        <v>-0.16359786378160621</v>
      </c>
    </row>
    <row r="204" spans="1:26" ht="20.100000000000001" customHeight="1" x14ac:dyDescent="0.2">
      <c r="A204" s="801">
        <f t="shared" si="84"/>
        <v>294</v>
      </c>
      <c r="B204" s="849">
        <v>42527</v>
      </c>
      <c r="C204" s="850">
        <v>2109.41</v>
      </c>
      <c r="D204" s="817">
        <f t="shared" si="82"/>
        <v>4.8972669629797792E-3</v>
      </c>
      <c r="E204" s="851">
        <f t="shared" si="75"/>
        <v>3.3151956774033027E-3</v>
      </c>
      <c r="F204" s="852">
        <v>4968.71</v>
      </c>
      <c r="G204" s="817">
        <f t="shared" si="76"/>
        <v>5.300950326858179E-3</v>
      </c>
      <c r="H204" s="853">
        <f t="shared" si="77"/>
        <v>-2.4154997348626153E-2</v>
      </c>
      <c r="I204" s="854">
        <v>340934.25</v>
      </c>
      <c r="J204" s="855">
        <v>400000</v>
      </c>
      <c r="K204" s="855">
        <f t="shared" si="78"/>
        <v>7003.140000000014</v>
      </c>
      <c r="L204" s="817">
        <f t="shared" si="83"/>
        <v>2.0971810622855757E-2</v>
      </c>
      <c r="M204" s="856">
        <f t="shared" si="79"/>
        <v>-59065.75</v>
      </c>
      <c r="N204" s="857">
        <f t="shared" si="74"/>
        <v>-0.14766437499999999</v>
      </c>
      <c r="O204" s="811">
        <f t="shared" si="85"/>
        <v>-0.18345038424744894</v>
      </c>
      <c r="P204" s="856" t="b">
        <f t="shared" si="80"/>
        <v>1</v>
      </c>
      <c r="Q204" s="857">
        <f>COUNTIF(P$2:P204, TRUE)/(COUNTIF(P$2:P204,FALSE) + COUNTIF(P$2:P204, TRUE))</f>
        <v>0.49261083743842365</v>
      </c>
      <c r="R204" s="855">
        <v>226096.58</v>
      </c>
      <c r="S204" s="855">
        <f t="shared" si="81"/>
        <v>114837.67000000001</v>
      </c>
      <c r="T204" s="855">
        <v>-68552.800000000003</v>
      </c>
      <c r="U204" s="855">
        <f t="shared" si="86"/>
        <v>9487.0500000000029</v>
      </c>
      <c r="V204" s="857">
        <f>STDEV(D$2:D204)*SQRT(252)</f>
        <v>0.17751563901521938</v>
      </c>
      <c r="W204" s="857">
        <f>STDEV(L$2:L204)*SQRT(252)</f>
        <v>0.3779906391006832</v>
      </c>
      <c r="X204" s="826">
        <f t="shared" si="63"/>
        <v>2.3201466778432319E-2</v>
      </c>
      <c r="Y204" s="826">
        <f t="shared" si="64"/>
        <v>-0.48533049570728737</v>
      </c>
      <c r="Z204" s="832">
        <f t="shared" si="65"/>
        <v>-0.15097957067740328</v>
      </c>
    </row>
    <row r="205" spans="1:26" ht="20.100000000000001" customHeight="1" x14ac:dyDescent="0.2">
      <c r="A205" s="801">
        <f t="shared" si="84"/>
        <v>295</v>
      </c>
      <c r="B205" s="849">
        <v>42528</v>
      </c>
      <c r="C205" s="850">
        <v>2112.13</v>
      </c>
      <c r="D205" s="817">
        <f t="shared" si="82"/>
        <v>1.289460085995731E-3</v>
      </c>
      <c r="E205" s="851">
        <f t="shared" si="75"/>
        <v>4.6089305759023109E-3</v>
      </c>
      <c r="F205" s="852">
        <v>4961.75</v>
      </c>
      <c r="G205" s="817">
        <f t="shared" si="76"/>
        <v>-1.4007659935878802E-3</v>
      </c>
      <c r="H205" s="853">
        <f t="shared" si="77"/>
        <v>-2.5521927843352873E-2</v>
      </c>
      <c r="I205" s="854">
        <v>347691.97</v>
      </c>
      <c r="J205" s="855">
        <v>400000</v>
      </c>
      <c r="K205" s="855">
        <f t="shared" si="78"/>
        <v>6757.7199999999721</v>
      </c>
      <c r="L205" s="817">
        <f t="shared" si="83"/>
        <v>1.9821182530062532E-2</v>
      </c>
      <c r="M205" s="856">
        <f t="shared" si="79"/>
        <v>-52308.030000000028</v>
      </c>
      <c r="N205" s="857">
        <f t="shared" si="74"/>
        <v>-0.13077007500000007</v>
      </c>
      <c r="O205" s="811">
        <f t="shared" si="85"/>
        <v>-0.16191108438559329</v>
      </c>
      <c r="P205" s="856" t="b">
        <f t="shared" si="80"/>
        <v>1</v>
      </c>
      <c r="Q205" s="857">
        <f>COUNTIF(P$2:P205, TRUE)/(COUNTIF(P$2:P205,FALSE) + COUNTIF(P$2:P205, TRUE))</f>
        <v>0.49509803921568629</v>
      </c>
      <c r="R205" s="855">
        <v>221341.46</v>
      </c>
      <c r="S205" s="855">
        <f t="shared" si="81"/>
        <v>126350.50999999998</v>
      </c>
      <c r="T205" s="855">
        <v>-62220.480000000003</v>
      </c>
      <c r="U205" s="855">
        <f t="shared" ref="U205:U236" si="87">M205-T205</f>
        <v>9912.4499999999753</v>
      </c>
      <c r="V205" s="857">
        <f>STDEV(D$2:D205)*SQRT(252)</f>
        <v>0.1770808372915795</v>
      </c>
      <c r="W205" s="857">
        <f>STDEV(L$2:L205)*SQRT(252)</f>
        <v>0.37770326655936998</v>
      </c>
      <c r="X205" s="826">
        <f t="shared" si="63"/>
        <v>3.2225288066093413E-2</v>
      </c>
      <c r="Y205" s="826">
        <f t="shared" si="64"/>
        <v>-0.42867271406068974</v>
      </c>
      <c r="Z205" s="832">
        <f t="shared" si="65"/>
        <v>-0.13537900557590238</v>
      </c>
    </row>
    <row r="206" spans="1:26" ht="20.100000000000001" customHeight="1" x14ac:dyDescent="0.2">
      <c r="A206" s="801">
        <f t="shared" si="84"/>
        <v>296</v>
      </c>
      <c r="B206" s="849">
        <v>42529</v>
      </c>
      <c r="C206" s="850">
        <v>2119.12</v>
      </c>
      <c r="D206" s="817">
        <f t="shared" si="82"/>
        <v>3.3094553839014555E-3</v>
      </c>
      <c r="E206" s="851">
        <f t="shared" si="75"/>
        <v>7.9336390099122144E-3</v>
      </c>
      <c r="F206" s="852">
        <v>4974.6400000000003</v>
      </c>
      <c r="G206" s="817">
        <f t="shared" si="76"/>
        <v>2.5978737340656677E-3</v>
      </c>
      <c r="H206" s="853">
        <f t="shared" si="77"/>
        <v>-2.2990356855274171E-2</v>
      </c>
      <c r="I206" s="854">
        <v>345415.56</v>
      </c>
      <c r="J206" s="855">
        <v>400000</v>
      </c>
      <c r="K206" s="855">
        <f t="shared" si="78"/>
        <v>-2276.4099999999744</v>
      </c>
      <c r="L206" s="817">
        <f t="shared" si="83"/>
        <v>-6.5472032615535372E-3</v>
      </c>
      <c r="M206" s="856">
        <f t="shared" si="79"/>
        <v>-54584.44</v>
      </c>
      <c r="N206" s="857">
        <f t="shared" si="74"/>
        <v>-0.1364611</v>
      </c>
      <c r="O206" s="811">
        <f t="shared" si="85"/>
        <v>-0.16838654315878379</v>
      </c>
      <c r="P206" s="856" t="b">
        <f t="shared" si="80"/>
        <v>0</v>
      </c>
      <c r="Q206" s="857">
        <f>COUNTIF(P$2:P206, TRUE)/(COUNTIF(P$2:P206,FALSE) + COUNTIF(P$2:P206, TRUE))</f>
        <v>0.49268292682926829</v>
      </c>
      <c r="R206" s="855">
        <v>224599.69</v>
      </c>
      <c r="S206" s="855">
        <f t="shared" si="81"/>
        <v>120815.87</v>
      </c>
      <c r="T206" s="855">
        <v>-64591.5</v>
      </c>
      <c r="U206" s="855">
        <f t="shared" si="87"/>
        <v>10007.059999999998</v>
      </c>
      <c r="V206" s="857">
        <f>STDEV(D$2:D206)*SQRT(252)</f>
        <v>0.1766804976423699</v>
      </c>
      <c r="W206" s="857">
        <f>STDEV(L$2:L206)*SQRT(252)</f>
        <v>0.37684312307903423</v>
      </c>
      <c r="X206" s="826">
        <f t="shared" si="63"/>
        <v>5.5409258119505582E-2</v>
      </c>
      <c r="Y206" s="826">
        <f t="shared" si="64"/>
        <v>-0.44683459202589337</v>
      </c>
      <c r="Z206" s="832">
        <f t="shared" si="65"/>
        <v>-0.1443947390099122</v>
      </c>
    </row>
    <row r="207" spans="1:26" ht="20.100000000000001" customHeight="1" x14ac:dyDescent="0.2">
      <c r="A207" s="801">
        <f t="shared" si="84"/>
        <v>297</v>
      </c>
      <c r="B207" s="849">
        <v>42530</v>
      </c>
      <c r="C207" s="850">
        <v>2115.48</v>
      </c>
      <c r="D207" s="817">
        <f t="shared" si="82"/>
        <v>-1.7176941371889619E-3</v>
      </c>
      <c r="E207" s="851">
        <f t="shared" si="75"/>
        <v>6.2023173075093528E-3</v>
      </c>
      <c r="F207" s="852">
        <v>4958.6099999999997</v>
      </c>
      <c r="G207" s="817">
        <f t="shared" si="76"/>
        <v>-3.2223437273854296E-3</v>
      </c>
      <c r="H207" s="853">
        <f t="shared" si="77"/>
        <v>-2.6138617750456655E-2</v>
      </c>
      <c r="I207" s="854">
        <v>343338.01</v>
      </c>
      <c r="J207" s="855">
        <v>400000</v>
      </c>
      <c r="K207" s="855">
        <f t="shared" si="78"/>
        <v>-2077.5499999999884</v>
      </c>
      <c r="L207" s="817">
        <f t="shared" si="83"/>
        <v>-6.0146392941881031E-3</v>
      </c>
      <c r="M207" s="856">
        <f t="shared" si="79"/>
        <v>-56661.989999999991</v>
      </c>
      <c r="N207" s="857">
        <f t="shared" si="74"/>
        <v>-0.14165497499999999</v>
      </c>
      <c r="O207" s="811">
        <f t="shared" si="85"/>
        <v>-0.17420700208333334</v>
      </c>
      <c r="P207" s="856" t="b">
        <f t="shared" si="80"/>
        <v>0</v>
      </c>
      <c r="Q207" s="857">
        <f>COUNTIF(P$2:P207, TRUE)/(COUNTIF(P$2:P207,FALSE) + COUNTIF(P$2:P207, TRUE))</f>
        <v>0.49029126213592233</v>
      </c>
      <c r="R207" s="855">
        <v>224600.69</v>
      </c>
      <c r="S207" s="855">
        <f t="shared" si="81"/>
        <v>118737.32</v>
      </c>
      <c r="T207" s="855">
        <v>-66856.5</v>
      </c>
      <c r="U207" s="855">
        <f t="shared" si="87"/>
        <v>10194.510000000009</v>
      </c>
      <c r="V207" s="857">
        <f>STDEV(D$2:D207)*SQRT(252)</f>
        <v>0.17625845275295093</v>
      </c>
      <c r="W207" s="857">
        <f>STDEV(L$2:L207)*SQRT(252)</f>
        <v>0.37597781518957712</v>
      </c>
      <c r="X207" s="826">
        <f t="shared" si="63"/>
        <v>4.3275072348059891E-2</v>
      </c>
      <c r="Y207" s="826">
        <f t="shared" si="64"/>
        <v>-0.46334383318732236</v>
      </c>
      <c r="Z207" s="832">
        <f t="shared" si="65"/>
        <v>-0.14785729230750935</v>
      </c>
    </row>
    <row r="208" spans="1:26" ht="20.100000000000001" customHeight="1" x14ac:dyDescent="0.2">
      <c r="A208" s="801">
        <f t="shared" si="84"/>
        <v>298</v>
      </c>
      <c r="B208" s="849">
        <v>42531</v>
      </c>
      <c r="C208" s="850">
        <v>2096.0700000000002</v>
      </c>
      <c r="D208" s="817">
        <f t="shared" si="82"/>
        <v>-9.1752226445061431E-3</v>
      </c>
      <c r="E208" s="851">
        <f t="shared" si="75"/>
        <v>-3.0298129792050619E-3</v>
      </c>
      <c r="F208" s="852">
        <v>4894.54</v>
      </c>
      <c r="G208" s="817">
        <f t="shared" si="76"/>
        <v>-1.2920959704433242E-2</v>
      </c>
      <c r="H208" s="853">
        <f t="shared" si="77"/>
        <v>-3.8721841428206664E-2</v>
      </c>
      <c r="I208" s="854">
        <v>332939.06</v>
      </c>
      <c r="J208" s="855">
        <v>400000</v>
      </c>
      <c r="K208" s="855">
        <f t="shared" si="78"/>
        <v>-10398.950000000012</v>
      </c>
      <c r="L208" s="817">
        <f t="shared" si="83"/>
        <v>-3.0287791322609493E-2</v>
      </c>
      <c r="M208" s="856">
        <f t="shared" si="79"/>
        <v>-67060.94</v>
      </c>
      <c r="N208" s="857">
        <f t="shared" si="74"/>
        <v>-0.16765235000000001</v>
      </c>
      <c r="O208" s="811">
        <f t="shared" si="85"/>
        <v>-0.20548664710570469</v>
      </c>
      <c r="P208" s="856" t="b">
        <f t="shared" si="80"/>
        <v>0</v>
      </c>
      <c r="Q208" s="857">
        <f>COUNTIF(P$2:P208, TRUE)/(COUNTIF(P$2:P208,FALSE) + COUNTIF(P$2:P208, TRUE))</f>
        <v>0.48792270531400966</v>
      </c>
      <c r="R208" s="855">
        <v>258667.11</v>
      </c>
      <c r="S208" s="855">
        <f t="shared" si="81"/>
        <v>74271.950000000012</v>
      </c>
      <c r="T208" s="855">
        <v>-76706.92</v>
      </c>
      <c r="U208" s="855">
        <f t="shared" si="87"/>
        <v>9645.9799999999959</v>
      </c>
      <c r="V208" s="857">
        <f>STDEV(D$2:D208)*SQRT(252)</f>
        <v>0.17612650252391751</v>
      </c>
      <c r="W208" s="857">
        <f>STDEV(L$2:L208)*SQRT(252)</f>
        <v>0.37655142178170292</v>
      </c>
      <c r="X208" s="826">
        <f t="shared" si="63"/>
        <v>-2.1084585669051015E-2</v>
      </c>
      <c r="Y208" s="826">
        <f t="shared" si="64"/>
        <v>-0.54570673543979042</v>
      </c>
      <c r="Z208" s="832">
        <f t="shared" si="65"/>
        <v>-0.16462253702079493</v>
      </c>
    </row>
    <row r="209" spans="1:26" ht="20.100000000000001" customHeight="1" x14ac:dyDescent="0.2">
      <c r="A209" s="801">
        <f t="shared" si="84"/>
        <v>301</v>
      </c>
      <c r="B209" s="820">
        <v>42534</v>
      </c>
      <c r="C209" s="845">
        <v>2079.06</v>
      </c>
      <c r="D209" s="817">
        <f t="shared" si="82"/>
        <v>-8.1151869928009161E-3</v>
      </c>
      <c r="E209" s="844">
        <f t="shared" si="75"/>
        <v>-1.1120412473126515E-2</v>
      </c>
      <c r="F209" s="841">
        <v>4848.4399999999996</v>
      </c>
      <c r="G209" s="817">
        <f t="shared" si="76"/>
        <v>-9.4186583417441398E-3</v>
      </c>
      <c r="H209" s="822">
        <f t="shared" si="77"/>
        <v>-4.7775791975175327E-2</v>
      </c>
      <c r="I209" s="824">
        <v>329797.69</v>
      </c>
      <c r="J209" s="825">
        <v>400000</v>
      </c>
      <c r="K209" s="825">
        <f t="shared" si="78"/>
        <v>-3141.3699999999953</v>
      </c>
      <c r="L209" s="817">
        <f t="shared" si="83"/>
        <v>-9.4352702263290934E-3</v>
      </c>
      <c r="M209" s="842">
        <f t="shared" si="79"/>
        <v>-70202.31</v>
      </c>
      <c r="N209" s="827">
        <f t="shared" si="74"/>
        <v>-0.175505775</v>
      </c>
      <c r="O209" s="811">
        <f t="shared" si="85"/>
        <v>-0.21296838644102989</v>
      </c>
      <c r="P209" s="842" t="b">
        <f t="shared" si="80"/>
        <v>0</v>
      </c>
      <c r="Q209" s="827">
        <f>COUNTIF(P$2:P209, TRUE)/(COUNTIF(P$2:P209,FALSE) + COUNTIF(P$2:P209, TRUE))</f>
        <v>0.48557692307692307</v>
      </c>
      <c r="R209" s="825">
        <v>255528.93</v>
      </c>
      <c r="S209" s="825">
        <f t="shared" si="81"/>
        <v>74268.760000000009</v>
      </c>
      <c r="T209" s="825">
        <v>-78829.440000000002</v>
      </c>
      <c r="U209" s="825">
        <f t="shared" si="87"/>
        <v>8627.1300000000047</v>
      </c>
      <c r="V209" s="827">
        <f>STDEV(D$2:D209)*SQRT(252)</f>
        <v>0.17592912166326158</v>
      </c>
      <c r="W209" s="827">
        <f>STDEV(L$2:L209)*SQRT(252)</f>
        <v>0.3757757250288794</v>
      </c>
      <c r="X209" s="826">
        <f t="shared" si="63"/>
        <v>-7.6702035754639838E-2</v>
      </c>
      <c r="Y209" s="826">
        <f t="shared" si="64"/>
        <v>-0.56674333187611492</v>
      </c>
      <c r="Z209" s="832">
        <f t="shared" si="65"/>
        <v>-0.1643853625268735</v>
      </c>
    </row>
    <row r="210" spans="1:26" ht="20.100000000000001" customHeight="1" x14ac:dyDescent="0.2">
      <c r="A210" s="801">
        <f t="shared" si="84"/>
        <v>302</v>
      </c>
      <c r="B210" s="820">
        <v>42535</v>
      </c>
      <c r="C210" s="845">
        <v>2075.3200000000002</v>
      </c>
      <c r="D210" s="817">
        <f t="shared" si="82"/>
        <v>-1.7988898829277566E-3</v>
      </c>
      <c r="E210" s="844">
        <f t="shared" si="75"/>
        <v>-1.2899297958562379E-2</v>
      </c>
      <c r="F210" s="841">
        <v>4843.55</v>
      </c>
      <c r="G210" s="817">
        <f t="shared" si="76"/>
        <v>-1.0085718292893008E-3</v>
      </c>
      <c r="H210" s="822">
        <f t="shared" si="77"/>
        <v>-4.8736178486556481E-2</v>
      </c>
      <c r="I210" s="824">
        <v>327192.19</v>
      </c>
      <c r="J210" s="825">
        <v>400000</v>
      </c>
      <c r="K210" s="825">
        <f t="shared" si="78"/>
        <v>-2605.5</v>
      </c>
      <c r="L210" s="817">
        <f t="shared" si="83"/>
        <v>-7.9002979068773949E-3</v>
      </c>
      <c r="M210" s="842">
        <f t="shared" si="79"/>
        <v>-72807.81</v>
      </c>
      <c r="N210" s="827">
        <f t="shared" si="74"/>
        <v>-0.18201952499999999</v>
      </c>
      <c r="O210" s="811">
        <f t="shared" si="85"/>
        <v>-0.22014116392798011</v>
      </c>
      <c r="P210" s="842" t="b">
        <f t="shared" si="80"/>
        <v>0</v>
      </c>
      <c r="Q210" s="827">
        <f>COUNTIF(P$2:P210, TRUE)/(COUNTIF(P$2:P210,FALSE) + COUNTIF(P$2:P210, TRUE))</f>
        <v>0.48325358851674644</v>
      </c>
      <c r="R210" s="825">
        <v>272585.19</v>
      </c>
      <c r="S210" s="825">
        <f t="shared" si="81"/>
        <v>54607</v>
      </c>
      <c r="T210" s="825">
        <v>-80356</v>
      </c>
      <c r="U210" s="825">
        <f t="shared" si="87"/>
        <v>7548.1900000000023</v>
      </c>
      <c r="V210" s="827">
        <f>STDEV(D$2:D210)*SQRT(252)</f>
        <v>0.17551491583407813</v>
      </c>
      <c r="W210" s="827">
        <f>STDEV(L$2:L210)*SQRT(252)</f>
        <v>0.37496263559037396</v>
      </c>
      <c r="X210" s="826">
        <f t="shared" si="63"/>
        <v>-8.8886401828056558E-2</v>
      </c>
      <c r="Y210" s="826">
        <f t="shared" si="64"/>
        <v>-0.58710160168724712</v>
      </c>
      <c r="Z210" s="832">
        <f t="shared" si="65"/>
        <v>-0.16912022704143762</v>
      </c>
    </row>
    <row r="211" spans="1:26" ht="20.100000000000001" customHeight="1" x14ac:dyDescent="0.2">
      <c r="A211" s="801">
        <f t="shared" si="84"/>
        <v>303</v>
      </c>
      <c r="B211" s="820">
        <v>42536</v>
      </c>
      <c r="C211" s="845">
        <v>2071.5</v>
      </c>
      <c r="D211" s="817">
        <f t="shared" si="82"/>
        <v>-1.8406799915194588E-3</v>
      </c>
      <c r="E211" s="844">
        <f t="shared" si="75"/>
        <v>-1.4716234470424866E-2</v>
      </c>
      <c r="F211" s="841">
        <v>4834.93</v>
      </c>
      <c r="G211" s="817">
        <f t="shared" si="76"/>
        <v>-1.7796863870507976E-3</v>
      </c>
      <c r="H211" s="822">
        <f t="shared" si="77"/>
        <v>-5.042912976019788E-2</v>
      </c>
      <c r="I211" s="824">
        <v>325610.21000000002</v>
      </c>
      <c r="J211" s="825">
        <v>400000</v>
      </c>
      <c r="K211" s="825">
        <f t="shared" si="78"/>
        <v>-1581.9799999999814</v>
      </c>
      <c r="L211" s="817">
        <f t="shared" si="83"/>
        <v>-4.8350176084581403E-3</v>
      </c>
      <c r="M211" s="842">
        <f t="shared" si="79"/>
        <v>-74389.789999999979</v>
      </c>
      <c r="N211" s="827">
        <f t="shared" si="74"/>
        <v>-0.18597447499999994</v>
      </c>
      <c r="O211" s="811">
        <f t="shared" si="85"/>
        <v>-0.22418210228960389</v>
      </c>
      <c r="P211" s="842" t="b">
        <f t="shared" si="80"/>
        <v>0</v>
      </c>
      <c r="Q211" s="827">
        <f>COUNTIF(P$2:P211, TRUE)/(COUNTIF(P$2:P211,FALSE) + COUNTIF(P$2:P211, TRUE))</f>
        <v>0.48095238095238096</v>
      </c>
      <c r="R211" s="825">
        <v>269122.73</v>
      </c>
      <c r="S211" s="825">
        <f t="shared" si="81"/>
        <v>56487.48000000004</v>
      </c>
      <c r="T211" s="825">
        <v>-82018</v>
      </c>
      <c r="U211" s="825">
        <f t="shared" si="87"/>
        <v>7628.210000000021</v>
      </c>
      <c r="V211" s="827">
        <f>STDEV(D$2:D211)*SQRT(252)</f>
        <v>0.17510414280535444</v>
      </c>
      <c r="W211" s="827">
        <f>STDEV(L$2:L211)*SQRT(252)</f>
        <v>0.37409419523712373</v>
      </c>
      <c r="X211" s="826">
        <f t="shared" si="63"/>
        <v>-0.10130896385879168</v>
      </c>
      <c r="Y211" s="826">
        <f t="shared" si="64"/>
        <v>-0.59926645519720934</v>
      </c>
      <c r="Z211" s="832">
        <f t="shared" si="65"/>
        <v>-0.17125824052957508</v>
      </c>
    </row>
    <row r="212" spans="1:26" ht="20.100000000000001" customHeight="1" x14ac:dyDescent="0.2">
      <c r="A212" s="801">
        <f t="shared" si="84"/>
        <v>304</v>
      </c>
      <c r="B212" s="820">
        <v>42537</v>
      </c>
      <c r="C212" s="845">
        <v>2077.9899999999998</v>
      </c>
      <c r="D212" s="817">
        <f t="shared" si="82"/>
        <v>3.1329954139511377E-3</v>
      </c>
      <c r="E212" s="844">
        <f t="shared" si="75"/>
        <v>-1.1629344951580198E-2</v>
      </c>
      <c r="F212" s="841">
        <v>4844.91</v>
      </c>
      <c r="G212" s="817">
        <f t="shared" si="76"/>
        <v>2.0641457063493292E-3</v>
      </c>
      <c r="H212" s="822">
        <f t="shared" si="77"/>
        <v>-4.8469077125517991E-2</v>
      </c>
      <c r="I212" s="824">
        <v>321688.28999999998</v>
      </c>
      <c r="J212" s="825">
        <v>400000</v>
      </c>
      <c r="K212" s="825">
        <f t="shared" si="78"/>
        <v>-3921.9200000000419</v>
      </c>
      <c r="L212" s="817">
        <f t="shared" si="83"/>
        <v>-1.2044831149490188E-2</v>
      </c>
      <c r="M212" s="842">
        <f t="shared" si="79"/>
        <v>-78311.710000000021</v>
      </c>
      <c r="N212" s="827">
        <f t="shared" si="74"/>
        <v>-0.19577927500000006</v>
      </c>
      <c r="O212" s="811">
        <f t="shared" si="85"/>
        <v>-0.23522493484786189</v>
      </c>
      <c r="P212" s="842" t="b">
        <f t="shared" si="80"/>
        <v>0</v>
      </c>
      <c r="Q212" s="827">
        <f>COUNTIF(P$2:P212, TRUE)/(COUNTIF(P$2:P212,FALSE) + COUNTIF(P$2:P212, TRUE))</f>
        <v>0.47867298578199052</v>
      </c>
      <c r="R212" s="825">
        <v>270659.01</v>
      </c>
      <c r="S212" s="825">
        <f t="shared" si="81"/>
        <v>51029.27999999997</v>
      </c>
      <c r="T212" s="825">
        <v>-85365</v>
      </c>
      <c r="U212" s="825">
        <f t="shared" si="87"/>
        <v>7053.289999999979</v>
      </c>
      <c r="V212" s="827">
        <f>STDEV(D$2:D212)*SQRT(252)</f>
        <v>0.17471866463196331</v>
      </c>
      <c r="W212" s="827">
        <f>STDEV(L$2:L212)*SQRT(252)</f>
        <v>0.37342122618774559</v>
      </c>
      <c r="X212" s="826">
        <f t="shared" si="63"/>
        <v>-7.997101203933063E-2</v>
      </c>
      <c r="Y212" s="826">
        <f t="shared" si="64"/>
        <v>-0.62991848976897058</v>
      </c>
      <c r="Z212" s="832">
        <f t="shared" si="65"/>
        <v>-0.18414993004841987</v>
      </c>
    </row>
    <row r="213" spans="1:26" ht="20.100000000000001" customHeight="1" x14ac:dyDescent="0.2">
      <c r="A213" s="801">
        <f t="shared" si="84"/>
        <v>305</v>
      </c>
      <c r="B213" s="820">
        <v>42538</v>
      </c>
      <c r="C213" s="845">
        <v>2071.2199999999998</v>
      </c>
      <c r="D213" s="817">
        <f t="shared" si="82"/>
        <v>-3.2579560055630598E-3</v>
      </c>
      <c r="E213" s="844">
        <f t="shared" si="75"/>
        <v>-1.4849413062917493E-2</v>
      </c>
      <c r="F213" s="841">
        <v>4800.34</v>
      </c>
      <c r="G213" s="817">
        <f t="shared" si="76"/>
        <v>-9.1993452922757516E-3</v>
      </c>
      <c r="H213" s="822">
        <f t="shared" si="77"/>
        <v>-5.7222538641318162E-2</v>
      </c>
      <c r="I213" s="824">
        <v>328584.48</v>
      </c>
      <c r="J213" s="825">
        <v>400000</v>
      </c>
      <c r="K213" s="825">
        <f t="shared" si="78"/>
        <v>6896.1900000000023</v>
      </c>
      <c r="L213" s="817">
        <f t="shared" si="83"/>
        <v>2.1437491554324228E-2</v>
      </c>
      <c r="M213" s="842">
        <f t="shared" si="79"/>
        <v>-71415.520000000019</v>
      </c>
      <c r="N213" s="827">
        <f t="shared" si="74"/>
        <v>-0.17853880000000005</v>
      </c>
      <c r="O213" s="811">
        <f t="shared" si="85"/>
        <v>-0.21380753016393447</v>
      </c>
      <c r="P213" s="842" t="b">
        <f t="shared" si="80"/>
        <v>1</v>
      </c>
      <c r="Q213" s="827">
        <f>COUNTIF(P$2:P213, TRUE)/(COUNTIF(P$2:P213,FALSE) + COUNTIF(P$2:P213, TRUE))</f>
        <v>0.48113207547169812</v>
      </c>
      <c r="R213" s="825">
        <v>269293.38</v>
      </c>
      <c r="S213" s="825">
        <f t="shared" si="81"/>
        <v>59291.099999999977</v>
      </c>
      <c r="T213" s="825">
        <v>-78578</v>
      </c>
      <c r="U213" s="825">
        <f t="shared" si="87"/>
        <v>7162.4799999999814</v>
      </c>
      <c r="V213" s="827">
        <f>STDEV(D$2:D213)*SQRT(252)</f>
        <v>0.1743386358196137</v>
      </c>
      <c r="W213" s="827">
        <f>STDEV(L$2:L213)*SQRT(252)</f>
        <v>0.37328913049687473</v>
      </c>
      <c r="X213" s="826">
        <f t="shared" si="63"/>
        <v>-0.10200137589550677</v>
      </c>
      <c r="Y213" s="826">
        <f t="shared" si="64"/>
        <v>-0.5727665573314209</v>
      </c>
      <c r="Z213" s="832">
        <f t="shared" si="65"/>
        <v>-0.16368938693708257</v>
      </c>
    </row>
    <row r="214" spans="1:26" ht="20.100000000000001" customHeight="1" x14ac:dyDescent="0.2">
      <c r="A214" s="801">
        <f t="shared" si="84"/>
        <v>308</v>
      </c>
      <c r="B214" s="849">
        <v>42541</v>
      </c>
      <c r="C214" s="850">
        <v>2083.25</v>
      </c>
      <c r="D214" s="817">
        <f t="shared" si="82"/>
        <v>5.808171029634805E-3</v>
      </c>
      <c r="E214" s="851">
        <f t="shared" si="75"/>
        <v>-9.1274899640418055E-3</v>
      </c>
      <c r="F214" s="852">
        <v>4837.21</v>
      </c>
      <c r="G214" s="817">
        <f t="shared" si="76"/>
        <v>7.6807059499951853E-3</v>
      </c>
      <c r="H214" s="853">
        <f t="shared" si="77"/>
        <v>-4.9981342184339181E-2</v>
      </c>
      <c r="I214" s="854">
        <v>341742.75</v>
      </c>
      <c r="J214" s="855">
        <v>400000</v>
      </c>
      <c r="K214" s="855">
        <f t="shared" si="78"/>
        <v>13158.270000000019</v>
      </c>
      <c r="L214" s="817">
        <f t="shared" si="83"/>
        <v>4.0045318025976211E-2</v>
      </c>
      <c r="M214" s="856">
        <f t="shared" si="79"/>
        <v>-58257.25</v>
      </c>
      <c r="N214" s="857">
        <f t="shared" si="74"/>
        <v>-0.14564312500000001</v>
      </c>
      <c r="O214" s="811">
        <f t="shared" si="85"/>
        <v>-0.17271477729301948</v>
      </c>
      <c r="P214" s="856" t="b">
        <f t="shared" si="80"/>
        <v>1</v>
      </c>
      <c r="Q214" s="857">
        <f>COUNTIF(P$2:P214, TRUE)/(COUNTIF(P$2:P214,FALSE) + COUNTIF(P$2:P214, TRUE))</f>
        <v>0.48356807511737088</v>
      </c>
      <c r="R214" s="855">
        <v>253651.64</v>
      </c>
      <c r="S214" s="855">
        <f t="shared" si="81"/>
        <v>88091.109999999986</v>
      </c>
      <c r="T214" s="855">
        <v>-65989</v>
      </c>
      <c r="U214" s="855">
        <f t="shared" si="87"/>
        <v>7731.75</v>
      </c>
      <c r="V214" s="857">
        <f>STDEV(D$2:D214)*SQRT(252)</f>
        <v>0.1740406908760673</v>
      </c>
      <c r="W214" s="857">
        <f>STDEV(L$2:L214)*SQRT(252)</f>
        <v>0.37498171296802196</v>
      </c>
      <c r="X214" s="826">
        <f t="shared" si="63"/>
        <v>-6.219279482273278E-2</v>
      </c>
      <c r="Y214" s="826">
        <f t="shared" si="64"/>
        <v>-0.46059520056581643</v>
      </c>
      <c r="Z214" s="832">
        <f t="shared" si="65"/>
        <v>-0.1365156350359582</v>
      </c>
    </row>
    <row r="215" spans="1:26" ht="20.100000000000001" customHeight="1" x14ac:dyDescent="0.2">
      <c r="A215" s="801">
        <f t="shared" si="84"/>
        <v>309</v>
      </c>
      <c r="B215" s="849">
        <v>42542</v>
      </c>
      <c r="C215" s="850">
        <v>2088.9</v>
      </c>
      <c r="D215" s="817">
        <f t="shared" si="82"/>
        <v>2.7121084843394171E-3</v>
      </c>
      <c r="E215" s="851">
        <f t="shared" si="75"/>
        <v>-6.4401362226745888E-3</v>
      </c>
      <c r="F215" s="852">
        <v>4843.76</v>
      </c>
      <c r="G215" s="817">
        <f t="shared" si="76"/>
        <v>1.3540863431606611E-3</v>
      </c>
      <c r="H215" s="853">
        <f t="shared" si="77"/>
        <v>-4.8694934894043168E-2</v>
      </c>
      <c r="I215" s="854">
        <v>348811.35</v>
      </c>
      <c r="J215" s="855">
        <v>400000</v>
      </c>
      <c r="K215" s="855">
        <f t="shared" si="78"/>
        <v>7068.5999999999767</v>
      </c>
      <c r="L215" s="817">
        <f t="shared" si="83"/>
        <v>2.0683979396783039E-2</v>
      </c>
      <c r="M215" s="856">
        <f t="shared" si="79"/>
        <v>-51188.650000000023</v>
      </c>
      <c r="N215" s="857">
        <f t="shared" si="74"/>
        <v>-0.12797162500000006</v>
      </c>
      <c r="O215" s="811">
        <f t="shared" si="85"/>
        <v>-0.15126743052184474</v>
      </c>
      <c r="P215" s="856" t="b">
        <f t="shared" si="80"/>
        <v>1</v>
      </c>
      <c r="Q215" s="857">
        <f>COUNTIF(P$2:P215, TRUE)/(COUNTIF(P$2:P215,FALSE) + COUNTIF(P$2:P215, TRUE))</f>
        <v>0.48598130841121495</v>
      </c>
      <c r="R215" s="855">
        <v>239827.20000000001</v>
      </c>
      <c r="S215" s="855">
        <f t="shared" si="81"/>
        <v>108984.14999999997</v>
      </c>
      <c r="T215" s="855">
        <v>-59378</v>
      </c>
      <c r="U215" s="855">
        <f t="shared" si="87"/>
        <v>8189.3499999999767</v>
      </c>
      <c r="V215" s="857">
        <f>STDEV(D$2:D215)*SQRT(252)</f>
        <v>0.17365448408627729</v>
      </c>
      <c r="W215" s="857">
        <f>STDEV(L$2:L215)*SQRT(252)</f>
        <v>0.37477394701034494</v>
      </c>
      <c r="X215" s="826">
        <f t="shared" si="63"/>
        <v>-4.3836997113168734E-2</v>
      </c>
      <c r="Y215" s="826">
        <f t="shared" si="64"/>
        <v>-0.40362312196068761</v>
      </c>
      <c r="Z215" s="832">
        <f t="shared" si="65"/>
        <v>-0.12153148877732547</v>
      </c>
    </row>
    <row r="216" spans="1:26" ht="20.100000000000001" customHeight="1" x14ac:dyDescent="0.2">
      <c r="A216" s="801">
        <f t="shared" si="84"/>
        <v>310</v>
      </c>
      <c r="B216" s="849">
        <v>42543</v>
      </c>
      <c r="C216" s="850">
        <v>2085.4499999999998</v>
      </c>
      <c r="D216" s="817">
        <f t="shared" si="82"/>
        <v>-1.6515869596439622E-3</v>
      </c>
      <c r="E216" s="851">
        <f t="shared" si="75"/>
        <v>-8.081086737314851E-3</v>
      </c>
      <c r="F216" s="852">
        <v>4833.3100000000004</v>
      </c>
      <c r="G216" s="817">
        <f t="shared" si="76"/>
        <v>-2.1574149008208123E-3</v>
      </c>
      <c r="H216" s="853">
        <f t="shared" si="77"/>
        <v>-5.0747294616729076E-2</v>
      </c>
      <c r="I216" s="854">
        <v>345838.5</v>
      </c>
      <c r="J216" s="855">
        <v>400000</v>
      </c>
      <c r="K216" s="855">
        <f t="shared" si="78"/>
        <v>-2972.8499999999767</v>
      </c>
      <c r="L216" s="817">
        <f t="shared" si="83"/>
        <v>-8.5228017952970192E-3</v>
      </c>
      <c r="M216" s="856">
        <f t="shared" si="79"/>
        <v>-54161.5</v>
      </c>
      <c r="N216" s="857">
        <f t="shared" si="74"/>
        <v>-0.13540374999999999</v>
      </c>
      <c r="O216" s="811">
        <f t="shared" si="85"/>
        <v>-0.15953619254032259</v>
      </c>
      <c r="P216" s="856" t="b">
        <f t="shared" si="80"/>
        <v>0</v>
      </c>
      <c r="Q216" s="857">
        <f>COUNTIF(P$2:P216, TRUE)/(COUNTIF(P$2:P216,FALSE) + COUNTIF(P$2:P216, TRUE))</f>
        <v>0.48372093023255813</v>
      </c>
      <c r="R216" s="855">
        <v>250911.65</v>
      </c>
      <c r="S216" s="855">
        <f t="shared" si="81"/>
        <v>94926.85</v>
      </c>
      <c r="T216" s="855">
        <v>-62340</v>
      </c>
      <c r="U216" s="855">
        <f t="shared" si="87"/>
        <v>8178.5</v>
      </c>
      <c r="V216" s="857">
        <f>STDEV(D$2:D216)*SQRT(252)</f>
        <v>0.17325596668423277</v>
      </c>
      <c r="W216" s="857">
        <f>STDEV(L$2:L216)*SQRT(252)</f>
        <v>0.37400942044017926</v>
      </c>
      <c r="X216" s="826">
        <f t="shared" si="63"/>
        <v>-5.4955365291582292E-2</v>
      </c>
      <c r="Y216" s="826">
        <f t="shared" si="64"/>
        <v>-0.42655661547926044</v>
      </c>
      <c r="Z216" s="832">
        <f t="shared" si="65"/>
        <v>-0.12732266326268513</v>
      </c>
    </row>
    <row r="217" spans="1:26" ht="20.100000000000001" customHeight="1" x14ac:dyDescent="0.2">
      <c r="A217" s="801">
        <f t="shared" si="84"/>
        <v>311</v>
      </c>
      <c r="B217" s="849">
        <v>42544</v>
      </c>
      <c r="C217" s="850">
        <v>2113.3200000000002</v>
      </c>
      <c r="D217" s="817">
        <f t="shared" si="82"/>
        <v>1.3364022153492219E-2</v>
      </c>
      <c r="E217" s="851">
        <f t="shared" si="75"/>
        <v>5.1749395939956E-3</v>
      </c>
      <c r="F217" s="852">
        <v>4910.04</v>
      </c>
      <c r="G217" s="817">
        <f t="shared" si="76"/>
        <v>1.5875249052926369E-2</v>
      </c>
      <c r="H217" s="853">
        <f t="shared" si="77"/>
        <v>-3.5677671504605504E-2</v>
      </c>
      <c r="I217" s="854">
        <v>355595.65</v>
      </c>
      <c r="J217" s="855">
        <v>400000</v>
      </c>
      <c r="K217" s="855">
        <f t="shared" si="78"/>
        <v>9757.1500000000233</v>
      </c>
      <c r="L217" s="817">
        <f t="shared" si="83"/>
        <v>2.8213024287348065E-2</v>
      </c>
      <c r="M217" s="856">
        <f t="shared" si="79"/>
        <v>-44404.349999999977</v>
      </c>
      <c r="N217" s="857">
        <f t="shared" si="74"/>
        <v>-0.11101087499999994</v>
      </c>
      <c r="O217" s="811">
        <f t="shared" si="85"/>
        <v>-0.13037531219855297</v>
      </c>
      <c r="P217" s="856" t="b">
        <f t="shared" si="80"/>
        <v>1</v>
      </c>
      <c r="Q217" s="857">
        <f>COUNTIF(P$2:P217, TRUE)/(COUNTIF(P$2:P217,FALSE) + COUNTIF(P$2:P217, TRUE))</f>
        <v>0.4861111111111111</v>
      </c>
      <c r="R217" s="855">
        <v>222188.6</v>
      </c>
      <c r="S217" s="855">
        <f t="shared" si="81"/>
        <v>133407.05000000002</v>
      </c>
      <c r="T217" s="855">
        <v>-52883</v>
      </c>
      <c r="U217" s="855">
        <f t="shared" si="87"/>
        <v>8478.6500000000233</v>
      </c>
      <c r="V217" s="857">
        <f>STDEV(D$2:D217)*SQRT(252)</f>
        <v>0.17345322733352617</v>
      </c>
      <c r="W217" s="857">
        <f>STDEV(L$2:L217)*SQRT(252)</f>
        <v>0.37437996728891731</v>
      </c>
      <c r="X217" s="826">
        <f t="shared" si="63"/>
        <v>3.5039083289911545E-2</v>
      </c>
      <c r="Y217" s="826">
        <f t="shared" si="64"/>
        <v>-0.34824329181571689</v>
      </c>
      <c r="Z217" s="832">
        <f t="shared" si="65"/>
        <v>-0.11618581459399555</v>
      </c>
    </row>
    <row r="218" spans="1:26" ht="20.100000000000001" customHeight="1" x14ac:dyDescent="0.2">
      <c r="A218" s="801">
        <f t="shared" si="84"/>
        <v>312</v>
      </c>
      <c r="B218" s="849">
        <v>42545</v>
      </c>
      <c r="C218" s="850">
        <v>2037.3</v>
      </c>
      <c r="D218" s="817">
        <f t="shared" si="82"/>
        <v>-3.5971835784452996E-2</v>
      </c>
      <c r="E218" s="851">
        <f t="shared" si="75"/>
        <v>-3.0983048267727069E-2</v>
      </c>
      <c r="F218" s="852">
        <v>4707.9799999999996</v>
      </c>
      <c r="G218" s="817">
        <f t="shared" si="76"/>
        <v>-4.1152414236951311E-2</v>
      </c>
      <c r="H218" s="853">
        <f t="shared" si="77"/>
        <v>-7.5361863424789413E-2</v>
      </c>
      <c r="I218" s="854">
        <v>344597.21</v>
      </c>
      <c r="J218" s="855">
        <v>400000</v>
      </c>
      <c r="K218" s="855">
        <f t="shared" si="78"/>
        <v>-10998.440000000002</v>
      </c>
      <c r="L218" s="817">
        <f t="shared" si="83"/>
        <v>-3.092962470153952E-2</v>
      </c>
      <c r="M218" s="856">
        <f t="shared" si="79"/>
        <v>-55402.789999999979</v>
      </c>
      <c r="N218" s="857">
        <f t="shared" si="74"/>
        <v>-0.13850697499999995</v>
      </c>
      <c r="O218" s="811">
        <f t="shared" si="85"/>
        <v>-0.16214638659855762</v>
      </c>
      <c r="P218" s="856" t="b">
        <f t="shared" si="80"/>
        <v>1</v>
      </c>
      <c r="Q218" s="857">
        <f>COUNTIF(P$2:P218, TRUE)/(COUNTIF(P$2:P218,FALSE) + COUNTIF(P$2:P218, TRUE))</f>
        <v>0.48847926267281105</v>
      </c>
      <c r="R218" s="855">
        <v>292212.87</v>
      </c>
      <c r="S218" s="855">
        <f t="shared" si="81"/>
        <v>52384.340000000026</v>
      </c>
      <c r="T218" s="855">
        <v>-60319</v>
      </c>
      <c r="U218" s="855">
        <f t="shared" si="87"/>
        <v>4916.210000000021</v>
      </c>
      <c r="V218" s="857">
        <f>STDEV(D$2:D218)*SQRT(252)</f>
        <v>0.17737738991567559</v>
      </c>
      <c r="W218" s="857">
        <f>STDEV(L$2:L218)*SQRT(252)</f>
        <v>0.37501491948250398</v>
      </c>
      <c r="X218" s="826">
        <f t="shared" si="63"/>
        <v>-0.2044850274619518</v>
      </c>
      <c r="Y218" s="826">
        <f t="shared" si="64"/>
        <v>-0.43237316217261174</v>
      </c>
      <c r="Z218" s="832">
        <f t="shared" si="65"/>
        <v>-0.10752392673227287</v>
      </c>
    </row>
    <row r="219" spans="1:26" ht="20.100000000000001" customHeight="1" x14ac:dyDescent="0.2">
      <c r="A219" s="801">
        <f t="shared" si="84"/>
        <v>315</v>
      </c>
      <c r="B219" s="820">
        <v>42548</v>
      </c>
      <c r="C219" s="845">
        <v>2000.54</v>
      </c>
      <c r="D219" s="817">
        <f t="shared" si="82"/>
        <v>-1.8043488931428847E-2</v>
      </c>
      <c r="E219" s="844">
        <f t="shared" si="75"/>
        <v>-4.8467494910675257E-2</v>
      </c>
      <c r="F219" s="841">
        <v>4594.4399999999996</v>
      </c>
      <c r="G219" s="817">
        <f t="shared" si="76"/>
        <v>-2.4116500070093749E-2</v>
      </c>
      <c r="H219" s="822">
        <f t="shared" si="77"/>
        <v>-9.7660899110316834E-2</v>
      </c>
      <c r="I219" s="824">
        <v>328090.52</v>
      </c>
      <c r="J219" s="825">
        <v>400000</v>
      </c>
      <c r="K219" s="825">
        <f t="shared" si="78"/>
        <v>-16506.690000000002</v>
      </c>
      <c r="L219" s="817">
        <f t="shared" si="83"/>
        <v>-4.7901403496563424E-2</v>
      </c>
      <c r="M219" s="842">
        <f t="shared" si="79"/>
        <v>-71909.479999999981</v>
      </c>
      <c r="N219" s="827">
        <f t="shared" si="74"/>
        <v>-0.17977369999999995</v>
      </c>
      <c r="O219" s="811">
        <f t="shared" si="85"/>
        <v>-0.20845188547619042</v>
      </c>
      <c r="P219" s="842" t="b">
        <f t="shared" si="80"/>
        <v>0</v>
      </c>
      <c r="Q219" s="827">
        <f>COUNTIF(P$2:P219, TRUE)/(COUNTIF(P$2:P219,FALSE) + COUNTIF(P$2:P219, TRUE))</f>
        <v>0.48623853211009177</v>
      </c>
      <c r="R219" s="825">
        <v>330827.23</v>
      </c>
      <c r="S219" s="825">
        <f t="shared" si="81"/>
        <v>-2736.7099999999627</v>
      </c>
      <c r="T219" s="825">
        <v>-73004</v>
      </c>
      <c r="U219" s="825">
        <f t="shared" si="87"/>
        <v>1094.5200000000186</v>
      </c>
      <c r="V219" s="827">
        <f>STDEV(D$2:D219)*SQRT(252)</f>
        <v>0.17802153758815042</v>
      </c>
      <c r="W219" s="827">
        <f>STDEV(L$2:L219)*SQRT(252)</f>
        <v>0.37769251793384978</v>
      </c>
      <c r="X219" s="826">
        <f t="shared" ref="X219:X282" si="88">E219/(A219/365.25)/V219</f>
        <v>-0.31568772575663223</v>
      </c>
      <c r="Y219" s="826">
        <f t="shared" ref="Y219:Y282" si="89">O219/W219</f>
        <v>-0.55190896186272698</v>
      </c>
      <c r="Z219" s="832">
        <f t="shared" ref="Z219:Z282" si="90">-(E219-N219)</f>
        <v>-0.1313062050893247</v>
      </c>
    </row>
    <row r="220" spans="1:26" ht="20.100000000000001" customHeight="1" x14ac:dyDescent="0.2">
      <c r="A220" s="801">
        <f t="shared" si="84"/>
        <v>316</v>
      </c>
      <c r="B220" s="820">
        <v>42549</v>
      </c>
      <c r="C220" s="845">
        <v>2036.09</v>
      </c>
      <c r="D220" s="817">
        <f t="shared" si="82"/>
        <v>1.7770202045447707E-2</v>
      </c>
      <c r="E220" s="844">
        <f t="shared" si="75"/>
        <v>-3.1558570042426959E-2</v>
      </c>
      <c r="F220" s="841">
        <v>4691.8599999999997</v>
      </c>
      <c r="G220" s="817">
        <f t="shared" si="76"/>
        <v>2.1203889919119649E-2</v>
      </c>
      <c r="H220" s="822">
        <f t="shared" si="77"/>
        <v>-7.85278001453346E-2</v>
      </c>
      <c r="I220" s="824">
        <v>347315.97</v>
      </c>
      <c r="J220" s="825">
        <v>400000</v>
      </c>
      <c r="K220" s="825">
        <f t="shared" si="78"/>
        <v>19225.449999999953</v>
      </c>
      <c r="L220" s="817">
        <f t="shared" ref="L220:L247" si="91">K220/I219</f>
        <v>5.8598005209050091E-2</v>
      </c>
      <c r="M220" s="842">
        <f t="shared" si="79"/>
        <v>-52684.030000000028</v>
      </c>
      <c r="N220" s="827">
        <f t="shared" si="74"/>
        <v>-0.13171007500000007</v>
      </c>
      <c r="O220" s="811">
        <f t="shared" si="85"/>
        <v>-0.15223767371439881</v>
      </c>
      <c r="P220" s="842" t="b">
        <f t="shared" si="80"/>
        <v>1</v>
      </c>
      <c r="Q220" s="827">
        <f>COUNTIF(P$2:P220, TRUE)/(COUNTIF(P$2:P220,FALSE) + COUNTIF(P$2:P220, TRUE))</f>
        <v>0.48858447488584472</v>
      </c>
      <c r="R220" s="825">
        <v>324005.03999999998</v>
      </c>
      <c r="S220" s="825">
        <f t="shared" si="81"/>
        <v>23310.929999999993</v>
      </c>
      <c r="T220" s="825">
        <v>-57120</v>
      </c>
      <c r="U220" s="825">
        <f t="shared" si="87"/>
        <v>4435.9699999999721</v>
      </c>
      <c r="V220" s="827">
        <f>STDEV(D$2:D220)*SQRT(252)</f>
        <v>0.17865473175577545</v>
      </c>
      <c r="W220" s="827">
        <f>STDEV(L$2:L220)*SQRT(252)</f>
        <v>0.38208789279178124</v>
      </c>
      <c r="X220" s="826">
        <f t="shared" si="88"/>
        <v>-0.2041765848656821</v>
      </c>
      <c r="Y220" s="826">
        <f t="shared" si="89"/>
        <v>-0.39843626711658386</v>
      </c>
      <c r="Z220" s="832">
        <f t="shared" si="90"/>
        <v>-0.10015150495757311</v>
      </c>
    </row>
    <row r="221" spans="1:26" ht="20.100000000000001" customHeight="1" x14ac:dyDescent="0.2">
      <c r="A221" s="801">
        <f t="shared" si="84"/>
        <v>317</v>
      </c>
      <c r="B221" s="820">
        <v>42550</v>
      </c>
      <c r="C221" s="845">
        <v>2070.77</v>
      </c>
      <c r="D221" s="817">
        <f t="shared" si="82"/>
        <v>1.7032645904650614E-2</v>
      </c>
      <c r="E221" s="844">
        <f t="shared" si="75"/>
        <v>-1.506345008656612E-2</v>
      </c>
      <c r="F221" s="841">
        <v>4779.24</v>
      </c>
      <c r="G221" s="817">
        <f t="shared" si="76"/>
        <v>1.8623744101486428E-2</v>
      </c>
      <c r="H221" s="822">
        <f t="shared" si="77"/>
        <v>-6.1366537698607546E-2</v>
      </c>
      <c r="I221" s="824">
        <v>354799.59</v>
      </c>
      <c r="J221" s="825">
        <v>400000</v>
      </c>
      <c r="K221" s="825">
        <f t="shared" si="78"/>
        <v>7483.6200000000536</v>
      </c>
      <c r="L221" s="817">
        <f t="shared" si="91"/>
        <v>2.154700804572866E-2</v>
      </c>
      <c r="M221" s="842">
        <f t="shared" si="79"/>
        <v>-45200.409999999974</v>
      </c>
      <c r="N221" s="827">
        <f t="shared" si="74"/>
        <v>-0.11300102499999994</v>
      </c>
      <c r="O221" s="811">
        <f t="shared" si="85"/>
        <v>-0.13020070782728699</v>
      </c>
      <c r="P221" s="842" t="b">
        <f t="shared" si="80"/>
        <v>1</v>
      </c>
      <c r="Q221" s="827">
        <f>COUNTIF(P$2:P221, TRUE)/(COUNTIF(P$2:P221,FALSE) + COUNTIF(P$2:P221, TRUE))</f>
        <v>0.49090909090909091</v>
      </c>
      <c r="R221" s="825">
        <v>321658.87</v>
      </c>
      <c r="S221" s="825">
        <f t="shared" si="81"/>
        <v>33140.72000000003</v>
      </c>
      <c r="T221" s="825">
        <v>-52035</v>
      </c>
      <c r="U221" s="825">
        <f t="shared" si="87"/>
        <v>6834.5900000000256</v>
      </c>
      <c r="V221" s="827">
        <f>STDEV(D$2:D221)*SQRT(252)</f>
        <v>0.17918768492627107</v>
      </c>
      <c r="W221" s="827">
        <f>STDEV(L$2:L221)*SQRT(252)</f>
        <v>0.38190631702856759</v>
      </c>
      <c r="X221" s="826">
        <f t="shared" si="88"/>
        <v>-9.6860622679984312E-2</v>
      </c>
      <c r="Y221" s="826">
        <f t="shared" si="89"/>
        <v>-0.34092315843402937</v>
      </c>
      <c r="Z221" s="832">
        <f t="shared" si="90"/>
        <v>-9.7937574913433814E-2</v>
      </c>
    </row>
    <row r="222" spans="1:26" ht="20.100000000000001" customHeight="1" x14ac:dyDescent="0.2">
      <c r="A222" s="801">
        <f t="shared" si="84"/>
        <v>318</v>
      </c>
      <c r="B222" s="820">
        <v>42551</v>
      </c>
      <c r="C222" s="845">
        <v>2098.86</v>
      </c>
      <c r="D222" s="817">
        <f t="shared" si="82"/>
        <v>1.3565002390415229E-2</v>
      </c>
      <c r="E222" s="844">
        <f t="shared" si="75"/>
        <v>-1.7027834325830592E-3</v>
      </c>
      <c r="F222" s="841">
        <v>4842.67</v>
      </c>
      <c r="G222" s="817">
        <f t="shared" si="76"/>
        <v>1.3271984667018248E-2</v>
      </c>
      <c r="H222" s="822">
        <f t="shared" si="77"/>
        <v>-4.8909008778993214E-2</v>
      </c>
      <c r="I222" s="847">
        <v>358404.16</v>
      </c>
      <c r="J222" s="825">
        <v>400000</v>
      </c>
      <c r="K222" s="825">
        <f t="shared" si="78"/>
        <v>3604.5699999999488</v>
      </c>
      <c r="L222" s="817">
        <f t="shared" si="91"/>
        <v>1.0159453679188154E-2</v>
      </c>
      <c r="M222" s="842">
        <f t="shared" si="79"/>
        <v>-41595.840000000026</v>
      </c>
      <c r="N222" s="827">
        <f t="shared" ref="N222:N253" si="92">M222/J222</f>
        <v>-0.10398960000000007</v>
      </c>
      <c r="O222" s="811">
        <f t="shared" si="85"/>
        <v>-0.11944088490566046</v>
      </c>
      <c r="P222" s="842" t="b">
        <f t="shared" si="80"/>
        <v>0</v>
      </c>
      <c r="Q222" s="827">
        <f>COUNTIF(P$2:P222, TRUE)/(COUNTIF(P$2:P222,FALSE) + COUNTIF(P$2:P222, TRUE))</f>
        <v>0.48868778280542985</v>
      </c>
      <c r="R222" s="825">
        <v>320795.08</v>
      </c>
      <c r="S222" s="825">
        <f t="shared" si="81"/>
        <v>37609.079999999958</v>
      </c>
      <c r="T222" s="825">
        <v>-50056</v>
      </c>
      <c r="U222" s="825">
        <f t="shared" si="87"/>
        <v>8460.1599999999744</v>
      </c>
      <c r="V222" s="827">
        <f>STDEV(D$2:D222)*SQRT(252)</f>
        <v>0.17936712847918884</v>
      </c>
      <c r="W222" s="827">
        <f>STDEV(L$2:L222)*SQRT(252)</f>
        <v>0.38118352520471832</v>
      </c>
      <c r="X222" s="826">
        <f t="shared" si="88"/>
        <v>-1.0903844895417325E-2</v>
      </c>
      <c r="Y222" s="826">
        <f t="shared" si="89"/>
        <v>-0.31334220134911017</v>
      </c>
      <c r="Z222" s="832">
        <f t="shared" si="90"/>
        <v>-0.102286816567417</v>
      </c>
    </row>
    <row r="223" spans="1:26" ht="20.100000000000001" customHeight="1" x14ac:dyDescent="0.2">
      <c r="A223" s="801">
        <f t="shared" si="84"/>
        <v>319</v>
      </c>
      <c r="B223" s="820">
        <v>42552</v>
      </c>
      <c r="C223" s="845">
        <v>2102.9499999999998</v>
      </c>
      <c r="D223" s="817">
        <f t="shared" si="82"/>
        <v>1.9486769007936169E-3</v>
      </c>
      <c r="E223" s="844">
        <f t="shared" si="75"/>
        <v>2.4257529346842884E-4</v>
      </c>
      <c r="F223" s="841">
        <v>4862.59</v>
      </c>
      <c r="G223" s="817">
        <f t="shared" si="76"/>
        <v>4.1134332919649848E-3</v>
      </c>
      <c r="H223" s="822">
        <f t="shared" si="77"/>
        <v>-4.4996759432016746E-2</v>
      </c>
      <c r="I223" s="824">
        <v>358860.97</v>
      </c>
      <c r="J223" s="825">
        <v>400000</v>
      </c>
      <c r="K223" s="825">
        <f t="shared" si="78"/>
        <v>456.80999999999767</v>
      </c>
      <c r="L223" s="817">
        <f t="shared" si="91"/>
        <v>1.2745666791367535E-3</v>
      </c>
      <c r="M223" s="842">
        <f t="shared" si="79"/>
        <v>-41139.030000000028</v>
      </c>
      <c r="N223" s="827">
        <f t="shared" si="92"/>
        <v>-0.10284757500000007</v>
      </c>
      <c r="O223" s="811">
        <f t="shared" si="85"/>
        <v>-0.11775886134404397</v>
      </c>
      <c r="P223" s="842" t="b">
        <f t="shared" si="80"/>
        <v>0</v>
      </c>
      <c r="Q223" s="827">
        <f>COUNTIF(P$2:P223, TRUE)/(COUNTIF(P$2:P223,FALSE) + COUNTIF(P$2:P223, TRUE))</f>
        <v>0.48648648648648651</v>
      </c>
      <c r="R223" s="825">
        <v>272845.65000000002</v>
      </c>
      <c r="S223" s="825">
        <f t="shared" si="81"/>
        <v>86015.319999999949</v>
      </c>
      <c r="T223" s="825">
        <v>-51775</v>
      </c>
      <c r="U223" s="825">
        <f t="shared" si="87"/>
        <v>10635.969999999972</v>
      </c>
      <c r="V223" s="827">
        <f>STDEV(D$2:D223)*SQRT(252)</f>
        <v>0.17897042454940121</v>
      </c>
      <c r="W223" s="827">
        <f>STDEV(L$2:L223)*SQRT(252)</f>
        <v>0.3803179125579893</v>
      </c>
      <c r="X223" s="826">
        <f t="shared" si="88"/>
        <v>1.5519039506111125E-3</v>
      </c>
      <c r="Y223" s="826">
        <f t="shared" si="89"/>
        <v>-0.30963269795000409</v>
      </c>
      <c r="Z223" s="832">
        <f t="shared" si="90"/>
        <v>-0.10309015029346849</v>
      </c>
    </row>
    <row r="224" spans="1:26" ht="20.100000000000001" customHeight="1" x14ac:dyDescent="0.2">
      <c r="A224" s="801">
        <f t="shared" si="84"/>
        <v>323</v>
      </c>
      <c r="B224" s="849">
        <v>42556</v>
      </c>
      <c r="C224" s="850">
        <v>2088.5500000000002</v>
      </c>
      <c r="D224" s="817">
        <f t="shared" si="82"/>
        <v>-6.847523716683534E-3</v>
      </c>
      <c r="E224" s="851">
        <f t="shared" ref="E224:E255" si="93">(C224-$C$2)/$C$2</f>
        <v>-6.6066094632902111E-3</v>
      </c>
      <c r="F224" s="852">
        <v>4822.8999999999996</v>
      </c>
      <c r="G224" s="817">
        <f t="shared" si="76"/>
        <v>-8.1623167900235286E-3</v>
      </c>
      <c r="H224" s="853">
        <f t="shared" ref="H224:H255" si="94">(F224-F$2)/F$2</f>
        <v>-5.2791798417031674E-2</v>
      </c>
      <c r="I224" s="854">
        <v>346939.19</v>
      </c>
      <c r="J224" s="855">
        <v>400000</v>
      </c>
      <c r="K224" s="855">
        <f t="shared" ref="K224:K255" si="95">I224-I223-J224+J223</f>
        <v>-11921.77999999997</v>
      </c>
      <c r="L224" s="817">
        <f t="shared" si="91"/>
        <v>-3.3221166403245163E-2</v>
      </c>
      <c r="M224" s="856">
        <f t="shared" ref="M224:M253" si="96">I224-J224</f>
        <v>-53060.81</v>
      </c>
      <c r="N224" s="857">
        <f t="shared" si="92"/>
        <v>-0.13265202500000001</v>
      </c>
      <c r="O224" s="811">
        <f t="shared" si="85"/>
        <v>-0.15000356696981426</v>
      </c>
      <c r="P224" s="856" t="b">
        <f t="shared" ref="P224:P255" si="97">L224&gt;D224</f>
        <v>0</v>
      </c>
      <c r="Q224" s="857">
        <f>COUNTIF(P$2:P224, TRUE)/(COUNTIF(P$2:P224,FALSE) + COUNTIF(P$2:P224, TRUE))</f>
        <v>0.48430493273542602</v>
      </c>
      <c r="R224" s="855">
        <v>313798.31</v>
      </c>
      <c r="S224" s="855">
        <f t="shared" si="81"/>
        <v>33140.880000000005</v>
      </c>
      <c r="T224" s="855">
        <v>-60102</v>
      </c>
      <c r="U224" s="855">
        <f t="shared" si="87"/>
        <v>7041.1900000000023</v>
      </c>
      <c r="V224" s="857">
        <f>STDEV(D$2:D224)*SQRT(252)</f>
        <v>0.1787168459746149</v>
      </c>
      <c r="W224" s="857">
        <f>STDEV(L$2:L224)*SQRT(252)</f>
        <v>0.38112496311245453</v>
      </c>
      <c r="X224" s="826">
        <f t="shared" si="88"/>
        <v>-4.1802364329933145E-2</v>
      </c>
      <c r="Y224" s="826">
        <f t="shared" si="89"/>
        <v>-0.39358105998833326</v>
      </c>
      <c r="Z224" s="832">
        <f t="shared" si="90"/>
        <v>-0.12604541553670978</v>
      </c>
    </row>
    <row r="225" spans="1:26" ht="20.100000000000001" customHeight="1" x14ac:dyDescent="0.2">
      <c r="A225" s="801">
        <f t="shared" si="84"/>
        <v>324</v>
      </c>
      <c r="B225" s="849">
        <v>42557</v>
      </c>
      <c r="C225" s="850">
        <v>2088.5500000000002</v>
      </c>
      <c r="D225" s="817">
        <f t="shared" si="82"/>
        <v>0</v>
      </c>
      <c r="E225" s="851">
        <f t="shared" si="93"/>
        <v>-6.6066094632902111E-3</v>
      </c>
      <c r="F225" s="852">
        <v>4859.16</v>
      </c>
      <c r="G225" s="817">
        <f t="shared" si="76"/>
        <v>7.5182981193887954E-3</v>
      </c>
      <c r="H225" s="853">
        <f t="shared" si="94"/>
        <v>-4.5670404776400803E-2</v>
      </c>
      <c r="I225" s="854">
        <v>347494.51</v>
      </c>
      <c r="J225" s="855">
        <v>400000</v>
      </c>
      <c r="K225" s="855">
        <f t="shared" si="95"/>
        <v>555.32000000000698</v>
      </c>
      <c r="L225" s="817">
        <f t="shared" si="91"/>
        <v>1.6006263230164543E-3</v>
      </c>
      <c r="M225" s="856">
        <f t="shared" si="96"/>
        <v>-52505.489999999991</v>
      </c>
      <c r="N225" s="857">
        <f t="shared" si="92"/>
        <v>-0.13126372499999997</v>
      </c>
      <c r="O225" s="811">
        <f t="shared" si="85"/>
        <v>-0.14797554184027772</v>
      </c>
      <c r="P225" s="856" t="b">
        <f t="shared" si="97"/>
        <v>1</v>
      </c>
      <c r="Q225" s="857">
        <f>COUNTIF(P$2:P225, TRUE)/(COUNTIF(P$2:P225,FALSE) + COUNTIF(P$2:P225, TRUE))</f>
        <v>0.48660714285714285</v>
      </c>
      <c r="R225" s="855">
        <v>315793.82</v>
      </c>
      <c r="S225" s="855">
        <f t="shared" si="81"/>
        <v>31700.690000000002</v>
      </c>
      <c r="T225" s="855">
        <v>-60101</v>
      </c>
      <c r="U225" s="855">
        <f t="shared" si="87"/>
        <v>7595.5100000000093</v>
      </c>
      <c r="V225" s="857">
        <f>STDEV(D$2:D225)*SQRT(252)</f>
        <v>0.17831387977448732</v>
      </c>
      <c r="W225" s="857">
        <f>STDEV(L$2:L225)*SQRT(252)</f>
        <v>0.38026911407606601</v>
      </c>
      <c r="X225" s="826">
        <f t="shared" si="88"/>
        <v>-4.1767521031351645E-2</v>
      </c>
      <c r="Y225" s="826">
        <f t="shared" si="89"/>
        <v>-0.38913373808917301</v>
      </c>
      <c r="Z225" s="832">
        <f t="shared" si="90"/>
        <v>-0.12465711553670976</v>
      </c>
    </row>
    <row r="226" spans="1:26" ht="20.100000000000001" customHeight="1" x14ac:dyDescent="0.2">
      <c r="A226" s="801">
        <f t="shared" si="84"/>
        <v>325</v>
      </c>
      <c r="B226" s="849">
        <v>42558</v>
      </c>
      <c r="C226" s="850">
        <v>2088.5500000000002</v>
      </c>
      <c r="D226" s="817">
        <f t="shared" si="82"/>
        <v>0</v>
      </c>
      <c r="E226" s="851">
        <f t="shared" si="93"/>
        <v>-6.6066094632902111E-3</v>
      </c>
      <c r="F226" s="852">
        <v>4876.8</v>
      </c>
      <c r="G226" s="817">
        <f t="shared" si="76"/>
        <v>3.630257081470939E-3</v>
      </c>
      <c r="H226" s="853">
        <f t="shared" si="94"/>
        <v>-4.2205943005283041E-2</v>
      </c>
      <c r="I226" s="854">
        <v>350011.84</v>
      </c>
      <c r="J226" s="855">
        <v>400000</v>
      </c>
      <c r="K226" s="855">
        <f t="shared" si="95"/>
        <v>2517.3300000000163</v>
      </c>
      <c r="L226" s="817">
        <f t="shared" si="91"/>
        <v>7.2442295563173538E-3</v>
      </c>
      <c r="M226" s="856">
        <f t="shared" si="96"/>
        <v>-49988.159999999974</v>
      </c>
      <c r="N226" s="857">
        <f t="shared" si="92"/>
        <v>-0.12497039999999994</v>
      </c>
      <c r="O226" s="811">
        <f t="shared" si="85"/>
        <v>-0.14044750338461531</v>
      </c>
      <c r="P226" s="856" t="b">
        <f t="shared" si="97"/>
        <v>1</v>
      </c>
      <c r="Q226" s="857">
        <f>COUNTIF(P$2:P226, TRUE)/(COUNTIF(P$2:P226,FALSE) + COUNTIF(P$2:P226, TRUE))</f>
        <v>0.48888888888888887</v>
      </c>
      <c r="R226" s="855">
        <v>315794.82</v>
      </c>
      <c r="S226" s="855">
        <f t="shared" si="81"/>
        <v>34217.020000000019</v>
      </c>
      <c r="T226" s="855">
        <v>-60100</v>
      </c>
      <c r="U226" s="855">
        <f t="shared" si="87"/>
        <v>10111.840000000026</v>
      </c>
      <c r="V226" s="857">
        <f>STDEV(D$2:D226)*SQRT(252)</f>
        <v>0.17791362713368658</v>
      </c>
      <c r="W226" s="857">
        <f>STDEV(L$2:L226)*SQRT(252)</f>
        <v>0.3794918182893931</v>
      </c>
      <c r="X226" s="826">
        <f t="shared" si="88"/>
        <v>-4.1732680935694752E-2</v>
      </c>
      <c r="Y226" s="826">
        <f t="shared" si="89"/>
        <v>-0.37009362683417002</v>
      </c>
      <c r="Z226" s="832">
        <f t="shared" si="90"/>
        <v>-0.11836379053670973</v>
      </c>
    </row>
    <row r="227" spans="1:26" ht="20.100000000000001" customHeight="1" x14ac:dyDescent="0.2">
      <c r="A227" s="801">
        <f t="shared" si="84"/>
        <v>326</v>
      </c>
      <c r="B227" s="849">
        <v>42559</v>
      </c>
      <c r="C227" s="850">
        <v>2088.5500000000002</v>
      </c>
      <c r="D227" s="817">
        <f t="shared" si="82"/>
        <v>0</v>
      </c>
      <c r="E227" s="851">
        <f t="shared" si="93"/>
        <v>-6.6066094632902111E-3</v>
      </c>
      <c r="F227" s="852">
        <v>4956.75</v>
      </c>
      <c r="G227" s="817">
        <f t="shared" si="76"/>
        <v>1.6393946850393661E-2</v>
      </c>
      <c r="H227" s="853">
        <f t="shared" si="94"/>
        <v>-2.6503918141288729E-2</v>
      </c>
      <c r="I227" s="854">
        <f>356591.17-44.77</f>
        <v>356546.39999999997</v>
      </c>
      <c r="J227" s="855">
        <v>400000</v>
      </c>
      <c r="K227" s="855">
        <f t="shared" si="95"/>
        <v>6534.5599999999395</v>
      </c>
      <c r="L227" s="817">
        <f t="shared" si="91"/>
        <v>1.8669539864708401E-2</v>
      </c>
      <c r="M227" s="856">
        <f t="shared" si="96"/>
        <v>-43453.600000000035</v>
      </c>
      <c r="N227" s="857">
        <f t="shared" si="92"/>
        <v>-0.10863400000000009</v>
      </c>
      <c r="O227" s="811">
        <f t="shared" si="85"/>
        <v>-0.12171340030674857</v>
      </c>
      <c r="P227" s="856" t="b">
        <f t="shared" si="97"/>
        <v>1</v>
      </c>
      <c r="Q227" s="857">
        <f>COUNTIF(P$2:P227, TRUE)/(COUNTIF(P$2:P227,FALSE) + COUNTIF(P$2:P227, TRUE))</f>
        <v>0.49115044247787609</v>
      </c>
      <c r="R227" s="855">
        <v>317292.78000000003</v>
      </c>
      <c r="S227" s="855">
        <f t="shared" si="81"/>
        <v>39253.619999999937</v>
      </c>
      <c r="T227" s="855">
        <v>-54317</v>
      </c>
      <c r="U227" s="855">
        <f t="shared" si="87"/>
        <v>10863.399999999965</v>
      </c>
      <c r="V227" s="857">
        <f>STDEV(D$2:D227)*SQRT(252)</f>
        <v>0.17751605773328505</v>
      </c>
      <c r="W227" s="857">
        <f>STDEV(L$2:L227)*SQRT(252)</f>
        <v>0.37915328642285256</v>
      </c>
      <c r="X227" s="826">
        <f t="shared" si="88"/>
        <v>-4.169784542828521E-2</v>
      </c>
      <c r="Y227" s="826">
        <f t="shared" si="89"/>
        <v>-0.32101370254511552</v>
      </c>
      <c r="Z227" s="832">
        <f t="shared" si="90"/>
        <v>-0.10202739053670988</v>
      </c>
    </row>
    <row r="228" spans="1:26" ht="20.100000000000001" customHeight="1" x14ac:dyDescent="0.2">
      <c r="A228" s="801">
        <f t="shared" si="84"/>
        <v>329</v>
      </c>
      <c r="B228" s="820">
        <v>42562</v>
      </c>
      <c r="C228" s="845">
        <v>2137.16</v>
      </c>
      <c r="D228" s="817">
        <f t="shared" si="82"/>
        <v>2.3274520600416397E-2</v>
      </c>
      <c r="E228" s="844">
        <f t="shared" si="93"/>
        <v>1.6514145469073933E-2</v>
      </c>
      <c r="F228" s="841">
        <v>4988.63</v>
      </c>
      <c r="G228" s="817">
        <f t="shared" si="76"/>
        <v>6.4316336309073706E-3</v>
      </c>
      <c r="H228" s="822">
        <f t="shared" si="94"/>
        <v>-2.0242748001649689E-2</v>
      </c>
      <c r="I228" s="824">
        <v>356544.06</v>
      </c>
      <c r="J228" s="825">
        <v>400000</v>
      </c>
      <c r="K228" s="825">
        <f t="shared" si="95"/>
        <v>-2.3399999999674037</v>
      </c>
      <c r="L228" s="817">
        <f t="shared" si="91"/>
        <v>-6.5629606692632545E-6</v>
      </c>
      <c r="M228" s="842">
        <f t="shared" si="96"/>
        <v>-43455.94</v>
      </c>
      <c r="N228" s="827">
        <f t="shared" si="92"/>
        <v>-0.10863985000000001</v>
      </c>
      <c r="O228" s="811">
        <f t="shared" si="85"/>
        <v>-0.12061004623860183</v>
      </c>
      <c r="P228" s="842" t="b">
        <f t="shared" si="97"/>
        <v>0</v>
      </c>
      <c r="Q228" s="827">
        <f>COUNTIF(P$2:P228, TRUE)/(COUNTIF(P$2:P228,FALSE) + COUNTIF(P$2:P228, TRUE))</f>
        <v>0.48898678414096919</v>
      </c>
      <c r="R228" s="825">
        <v>315114.71999999997</v>
      </c>
      <c r="S228" s="825">
        <f t="shared" si="81"/>
        <v>41429.340000000026</v>
      </c>
      <c r="T228" s="825">
        <v>-55783</v>
      </c>
      <c r="U228" s="825">
        <f t="shared" si="87"/>
        <v>12327.059999999998</v>
      </c>
      <c r="V228" s="827">
        <f>STDEV(D$2:D228)*SQRT(252)</f>
        <v>0.17881334891320599</v>
      </c>
      <c r="W228" s="827">
        <f>STDEV(L$2:L228)*SQRT(252)</f>
        <v>0.37830983950867753</v>
      </c>
      <c r="X228" s="826">
        <f t="shared" si="88"/>
        <v>0.10252989097493433</v>
      </c>
      <c r="Y228" s="826">
        <f t="shared" si="89"/>
        <v>-0.31881287146864001</v>
      </c>
      <c r="Z228" s="832">
        <f t="shared" si="90"/>
        <v>-0.12515399546907394</v>
      </c>
    </row>
    <row r="229" spans="1:26" ht="20.100000000000001" customHeight="1" x14ac:dyDescent="0.2">
      <c r="A229" s="801">
        <f t="shared" si="84"/>
        <v>330</v>
      </c>
      <c r="B229" s="820">
        <v>42563</v>
      </c>
      <c r="C229" s="845">
        <v>2152.14</v>
      </c>
      <c r="D229" s="817">
        <f t="shared" si="82"/>
        <v>7.0093020644219524E-3</v>
      </c>
      <c r="E229" s="844">
        <f t="shared" si="93"/>
        <v>2.3639200167424428E-2</v>
      </c>
      <c r="F229" s="841">
        <v>5022.82</v>
      </c>
      <c r="G229" s="817">
        <f t="shared" si="76"/>
        <v>6.8535850524090985E-3</v>
      </c>
      <c r="H229" s="822">
        <f t="shared" si="94"/>
        <v>-1.3527898344364379E-2</v>
      </c>
      <c r="I229" s="824">
        <v>371135.11</v>
      </c>
      <c r="J229" s="825">
        <v>400000</v>
      </c>
      <c r="K229" s="825">
        <f t="shared" si="95"/>
        <v>14591.049999999988</v>
      </c>
      <c r="L229" s="817">
        <f t="shared" si="91"/>
        <v>4.092355373975376E-2</v>
      </c>
      <c r="M229" s="842">
        <f t="shared" si="96"/>
        <v>-28864.890000000014</v>
      </c>
      <c r="N229" s="827">
        <f t="shared" si="92"/>
        <v>-7.2162225000000038E-2</v>
      </c>
      <c r="O229" s="811">
        <f t="shared" si="85"/>
        <v>-7.9870462670454598E-2</v>
      </c>
      <c r="P229" s="842" t="b">
        <f t="shared" si="97"/>
        <v>1</v>
      </c>
      <c r="Q229" s="827">
        <f>COUNTIF(P$2:P229, TRUE)/(COUNTIF(P$2:P229,FALSE) + COUNTIF(P$2:P229, TRUE))</f>
        <v>0.49122807017543857</v>
      </c>
      <c r="R229" s="825">
        <v>321724.34999999998</v>
      </c>
      <c r="S229" s="825">
        <f t="shared" si="81"/>
        <v>49410.760000000009</v>
      </c>
      <c r="T229" s="825">
        <v>-44731</v>
      </c>
      <c r="U229" s="825">
        <f t="shared" si="87"/>
        <v>15866.109999999986</v>
      </c>
      <c r="V229" s="827">
        <f>STDEV(D$2:D229)*SQRT(252)</f>
        <v>0.17856422908432967</v>
      </c>
      <c r="W229" s="827">
        <f>STDEV(L$2:L229)*SQRT(252)</f>
        <v>0.37990463509326544</v>
      </c>
      <c r="X229" s="826">
        <f t="shared" si="88"/>
        <v>0.14652596818026906</v>
      </c>
      <c r="Y229" s="826">
        <f t="shared" si="89"/>
        <v>-0.21023818951523621</v>
      </c>
      <c r="Z229" s="832">
        <f t="shared" si="90"/>
        <v>-9.5801425167424459E-2</v>
      </c>
    </row>
    <row r="230" spans="1:26" ht="20.100000000000001" customHeight="1" x14ac:dyDescent="0.2">
      <c r="A230" s="801">
        <f t="shared" si="84"/>
        <v>331</v>
      </c>
      <c r="B230" s="820">
        <v>42564</v>
      </c>
      <c r="C230" s="845">
        <v>2152.4299999999998</v>
      </c>
      <c r="D230" s="817">
        <f t="shared" si="82"/>
        <v>1.347495980744578E-4</v>
      </c>
      <c r="E230" s="844">
        <f t="shared" si="93"/>
        <v>2.3777135138220249E-2</v>
      </c>
      <c r="F230" s="841">
        <v>5005.72</v>
      </c>
      <c r="G230" s="817">
        <f t="shared" si="76"/>
        <v>-3.4044620352709147E-3</v>
      </c>
      <c r="H230" s="822">
        <f t="shared" si="94"/>
        <v>-1.6886305163304902E-2</v>
      </c>
      <c r="I230" s="824">
        <v>368490.23999999999</v>
      </c>
      <c r="J230" s="825">
        <v>400000</v>
      </c>
      <c r="K230" s="825">
        <f t="shared" si="95"/>
        <v>-2644.8699999999953</v>
      </c>
      <c r="L230" s="817">
        <f t="shared" si="91"/>
        <v>-7.1264343597133547E-3</v>
      </c>
      <c r="M230" s="842">
        <f t="shared" si="96"/>
        <v>-31509.760000000009</v>
      </c>
      <c r="N230" s="827">
        <f t="shared" si="92"/>
        <v>-7.8774400000000022E-2</v>
      </c>
      <c r="O230" s="811">
        <f t="shared" si="85"/>
        <v>-8.6925527492447155E-2</v>
      </c>
      <c r="P230" s="842" t="b">
        <f t="shared" si="97"/>
        <v>0</v>
      </c>
      <c r="Q230" s="827">
        <f>COUNTIF(P$2:P230, TRUE)/(COUNTIF(P$2:P230,FALSE) + COUNTIF(P$2:P230, TRUE))</f>
        <v>0.48908296943231439</v>
      </c>
      <c r="R230" s="825">
        <v>319923.32</v>
      </c>
      <c r="S230" s="825">
        <f t="shared" si="81"/>
        <v>48566.919999999984</v>
      </c>
      <c r="T230" s="825">
        <v>-47124</v>
      </c>
      <c r="U230" s="825">
        <f t="shared" si="87"/>
        <v>15614.239999999991</v>
      </c>
      <c r="V230" s="827">
        <f>STDEV(D$2:D230)*SQRT(252)</f>
        <v>0.17817048471828337</v>
      </c>
      <c r="W230" s="827">
        <f>STDEV(L$2:L230)*SQRT(252)</f>
        <v>0.3791487014021947</v>
      </c>
      <c r="X230" s="826">
        <f t="shared" si="88"/>
        <v>0.1472604066572987</v>
      </c>
      <c r="Y230" s="826">
        <f t="shared" si="89"/>
        <v>-0.22926500122767923</v>
      </c>
      <c r="Z230" s="832">
        <f t="shared" si="90"/>
        <v>-0.10255153513822027</v>
      </c>
    </row>
    <row r="231" spans="1:26" ht="20.100000000000001" customHeight="1" x14ac:dyDescent="0.2">
      <c r="A231" s="801">
        <f t="shared" si="84"/>
        <v>332</v>
      </c>
      <c r="B231" s="820">
        <v>42565</v>
      </c>
      <c r="C231" s="845">
        <v>2163.75</v>
      </c>
      <c r="D231" s="817">
        <f t="shared" si="82"/>
        <v>5.2591721914302279E-3</v>
      </c>
      <c r="E231" s="844">
        <f t="shared" si="93"/>
        <v>2.9161355377561284E-2</v>
      </c>
      <c r="F231" s="841">
        <v>5034.05</v>
      </c>
      <c r="G231" s="817">
        <f t="shared" si="76"/>
        <v>5.6595255028247535E-3</v>
      </c>
      <c r="H231" s="822">
        <f t="shared" si="94"/>
        <v>-1.1322348135200354E-2</v>
      </c>
      <c r="I231" s="824">
        <v>370497.23</v>
      </c>
      <c r="J231" s="825">
        <v>400000</v>
      </c>
      <c r="K231" s="825">
        <f t="shared" si="95"/>
        <v>2006.9899999999907</v>
      </c>
      <c r="L231" s="817">
        <f t="shared" si="91"/>
        <v>5.4465214601070325E-3</v>
      </c>
      <c r="M231" s="842">
        <f t="shared" si="96"/>
        <v>-29502.770000000019</v>
      </c>
      <c r="N231" s="827">
        <f t="shared" si="92"/>
        <v>-7.3756925000000043E-2</v>
      </c>
      <c r="O231" s="811">
        <f t="shared" si="85"/>
        <v>-8.1143725470632574E-2</v>
      </c>
      <c r="P231" s="842" t="b">
        <f t="shared" si="97"/>
        <v>1</v>
      </c>
      <c r="Q231" s="827">
        <f>COUNTIF(P$2:P231, TRUE)/(COUNTIF(P$2:P231,FALSE) + COUNTIF(P$2:P231, TRUE))</f>
        <v>0.49130434782608695</v>
      </c>
      <c r="R231" s="825">
        <v>321931.40999999997</v>
      </c>
      <c r="S231" s="825">
        <f t="shared" si="81"/>
        <v>48565.820000000007</v>
      </c>
      <c r="T231" s="825">
        <v>-47213</v>
      </c>
      <c r="U231" s="825">
        <f t="shared" si="87"/>
        <v>17710.229999999981</v>
      </c>
      <c r="V231" s="827">
        <f>STDEV(D$2:D231)*SQRT(252)</f>
        <v>0.17785960012092625</v>
      </c>
      <c r="W231" s="827">
        <f>STDEV(L$2:L231)*SQRT(252)</f>
        <v>0.378354378552888</v>
      </c>
      <c r="X231" s="826">
        <f t="shared" si="88"/>
        <v>0.18037757120725123</v>
      </c>
      <c r="Y231" s="826">
        <f t="shared" si="89"/>
        <v>-0.21446487755999355</v>
      </c>
      <c r="Z231" s="832">
        <f t="shared" si="90"/>
        <v>-0.10291828037756133</v>
      </c>
    </row>
    <row r="232" spans="1:26" ht="20.100000000000001" customHeight="1" x14ac:dyDescent="0.2">
      <c r="A232" s="801">
        <f t="shared" si="84"/>
        <v>333</v>
      </c>
      <c r="B232" s="820">
        <v>42566</v>
      </c>
      <c r="C232" s="845">
        <v>2161.7399999999998</v>
      </c>
      <c r="D232" s="817">
        <f t="shared" si="82"/>
        <v>-9.2894280762575077E-4</v>
      </c>
      <c r="E232" s="844">
        <f t="shared" si="93"/>
        <v>2.8205323338596929E-2</v>
      </c>
      <c r="F232" s="841">
        <v>5029.58</v>
      </c>
      <c r="G232" s="817">
        <f t="shared" si="76"/>
        <v>-8.8795303979901958E-4</v>
      </c>
      <c r="H232" s="822">
        <f t="shared" si="94"/>
        <v>-1.2200247461555059E-2</v>
      </c>
      <c r="I232" s="824">
        <v>368347.44</v>
      </c>
      <c r="J232" s="825">
        <v>400000</v>
      </c>
      <c r="K232" s="825">
        <f t="shared" si="95"/>
        <v>-2149.789999999979</v>
      </c>
      <c r="L232" s="817">
        <f t="shared" si="91"/>
        <v>-5.8024455405509484E-3</v>
      </c>
      <c r="M232" s="842">
        <f t="shared" si="96"/>
        <v>-31652.559999999998</v>
      </c>
      <c r="N232" s="827">
        <f t="shared" si="92"/>
        <v>-7.9131399999999991E-2</v>
      </c>
      <c r="O232" s="811">
        <f t="shared" si="85"/>
        <v>-8.6795026576576575E-2</v>
      </c>
      <c r="P232" s="842" t="b">
        <f t="shared" si="97"/>
        <v>0</v>
      </c>
      <c r="Q232" s="827">
        <f>COUNTIF(P$2:P232, TRUE)/(COUNTIF(P$2:P232,FALSE) + COUNTIF(P$2:P232, TRUE))</f>
        <v>0.48917748917748916</v>
      </c>
      <c r="R232" s="825">
        <v>315227.08</v>
      </c>
      <c r="S232" s="825">
        <f t="shared" si="81"/>
        <v>53120.359999999986</v>
      </c>
      <c r="T232" s="825">
        <v>-48618</v>
      </c>
      <c r="U232" s="825">
        <f t="shared" si="87"/>
        <v>16965.440000000002</v>
      </c>
      <c r="V232" s="827">
        <f>STDEV(D$2:D232)*SQRT(252)</f>
        <v>0.17747468742677538</v>
      </c>
      <c r="W232" s="827">
        <f>STDEV(L$2:L232)*SQRT(252)</f>
        <v>0.37758235657631534</v>
      </c>
      <c r="X232" s="826">
        <f t="shared" si="88"/>
        <v>0.17431736557361255</v>
      </c>
      <c r="Y232" s="826">
        <f t="shared" si="89"/>
        <v>-0.22987045094898106</v>
      </c>
      <c r="Z232" s="832">
        <f t="shared" si="90"/>
        <v>-0.10733672333859692</v>
      </c>
    </row>
    <row r="233" spans="1:26" ht="20.100000000000001" customHeight="1" x14ac:dyDescent="0.2">
      <c r="A233" s="801">
        <f t="shared" si="84"/>
        <v>336</v>
      </c>
      <c r="B233" s="849">
        <v>42569</v>
      </c>
      <c r="C233" s="850">
        <v>2166.89</v>
      </c>
      <c r="D233" s="817">
        <f t="shared" si="82"/>
        <v>2.3823401519147036E-3</v>
      </c>
      <c r="E233" s="851">
        <f t="shared" si="93"/>
        <v>3.0654858164798907E-2</v>
      </c>
      <c r="F233" s="852">
        <v>5055.78</v>
      </c>
      <c r="G233" s="817">
        <f t="shared" si="76"/>
        <v>5.209182476469172E-3</v>
      </c>
      <c r="H233" s="853">
        <f t="shared" si="94"/>
        <v>-7.0546183003712066E-3</v>
      </c>
      <c r="I233" s="854">
        <f>369683.39+2.9</f>
        <v>369686.29000000004</v>
      </c>
      <c r="J233" s="855">
        <v>400000</v>
      </c>
      <c r="K233" s="855">
        <f t="shared" si="95"/>
        <v>1338.8500000000349</v>
      </c>
      <c r="L233" s="817">
        <f t="shared" si="91"/>
        <v>3.6347476719263611E-3</v>
      </c>
      <c r="M233" s="856">
        <f t="shared" si="96"/>
        <v>-30313.709999999963</v>
      </c>
      <c r="N233" s="857">
        <f t="shared" si="92"/>
        <v>-7.5784274999999901E-2</v>
      </c>
      <c r="O233" s="811">
        <f t="shared" si="85"/>
        <v>-8.2381566796874889E-2</v>
      </c>
      <c r="P233" s="856" t="b">
        <f t="shared" si="97"/>
        <v>1</v>
      </c>
      <c r="Q233" s="857">
        <f>COUNTIF(P$2:P233, TRUE)/(COUNTIF(P$2:P233,FALSE) + COUNTIF(P$2:P233, TRUE))</f>
        <v>0.49137931034482757</v>
      </c>
      <c r="R233" s="855">
        <v>316103.03999999998</v>
      </c>
      <c r="S233" s="855">
        <f t="shared" si="81"/>
        <v>53583.250000000058</v>
      </c>
      <c r="T233" s="855">
        <v>-47875</v>
      </c>
      <c r="U233" s="855">
        <f t="shared" si="87"/>
        <v>17561.290000000037</v>
      </c>
      <c r="V233" s="857">
        <f>STDEV(D$2:D233)*SQRT(252)</f>
        <v>0.17710334708213829</v>
      </c>
      <c r="W233" s="857">
        <f>STDEV(L$2:L233)*SQRT(252)</f>
        <v>0.37677647505559991</v>
      </c>
      <c r="X233" s="826">
        <f t="shared" si="88"/>
        <v>0.1881583470820907</v>
      </c>
      <c r="Y233" s="826">
        <f t="shared" si="89"/>
        <v>-0.21864838239892248</v>
      </c>
      <c r="Z233" s="832">
        <f t="shared" si="90"/>
        <v>-0.1064391331647988</v>
      </c>
    </row>
    <row r="234" spans="1:26" ht="20.100000000000001" customHeight="1" x14ac:dyDescent="0.2">
      <c r="A234" s="801">
        <f t="shared" si="84"/>
        <v>337</v>
      </c>
      <c r="B234" s="849">
        <v>42570</v>
      </c>
      <c r="C234" s="850">
        <v>2163.7800000000002</v>
      </c>
      <c r="D234" s="817">
        <f t="shared" si="82"/>
        <v>-1.4352366756040559E-3</v>
      </c>
      <c r="E234" s="851">
        <f t="shared" si="93"/>
        <v>2.9175624512471292E-2</v>
      </c>
      <c r="F234" s="852">
        <v>5036.37</v>
      </c>
      <c r="G234" s="817">
        <f t="shared" si="76"/>
        <v>-3.8391702170584669E-3</v>
      </c>
      <c r="H234" s="853">
        <f t="shared" si="94"/>
        <v>-1.0866704636958173E-2</v>
      </c>
      <c r="I234" s="854">
        <v>364028.85</v>
      </c>
      <c r="J234" s="855">
        <v>400000</v>
      </c>
      <c r="K234" s="855">
        <f t="shared" si="95"/>
        <v>-5657.4400000000605</v>
      </c>
      <c r="L234" s="817">
        <f t="shared" si="91"/>
        <v>-1.5303353554171728E-2</v>
      </c>
      <c r="M234" s="856">
        <f t="shared" si="96"/>
        <v>-35971.150000000023</v>
      </c>
      <c r="N234" s="857">
        <f t="shared" si="92"/>
        <v>-8.992787500000006E-2</v>
      </c>
      <c r="O234" s="811">
        <f t="shared" si="85"/>
        <v>-9.7466339298961494E-2</v>
      </c>
      <c r="P234" s="856" t="b">
        <f t="shared" si="97"/>
        <v>0</v>
      </c>
      <c r="Q234" s="857">
        <f>COUNTIF(P$2:P234, TRUE)/(COUNTIF(P$2:P234,FALSE) + COUNTIF(P$2:P234, TRUE))</f>
        <v>0.48927038626609443</v>
      </c>
      <c r="R234" s="855">
        <v>316420.40000000002</v>
      </c>
      <c r="S234" s="855">
        <f t="shared" si="81"/>
        <v>47608.449999999953</v>
      </c>
      <c r="T234" s="855">
        <v>-53164</v>
      </c>
      <c r="U234" s="855">
        <f t="shared" si="87"/>
        <v>17192.849999999977</v>
      </c>
      <c r="V234" s="857">
        <f>STDEV(D$2:D234)*SQRT(252)</f>
        <v>0.17672773618130258</v>
      </c>
      <c r="W234" s="857">
        <f>STDEV(L$2:L234)*SQRT(252)</f>
        <v>0.37631344049170978</v>
      </c>
      <c r="X234" s="826">
        <f t="shared" si="88"/>
        <v>0.17892695470833672</v>
      </c>
      <c r="Y234" s="826">
        <f t="shared" si="89"/>
        <v>-0.25900307778432563</v>
      </c>
      <c r="Z234" s="832">
        <f t="shared" si="90"/>
        <v>-0.11910349951247134</v>
      </c>
    </row>
    <row r="235" spans="1:26" ht="20.100000000000001" customHeight="1" x14ac:dyDescent="0.2">
      <c r="A235" s="801">
        <f t="shared" si="84"/>
        <v>338</v>
      </c>
      <c r="B235" s="849">
        <v>42571</v>
      </c>
      <c r="C235" s="850">
        <v>2173.02</v>
      </c>
      <c r="D235" s="817">
        <f t="shared" si="82"/>
        <v>4.2703047444748454E-3</v>
      </c>
      <c r="E235" s="851">
        <f t="shared" si="93"/>
        <v>3.3570518064724761E-2</v>
      </c>
      <c r="F235" s="852">
        <v>5089.93</v>
      </c>
      <c r="G235" s="817">
        <f t="shared" si="76"/>
        <v>1.0634643602435961E-2</v>
      </c>
      <c r="H235" s="853">
        <f t="shared" si="94"/>
        <v>-3.4762456546920032E-4</v>
      </c>
      <c r="I235" s="854">
        <v>366983.12</v>
      </c>
      <c r="J235" s="855">
        <v>400000</v>
      </c>
      <c r="K235" s="855">
        <f t="shared" si="95"/>
        <v>2954.2700000000186</v>
      </c>
      <c r="L235" s="817">
        <f t="shared" si="91"/>
        <v>8.1154831547005646E-3</v>
      </c>
      <c r="M235" s="856">
        <f t="shared" si="96"/>
        <v>-33016.880000000005</v>
      </c>
      <c r="N235" s="857">
        <f t="shared" si="92"/>
        <v>-8.254220000000001E-2</v>
      </c>
      <c r="O235" s="811">
        <f t="shared" si="85"/>
        <v>-8.9196859615384622E-2</v>
      </c>
      <c r="P235" s="856" t="b">
        <f t="shared" si="97"/>
        <v>1</v>
      </c>
      <c r="Q235" s="857">
        <f>COUNTIF(P$2:P235, TRUE)/(COUNTIF(P$2:P235,FALSE) + COUNTIF(P$2:P235, TRUE))</f>
        <v>0.49145299145299143</v>
      </c>
      <c r="R235" s="855">
        <v>315168.17</v>
      </c>
      <c r="S235" s="855">
        <f t="shared" si="81"/>
        <v>51814.950000000012</v>
      </c>
      <c r="T235" s="855">
        <v>-50698</v>
      </c>
      <c r="U235" s="855">
        <f t="shared" si="87"/>
        <v>17681.119999999995</v>
      </c>
      <c r="V235" s="857">
        <f>STDEV(D$2:D235)*SQRT(252)</f>
        <v>0.17639759874782845</v>
      </c>
      <c r="W235" s="857">
        <f>STDEV(L$2:L235)*SQRT(252)</f>
        <v>0.37559009819227351</v>
      </c>
      <c r="X235" s="826">
        <f t="shared" si="88"/>
        <v>0.20565482291076584</v>
      </c>
      <c r="Y235" s="826">
        <f t="shared" si="89"/>
        <v>-0.2374845877052984</v>
      </c>
      <c r="Z235" s="832">
        <f t="shared" si="90"/>
        <v>-0.11611271806472477</v>
      </c>
    </row>
    <row r="236" spans="1:26" ht="20.100000000000001" customHeight="1" x14ac:dyDescent="0.2">
      <c r="A236" s="801">
        <f t="shared" si="84"/>
        <v>339</v>
      </c>
      <c r="B236" s="849">
        <v>42572</v>
      </c>
      <c r="C236" s="850">
        <v>2165.17</v>
      </c>
      <c r="D236" s="817">
        <f t="shared" si="82"/>
        <v>-3.6124840084306217E-3</v>
      </c>
      <c r="E236" s="851">
        <f t="shared" si="93"/>
        <v>2.9836761096630589E-2</v>
      </c>
      <c r="F236" s="852">
        <v>5073.8999999999996</v>
      </c>
      <c r="G236" s="817">
        <f t="shared" si="76"/>
        <v>-3.1493556885852365E-3</v>
      </c>
      <c r="H236" s="853">
        <f t="shared" si="94"/>
        <v>-3.4958854606516846E-3</v>
      </c>
      <c r="I236" s="854">
        <f>360276.2+45</f>
        <v>360321.2</v>
      </c>
      <c r="J236" s="855">
        <v>400000</v>
      </c>
      <c r="K236" s="855">
        <f t="shared" si="95"/>
        <v>-6661.9199999999837</v>
      </c>
      <c r="L236" s="817">
        <f t="shared" si="91"/>
        <v>-1.8153205520733445E-2</v>
      </c>
      <c r="M236" s="856">
        <f t="shared" si="96"/>
        <v>-39678.799999999988</v>
      </c>
      <c r="N236" s="857">
        <f t="shared" si="92"/>
        <v>-9.9196999999999966E-2</v>
      </c>
      <c r="O236" s="811">
        <f t="shared" si="85"/>
        <v>-0.10687818362831855</v>
      </c>
      <c r="P236" s="856" t="b">
        <f t="shared" si="97"/>
        <v>0</v>
      </c>
      <c r="Q236" s="857">
        <f>COUNTIF(P$2:P236, TRUE)/(COUNTIF(P$2:P236,FALSE) + COUNTIF(P$2:P236, TRUE))</f>
        <v>0.48936170212765956</v>
      </c>
      <c r="R236" s="855">
        <v>315749.06</v>
      </c>
      <c r="S236" s="855">
        <f t="shared" si="81"/>
        <v>44572.140000000014</v>
      </c>
      <c r="T236" s="855">
        <v>-55981</v>
      </c>
      <c r="U236" s="855">
        <f t="shared" si="87"/>
        <v>16302.200000000012</v>
      </c>
      <c r="V236" s="857">
        <f>STDEV(D$2:D236)*SQRT(252)</f>
        <v>0.17606319207854554</v>
      </c>
      <c r="W236" s="857">
        <f>STDEV(L$2:L236)*SQRT(252)</f>
        <v>0.37527253812431671</v>
      </c>
      <c r="X236" s="826">
        <f t="shared" si="88"/>
        <v>0.18258858871123926</v>
      </c>
      <c r="Y236" s="826">
        <f t="shared" si="89"/>
        <v>-0.28480150496094381</v>
      </c>
      <c r="Z236" s="832">
        <f t="shared" si="90"/>
        <v>-0.12903376109663056</v>
      </c>
    </row>
    <row r="237" spans="1:26" ht="20.100000000000001" customHeight="1" x14ac:dyDescent="0.2">
      <c r="A237" s="801">
        <f t="shared" si="84"/>
        <v>340</v>
      </c>
      <c r="B237" s="849">
        <v>42573</v>
      </c>
      <c r="C237" s="850">
        <v>2175.0300000000002</v>
      </c>
      <c r="D237" s="817">
        <f t="shared" si="82"/>
        <v>4.553914935085987E-3</v>
      </c>
      <c r="E237" s="851">
        <f t="shared" si="93"/>
        <v>3.4526550103689116E-2</v>
      </c>
      <c r="F237" s="852">
        <v>5100.16</v>
      </c>
      <c r="G237" s="817">
        <f t="shared" si="76"/>
        <v>5.175506021009523E-3</v>
      </c>
      <c r="H237" s="853">
        <f t="shared" si="94"/>
        <v>1.6615275841074762E-3</v>
      </c>
      <c r="I237" s="854">
        <v>357414.17</v>
      </c>
      <c r="J237" s="855">
        <v>400000</v>
      </c>
      <c r="K237" s="855">
        <f t="shared" si="95"/>
        <v>-2907.0300000000279</v>
      </c>
      <c r="L237" s="817">
        <f t="shared" si="91"/>
        <v>-8.0678849870616208E-3</v>
      </c>
      <c r="M237" s="856">
        <f t="shared" si="96"/>
        <v>-42585.830000000016</v>
      </c>
      <c r="N237" s="857">
        <f t="shared" si="92"/>
        <v>-0.10646457500000005</v>
      </c>
      <c r="O237" s="811">
        <f t="shared" si="85"/>
        <v>-0.11437113534926477</v>
      </c>
      <c r="P237" s="856" t="b">
        <f t="shared" si="97"/>
        <v>0</v>
      </c>
      <c r="Q237" s="857">
        <f>COUNTIF(P$2:P237, TRUE)/(COUNTIF(P$2:P237,FALSE) + COUNTIF(P$2:P237, TRUE))</f>
        <v>0.48728813559322032</v>
      </c>
      <c r="R237" s="855">
        <v>316131.83</v>
      </c>
      <c r="S237" s="855">
        <f t="shared" ref="S237:S242" si="98">I237-R237</f>
        <v>41282.339999999967</v>
      </c>
      <c r="T237" s="855">
        <v>-58740</v>
      </c>
      <c r="U237" s="855">
        <f t="shared" ref="U237:U242" si="99">M237-T237</f>
        <v>16154.169999999984</v>
      </c>
      <c r="V237" s="857">
        <f>STDEV(D$2:D237)*SQRT(252)</f>
        <v>0.17574477489002999</v>
      </c>
      <c r="W237" s="857">
        <f>STDEV(L$2:L237)*SQRT(252)</f>
        <v>0.37456834740512818</v>
      </c>
      <c r="X237" s="826">
        <f t="shared" si="88"/>
        <v>0.21104840366082525</v>
      </c>
      <c r="Y237" s="826">
        <f t="shared" si="89"/>
        <v>-0.30534116441388054</v>
      </c>
      <c r="Z237" s="832">
        <f t="shared" si="90"/>
        <v>-0.14099112510368916</v>
      </c>
    </row>
    <row r="238" spans="1:26" ht="20.100000000000001" customHeight="1" x14ac:dyDescent="0.2">
      <c r="A238" s="801">
        <f t="shared" si="84"/>
        <v>343</v>
      </c>
      <c r="B238" s="820">
        <v>42576</v>
      </c>
      <c r="C238" s="845">
        <v>2168.48</v>
      </c>
      <c r="D238" s="817">
        <f t="shared" si="82"/>
        <v>-3.0114527155948108E-3</v>
      </c>
      <c r="E238" s="844">
        <f t="shared" si="93"/>
        <v>3.141112231502443E-2</v>
      </c>
      <c r="F238" s="841">
        <v>5097.62</v>
      </c>
      <c r="G238" s="817">
        <f t="shared" si="76"/>
        <v>-4.9802359141673275E-4</v>
      </c>
      <c r="H238" s="822">
        <f t="shared" si="94"/>
        <v>1.1626765127560684E-3</v>
      </c>
      <c r="I238" s="824">
        <v>355693.78</v>
      </c>
      <c r="J238" s="825">
        <v>400000</v>
      </c>
      <c r="K238" s="825">
        <f t="shared" si="95"/>
        <v>-1720.3899999999558</v>
      </c>
      <c r="L238" s="817">
        <f t="shared" si="91"/>
        <v>-4.8134353486879262E-3</v>
      </c>
      <c r="M238" s="842">
        <f t="shared" si="96"/>
        <v>-44306.219999999972</v>
      </c>
      <c r="N238" s="827">
        <f t="shared" si="92"/>
        <v>-0.11076554999999993</v>
      </c>
      <c r="O238" s="811">
        <f t="shared" si="85"/>
        <v>-0.11795077882653054</v>
      </c>
      <c r="P238" s="842" t="b">
        <f t="shared" si="97"/>
        <v>0</v>
      </c>
      <c r="Q238" s="827">
        <f>COUNTIF(P$2:P238, TRUE)/(COUNTIF(P$2:P238,FALSE) + COUNTIF(P$2:P238, TRUE))</f>
        <v>0.48523206751054854</v>
      </c>
      <c r="R238" s="825">
        <v>311346.09000000003</v>
      </c>
      <c r="S238" s="825">
        <f t="shared" si="98"/>
        <v>44347.69</v>
      </c>
      <c r="T238" s="825">
        <v>-60287</v>
      </c>
      <c r="U238" s="825">
        <f t="shared" si="99"/>
        <v>15980.780000000028</v>
      </c>
      <c r="V238" s="827">
        <f>STDEV(D$2:D238)*SQRT(252)</f>
        <v>0.17540195592552774</v>
      </c>
      <c r="W238" s="827">
        <f>STDEV(L$2:L238)*SQRT(252)</f>
        <v>0.37380634336339558</v>
      </c>
      <c r="X238" s="826">
        <f t="shared" si="88"/>
        <v>0.19069755577286238</v>
      </c>
      <c r="Y238" s="826">
        <f t="shared" si="89"/>
        <v>-0.3155398000077938</v>
      </c>
      <c r="Z238" s="832">
        <f t="shared" si="90"/>
        <v>-0.14217667231502437</v>
      </c>
    </row>
    <row r="239" spans="1:26" ht="20.100000000000001" customHeight="1" x14ac:dyDescent="0.2">
      <c r="A239" s="801">
        <f t="shared" si="84"/>
        <v>344</v>
      </c>
      <c r="B239" s="820">
        <v>42577</v>
      </c>
      <c r="C239" s="845">
        <v>2169.1799999999998</v>
      </c>
      <c r="D239" s="817">
        <f t="shared" si="82"/>
        <v>3.2280675865113727E-4</v>
      </c>
      <c r="E239" s="844">
        <f t="shared" si="93"/>
        <v>3.1744068796255673E-2</v>
      </c>
      <c r="F239" s="841">
        <v>5110.04</v>
      </c>
      <c r="G239" s="817">
        <f t="shared" si="76"/>
        <v>2.4364311188358632E-3</v>
      </c>
      <c r="H239" s="822">
        <f t="shared" si="94"/>
        <v>3.60194041282875E-3</v>
      </c>
      <c r="I239" s="824">
        <v>360934.05</v>
      </c>
      <c r="J239" s="825">
        <v>400000</v>
      </c>
      <c r="K239" s="825">
        <f t="shared" si="95"/>
        <v>5240.2699999999604</v>
      </c>
      <c r="L239" s="817">
        <f t="shared" si="91"/>
        <v>1.4732532011102247E-2</v>
      </c>
      <c r="M239" s="842">
        <f t="shared" si="96"/>
        <v>-39065.950000000012</v>
      </c>
      <c r="N239" s="827">
        <f t="shared" si="92"/>
        <v>-9.7664875000000026E-2</v>
      </c>
      <c r="O239" s="811">
        <f t="shared" si="85"/>
        <v>-0.10369795230741281</v>
      </c>
      <c r="P239" s="842" t="b">
        <f t="shared" si="97"/>
        <v>1</v>
      </c>
      <c r="Q239" s="827">
        <f>COUNTIF(P$2:P239, TRUE)/(COUNTIF(P$2:P239,FALSE) + COUNTIF(P$2:P239, TRUE))</f>
        <v>0.48739495798319327</v>
      </c>
      <c r="R239" s="825">
        <v>295609.99</v>
      </c>
      <c r="S239" s="825">
        <f t="shared" si="98"/>
        <v>65324.06</v>
      </c>
      <c r="T239" s="825">
        <v>-55468</v>
      </c>
      <c r="U239" s="825">
        <f t="shared" si="99"/>
        <v>16402.049999999988</v>
      </c>
      <c r="V239" s="827">
        <f>STDEV(D$2:D239)*SQRT(252)</f>
        <v>0.17502999912472075</v>
      </c>
      <c r="W239" s="827">
        <f>STDEV(L$2:L239)*SQRT(252)</f>
        <v>0.37331560015373266</v>
      </c>
      <c r="X239" s="826">
        <f t="shared" si="88"/>
        <v>0.19256700821077766</v>
      </c>
      <c r="Y239" s="826">
        <f t="shared" si="89"/>
        <v>-0.27777556647702273</v>
      </c>
      <c r="Z239" s="832">
        <f t="shared" si="90"/>
        <v>-0.1294089437962557</v>
      </c>
    </row>
    <row r="240" spans="1:26" ht="20.100000000000001" customHeight="1" x14ac:dyDescent="0.2">
      <c r="A240" s="801">
        <f t="shared" si="84"/>
        <v>345</v>
      </c>
      <c r="B240" s="820">
        <v>42578</v>
      </c>
      <c r="C240" s="845">
        <v>2166.58</v>
      </c>
      <c r="D240" s="817">
        <f t="shared" si="82"/>
        <v>-1.1986096128490532E-3</v>
      </c>
      <c r="E240" s="844">
        <f t="shared" si="93"/>
        <v>3.0507410437396486E-2</v>
      </c>
      <c r="F240" s="841">
        <v>5139.8100000000004</v>
      </c>
      <c r="G240" s="817">
        <f t="shared" si="76"/>
        <v>5.8257860995218113E-3</v>
      </c>
      <c r="H240" s="822">
        <f t="shared" si="94"/>
        <v>9.4487106467389254E-3</v>
      </c>
      <c r="I240" s="824">
        <f>351218.55-2.4</f>
        <v>351216.14999999997</v>
      </c>
      <c r="J240" s="825">
        <v>400000</v>
      </c>
      <c r="K240" s="825">
        <f t="shared" si="95"/>
        <v>-9717.9000000000233</v>
      </c>
      <c r="L240" s="817">
        <f t="shared" si="91"/>
        <v>-2.6924309302488982E-2</v>
      </c>
      <c r="M240" s="842">
        <f t="shared" si="96"/>
        <v>-48783.850000000035</v>
      </c>
      <c r="N240" s="827">
        <f t="shared" si="92"/>
        <v>-0.12195962500000009</v>
      </c>
      <c r="O240" s="811">
        <f t="shared" si="85"/>
        <v>-0.12911812472826095</v>
      </c>
      <c r="P240" s="842" t="b">
        <f t="shared" si="97"/>
        <v>0</v>
      </c>
      <c r="Q240" s="827">
        <f>COUNTIF(P$2:P240, TRUE)/(COUNTIF(P$2:P240,FALSE) + COUNTIF(P$2:P240, TRUE))</f>
        <v>0.48535564853556484</v>
      </c>
      <c r="R240" s="825">
        <v>295103.78999999998</v>
      </c>
      <c r="S240" s="825">
        <f t="shared" si="98"/>
        <v>56112.359999999986</v>
      </c>
      <c r="T240" s="825">
        <v>-64415</v>
      </c>
      <c r="U240" s="825">
        <f t="shared" si="99"/>
        <v>15631.149999999965</v>
      </c>
      <c r="V240" s="827">
        <f>STDEV(D$2:D240)*SQRT(252)</f>
        <v>0.17466621287076281</v>
      </c>
      <c r="W240" s="827">
        <f>STDEV(L$2:L240)*SQRT(252)</f>
        <v>0.37357383869513988</v>
      </c>
      <c r="X240" s="826">
        <f t="shared" si="88"/>
        <v>0.18491305363707838</v>
      </c>
      <c r="Y240" s="826">
        <f t="shared" si="89"/>
        <v>-0.34562946157915941</v>
      </c>
      <c r="Z240" s="832">
        <f t="shared" si="90"/>
        <v>-0.15246703543739656</v>
      </c>
    </row>
    <row r="241" spans="1:26" ht="20.100000000000001" customHeight="1" x14ac:dyDescent="0.2">
      <c r="A241" s="801">
        <f t="shared" si="84"/>
        <v>346</v>
      </c>
      <c r="B241" s="820">
        <v>42579</v>
      </c>
      <c r="C241" s="845">
        <v>2170.06</v>
      </c>
      <c r="D241" s="817">
        <f t="shared" si="82"/>
        <v>1.6062180948776498E-3</v>
      </c>
      <c r="E241" s="844">
        <f t="shared" si="93"/>
        <v>3.2162630086946545E-2</v>
      </c>
      <c r="F241" s="841">
        <v>5154.9799999999996</v>
      </c>
      <c r="G241" s="817">
        <f t="shared" si="76"/>
        <v>2.9514709687710563E-3</v>
      </c>
      <c r="H241" s="822">
        <f t="shared" si="94"/>
        <v>1.2428069210676148E-2</v>
      </c>
      <c r="I241" s="824">
        <v>351887.73</v>
      </c>
      <c r="J241" s="825">
        <v>400000</v>
      </c>
      <c r="K241" s="825">
        <f t="shared" si="95"/>
        <v>671.5800000000163</v>
      </c>
      <c r="L241" s="817">
        <f t="shared" si="91"/>
        <v>1.9121558049082206E-3</v>
      </c>
      <c r="M241" s="842">
        <f t="shared" si="96"/>
        <v>-48112.270000000019</v>
      </c>
      <c r="N241" s="827">
        <f t="shared" si="92"/>
        <v>-0.12028067500000005</v>
      </c>
      <c r="O241" s="811">
        <f t="shared" si="85"/>
        <v>-0.12697259116690757</v>
      </c>
      <c r="P241" s="842" t="b">
        <f t="shared" si="97"/>
        <v>1</v>
      </c>
      <c r="Q241" s="827">
        <f>COUNTIF(P$2:P241, TRUE)/(COUNTIF(P$2:P241,FALSE) + COUNTIF(P$2:P241, TRUE))</f>
        <v>0.48749999999999999</v>
      </c>
      <c r="R241" s="825">
        <v>306491.34999999998</v>
      </c>
      <c r="S241" s="825">
        <f t="shared" si="98"/>
        <v>45396.380000000005</v>
      </c>
      <c r="T241" s="825">
        <v>-63248</v>
      </c>
      <c r="U241" s="825">
        <f t="shared" si="99"/>
        <v>15135.729999999981</v>
      </c>
      <c r="V241" s="827">
        <f>STDEV(D$2:D241)*SQRT(252)</f>
        <v>0.17430497581384302</v>
      </c>
      <c r="W241" s="827">
        <f>STDEV(L$2:L241)*SQRT(252)</f>
        <v>0.37279274055236694</v>
      </c>
      <c r="X241" s="826">
        <f t="shared" si="88"/>
        <v>0.19478517357537825</v>
      </c>
      <c r="Y241" s="826">
        <f t="shared" si="89"/>
        <v>-0.34059834689584434</v>
      </c>
      <c r="Z241" s="832">
        <f t="shared" si="90"/>
        <v>-0.15244330508694659</v>
      </c>
    </row>
    <row r="242" spans="1:26" ht="20.100000000000001" customHeight="1" x14ac:dyDescent="0.2">
      <c r="A242" s="801">
        <f t="shared" si="84"/>
        <v>347</v>
      </c>
      <c r="B242" s="820">
        <v>42580</v>
      </c>
      <c r="C242" s="845">
        <v>2173.6</v>
      </c>
      <c r="D242" s="817">
        <f t="shared" si="82"/>
        <v>1.6312913007013464E-3</v>
      </c>
      <c r="E242" s="844">
        <f t="shared" si="93"/>
        <v>3.3846388006316397E-2</v>
      </c>
      <c r="F242" s="841">
        <v>5162.13</v>
      </c>
      <c r="G242" s="817">
        <f t="shared" si="76"/>
        <v>1.3870082910119044E-3</v>
      </c>
      <c r="H242" s="822">
        <f t="shared" si="94"/>
        <v>1.3832315336724531E-2</v>
      </c>
      <c r="I242" s="848">
        <v>352850.19</v>
      </c>
      <c r="J242" s="825">
        <v>400000</v>
      </c>
      <c r="K242" s="825">
        <f t="shared" si="95"/>
        <v>962.46000000002095</v>
      </c>
      <c r="L242" s="817">
        <f t="shared" si="91"/>
        <v>2.7351337314319569E-3</v>
      </c>
      <c r="M242" s="842">
        <f t="shared" si="96"/>
        <v>-47149.81</v>
      </c>
      <c r="N242" s="827">
        <f t="shared" si="92"/>
        <v>-0.11787452499999999</v>
      </c>
      <c r="O242" s="811">
        <f t="shared" si="85"/>
        <v>-0.12407397768371757</v>
      </c>
      <c r="P242" s="842" t="b">
        <f t="shared" si="97"/>
        <v>1</v>
      </c>
      <c r="Q242" s="827">
        <f>COUNTIF(P$2:P242, TRUE)/(COUNTIF(P$2:P242,FALSE) + COUNTIF(P$2:P242, TRUE))</f>
        <v>0.48962655601659749</v>
      </c>
      <c r="R242" s="825">
        <v>298371.77</v>
      </c>
      <c r="S242" s="825">
        <f t="shared" si="98"/>
        <v>54478.419999999984</v>
      </c>
      <c r="T242" s="825">
        <v>-61571</v>
      </c>
      <c r="U242" s="825">
        <f t="shared" si="99"/>
        <v>14421.190000000002</v>
      </c>
      <c r="V242" s="827">
        <f>STDEV(D$2:D242)*SQRT(252)</f>
        <v>0.173946186031568</v>
      </c>
      <c r="W242" s="827">
        <f>STDEV(L$2:L242)*SQRT(252)</f>
        <v>0.37202162492103208</v>
      </c>
      <c r="X242" s="826">
        <f t="shared" si="88"/>
        <v>0.20481330600104292</v>
      </c>
      <c r="Y242" s="826">
        <f t="shared" si="89"/>
        <v>-0.33351281047184927</v>
      </c>
      <c r="Z242" s="832">
        <f t="shared" si="90"/>
        <v>-0.1517209130063164</v>
      </c>
    </row>
    <row r="243" spans="1:26" ht="20.100000000000001" customHeight="1" x14ac:dyDescent="0.2">
      <c r="A243" s="801">
        <f t="shared" si="84"/>
        <v>350</v>
      </c>
      <c r="B243" s="849">
        <v>42583</v>
      </c>
      <c r="C243" s="850">
        <v>2170.84</v>
      </c>
      <c r="D243" s="817">
        <f t="shared" si="82"/>
        <v>-1.2697828487301084E-3</v>
      </c>
      <c r="E243" s="851">
        <f t="shared" si="93"/>
        <v>3.253362759460441E-2</v>
      </c>
      <c r="F243" s="852">
        <v>5184.1899999999996</v>
      </c>
      <c r="G243" s="817">
        <f t="shared" si="76"/>
        <v>4.2734297663947806E-3</v>
      </c>
      <c r="H243" s="853">
        <f t="shared" si="94"/>
        <v>1.8164856531217428E-2</v>
      </c>
      <c r="I243" s="854">
        <v>345131.68</v>
      </c>
      <c r="J243" s="855">
        <v>400000</v>
      </c>
      <c r="K243" s="855">
        <f t="shared" si="95"/>
        <v>-7718.5100000000093</v>
      </c>
      <c r="L243" s="817">
        <f t="shared" si="91"/>
        <v>-2.1874750868066725E-2</v>
      </c>
      <c r="M243" s="856">
        <f t="shared" si="96"/>
        <v>-54868.320000000007</v>
      </c>
      <c r="N243" s="857">
        <f t="shared" si="92"/>
        <v>-0.13717080000000001</v>
      </c>
      <c r="O243" s="811">
        <f t="shared" si="85"/>
        <v>-0.14314752771428574</v>
      </c>
      <c r="P243" s="856" t="b">
        <f t="shared" si="97"/>
        <v>0</v>
      </c>
      <c r="Q243" s="857">
        <f>COUNTIF(P$2:P243, TRUE)/(COUNTIF(P$2:P243,FALSE) + COUNTIF(P$2:P243, TRUE))</f>
        <v>0.48760330578512395</v>
      </c>
      <c r="R243" s="855">
        <v>293278.65999999997</v>
      </c>
      <c r="S243" s="855">
        <f t="shared" ref="S243:S251" si="100">I243-R243</f>
        <v>51853.020000000019</v>
      </c>
      <c r="T243" s="855">
        <v>-69701</v>
      </c>
      <c r="U243" s="855">
        <f t="shared" ref="U243:U251" si="101">M243-T243</f>
        <v>14832.679999999993</v>
      </c>
      <c r="V243" s="857">
        <f>STDEV(D$2:D243)*SQRT(252)</f>
        <v>0.17358991388387063</v>
      </c>
      <c r="W243" s="857">
        <f>STDEV(L$2:L243)*SQRT(252)</f>
        <v>0.37192751121581696</v>
      </c>
      <c r="X243" s="826">
        <f t="shared" si="88"/>
        <v>0.19558258579599885</v>
      </c>
      <c r="Y243" s="826">
        <f t="shared" si="89"/>
        <v>-0.38488018067376056</v>
      </c>
      <c r="Z243" s="832">
        <f t="shared" si="90"/>
        <v>-0.16970442759460441</v>
      </c>
    </row>
    <row r="244" spans="1:26" ht="20.100000000000001" customHeight="1" x14ac:dyDescent="0.2">
      <c r="A244" s="801">
        <f t="shared" si="84"/>
        <v>351</v>
      </c>
      <c r="B244" s="849">
        <v>42584</v>
      </c>
      <c r="C244" s="850">
        <v>2157.0300000000002</v>
      </c>
      <c r="D244" s="817">
        <f t="shared" si="82"/>
        <v>-6.3615927475078517E-3</v>
      </c>
      <c r="E244" s="851">
        <f t="shared" si="93"/>
        <v>2.5965069157740599E-2</v>
      </c>
      <c r="F244" s="852">
        <v>5137.7299999999996</v>
      </c>
      <c r="G244" s="817">
        <f t="shared" si="76"/>
        <v>-8.9618628946855801E-3</v>
      </c>
      <c r="H244" s="853">
        <f t="shared" si="94"/>
        <v>9.0402026827974442E-3</v>
      </c>
      <c r="I244" s="854">
        <v>341216.81</v>
      </c>
      <c r="J244" s="855">
        <v>400000</v>
      </c>
      <c r="K244" s="855">
        <f t="shared" si="95"/>
        <v>-3914.8699999999953</v>
      </c>
      <c r="L244" s="817">
        <f t="shared" si="91"/>
        <v>-1.1343119820237875E-2</v>
      </c>
      <c r="M244" s="856">
        <f t="shared" si="96"/>
        <v>-58783.19</v>
      </c>
      <c r="N244" s="857">
        <f t="shared" si="92"/>
        <v>-0.14695797500000002</v>
      </c>
      <c r="O244" s="811">
        <f t="shared" si="85"/>
        <v>-0.15292421757478633</v>
      </c>
      <c r="P244" s="856" t="b">
        <f t="shared" si="97"/>
        <v>0</v>
      </c>
      <c r="Q244" s="857">
        <f>COUNTIF(P$2:P244, TRUE)/(COUNTIF(P$2:P244,FALSE) + COUNTIF(P$2:P244, TRUE))</f>
        <v>0.48559670781893005</v>
      </c>
      <c r="R244" s="855">
        <v>294933.84999999998</v>
      </c>
      <c r="S244" s="855">
        <f t="shared" si="100"/>
        <v>46282.960000000021</v>
      </c>
      <c r="T244" s="855">
        <v>-70463</v>
      </c>
      <c r="U244" s="855">
        <f t="shared" si="101"/>
        <v>11679.809999999998</v>
      </c>
      <c r="V244" s="857">
        <f>STDEV(D$2:D244)*SQRT(252)</f>
        <v>0.17335845617207907</v>
      </c>
      <c r="W244" s="857">
        <f>STDEV(L$2:L244)*SQRT(252)</f>
        <v>0.37133699496327655</v>
      </c>
      <c r="X244" s="826">
        <f t="shared" si="88"/>
        <v>0.15585744807274621</v>
      </c>
      <c r="Y244" s="826">
        <f t="shared" si="89"/>
        <v>-0.41182058251403098</v>
      </c>
      <c r="Z244" s="832">
        <f t="shared" si="90"/>
        <v>-0.17292304415774062</v>
      </c>
    </row>
    <row r="245" spans="1:26" ht="20.100000000000001" customHeight="1" x14ac:dyDescent="0.2">
      <c r="A245" s="801">
        <f t="shared" si="84"/>
        <v>352</v>
      </c>
      <c r="B245" s="849">
        <v>42585</v>
      </c>
      <c r="C245" s="850">
        <v>2163.79</v>
      </c>
      <c r="D245" s="817">
        <f t="shared" si="82"/>
        <v>3.1339387954732955E-3</v>
      </c>
      <c r="E245" s="851">
        <f t="shared" si="93"/>
        <v>2.9180380890774484E-2</v>
      </c>
      <c r="F245" s="852">
        <v>5159.7299999999996</v>
      </c>
      <c r="G245" s="817">
        <f t="shared" si="76"/>
        <v>4.2820467404865578E-3</v>
      </c>
      <c r="H245" s="853">
        <f t="shared" si="94"/>
        <v>1.3360959993715213E-2</v>
      </c>
      <c r="I245" s="854">
        <v>347416.57</v>
      </c>
      <c r="J245" s="855">
        <v>400000</v>
      </c>
      <c r="K245" s="855">
        <f t="shared" si="95"/>
        <v>6199.7600000000093</v>
      </c>
      <c r="L245" s="817">
        <f t="shared" si="91"/>
        <v>1.8169562044730473E-2</v>
      </c>
      <c r="M245" s="856">
        <f t="shared" si="96"/>
        <v>-52583.429999999993</v>
      </c>
      <c r="N245" s="857">
        <f t="shared" si="92"/>
        <v>-0.13145857499999999</v>
      </c>
      <c r="O245" s="811">
        <f t="shared" si="85"/>
        <v>-0.13640694465553976</v>
      </c>
      <c r="P245" s="856" t="b">
        <f t="shared" si="97"/>
        <v>1</v>
      </c>
      <c r="Q245" s="857">
        <f>COUNTIF(P$2:P245, TRUE)/(COUNTIF(P$2:P245,FALSE) + COUNTIF(P$2:P245, TRUE))</f>
        <v>0.48770491803278687</v>
      </c>
      <c r="R245" s="855">
        <v>306485.61</v>
      </c>
      <c r="S245" s="855">
        <f t="shared" si="100"/>
        <v>40930.960000000021</v>
      </c>
      <c r="T245" s="855">
        <v>-64757</v>
      </c>
      <c r="U245" s="855">
        <f t="shared" si="101"/>
        <v>12173.570000000007</v>
      </c>
      <c r="V245" s="857">
        <f>STDEV(D$2:D245)*SQRT(252)</f>
        <v>0.17302631654204345</v>
      </c>
      <c r="W245" s="857">
        <f>STDEV(L$2:L245)*SQRT(252)</f>
        <v>0.37103067638911486</v>
      </c>
      <c r="X245" s="826">
        <f t="shared" si="88"/>
        <v>0.17499528811438669</v>
      </c>
      <c r="Y245" s="826">
        <f t="shared" si="89"/>
        <v>-0.36764330643238863</v>
      </c>
      <c r="Z245" s="832">
        <f t="shared" si="90"/>
        <v>-0.16063895589077448</v>
      </c>
    </row>
    <row r="246" spans="1:26" ht="20.100000000000001" customHeight="1" x14ac:dyDescent="0.2">
      <c r="A246" s="801">
        <f t="shared" si="84"/>
        <v>353</v>
      </c>
      <c r="B246" s="849">
        <v>42586</v>
      </c>
      <c r="C246" s="850">
        <v>2164.25</v>
      </c>
      <c r="D246" s="817">
        <f t="shared" si="82"/>
        <v>2.1258994634416298E-4</v>
      </c>
      <c r="E246" s="851">
        <f t="shared" si="93"/>
        <v>2.939917429272652E-2</v>
      </c>
      <c r="F246" s="852">
        <v>5166.24</v>
      </c>
      <c r="G246" s="817">
        <f t="shared" si="76"/>
        <v>1.2616939258449993E-3</v>
      </c>
      <c r="H246" s="853">
        <f t="shared" si="94"/>
        <v>1.4639511361627741E-2</v>
      </c>
      <c r="I246" s="854">
        <v>348668.66</v>
      </c>
      <c r="J246" s="855">
        <v>400000</v>
      </c>
      <c r="K246" s="855">
        <f t="shared" si="95"/>
        <v>1252.0899999999674</v>
      </c>
      <c r="L246" s="817">
        <f t="shared" si="91"/>
        <v>3.6040019622551895E-3</v>
      </c>
      <c r="M246" s="856">
        <f t="shared" si="96"/>
        <v>-51331.340000000026</v>
      </c>
      <c r="N246" s="857">
        <f t="shared" si="92"/>
        <v>-0.12832835000000006</v>
      </c>
      <c r="O246" s="811">
        <f t="shared" si="85"/>
        <v>-0.13278167092776211</v>
      </c>
      <c r="P246" s="856" t="b">
        <f t="shared" si="97"/>
        <v>1</v>
      </c>
      <c r="Q246" s="857">
        <f>COUNTIF(P$2:P246, TRUE)/(COUNTIF(P$2:P246,FALSE) + COUNTIF(P$2:P246, TRUE))</f>
        <v>0.48979591836734693</v>
      </c>
      <c r="R246" s="855">
        <v>306486.61</v>
      </c>
      <c r="S246" s="855">
        <f t="shared" si="100"/>
        <v>42182.049999999988</v>
      </c>
      <c r="T246" s="855">
        <v>-64756</v>
      </c>
      <c r="U246" s="855">
        <f t="shared" si="101"/>
        <v>13424.659999999974</v>
      </c>
      <c r="V246" s="857">
        <f>STDEV(D$2:D246)*SQRT(252)</f>
        <v>0.1726699319358726</v>
      </c>
      <c r="W246" s="857">
        <f>STDEV(L$2:L246)*SQRT(252)</f>
        <v>0.37028383202660053</v>
      </c>
      <c r="X246" s="826">
        <f t="shared" si="88"/>
        <v>0.17617080319104653</v>
      </c>
      <c r="Y246" s="826">
        <f t="shared" si="89"/>
        <v>-0.3585942983279467</v>
      </c>
      <c r="Z246" s="832">
        <f t="shared" si="90"/>
        <v>-0.15772752429272657</v>
      </c>
    </row>
    <row r="247" spans="1:26" ht="20.100000000000001" customHeight="1" x14ac:dyDescent="0.2">
      <c r="A247" s="801">
        <f t="shared" si="84"/>
        <v>354</v>
      </c>
      <c r="B247" s="849">
        <v>42587</v>
      </c>
      <c r="C247" s="850">
        <v>2182.87</v>
      </c>
      <c r="D247" s="817">
        <f t="shared" si="82"/>
        <v>8.6034423010280196E-3</v>
      </c>
      <c r="E247" s="851">
        <f t="shared" si="93"/>
        <v>3.8255550693479877E-2</v>
      </c>
      <c r="F247" s="852">
        <v>5221.12</v>
      </c>
      <c r="G247" s="817">
        <f t="shared" si="76"/>
        <v>1.0622812722599049E-2</v>
      </c>
      <c r="H247" s="853">
        <f t="shared" si="94"/>
        <v>2.5417836871771723E-2</v>
      </c>
      <c r="I247" s="854">
        <v>357514.04</v>
      </c>
      <c r="J247" s="855">
        <v>400000</v>
      </c>
      <c r="K247" s="855">
        <f t="shared" si="95"/>
        <v>8845.3800000000047</v>
      </c>
      <c r="L247" s="817">
        <f t="shared" si="91"/>
        <v>2.5369013664721128E-2</v>
      </c>
      <c r="M247" s="856">
        <f t="shared" si="96"/>
        <v>-42485.960000000021</v>
      </c>
      <c r="N247" s="857">
        <f t="shared" si="92"/>
        <v>-0.10621490000000006</v>
      </c>
      <c r="O247" s="811">
        <f t="shared" si="85"/>
        <v>-0.10959037351694921</v>
      </c>
      <c r="P247" s="856" t="b">
        <f t="shared" si="97"/>
        <v>1</v>
      </c>
      <c r="Q247" s="857">
        <f>COUNTIF(P$2:P247, TRUE)/(COUNTIF(P$2:P247,FALSE) + COUNTIF(P$2:P247, TRUE))</f>
        <v>0.491869918699187</v>
      </c>
      <c r="R247" s="855">
        <v>296324.56</v>
      </c>
      <c r="S247" s="855">
        <f t="shared" si="100"/>
        <v>61189.479999999981</v>
      </c>
      <c r="T247" s="855">
        <v>-56695</v>
      </c>
      <c r="U247" s="855">
        <f t="shared" si="101"/>
        <v>14209.039999999979</v>
      </c>
      <c r="V247" s="857">
        <f>STDEV(D$2:D247)*SQRT(252)</f>
        <v>0.17252748561218473</v>
      </c>
      <c r="W247" s="857">
        <f>STDEV(L$2:L247)*SQRT(252)</f>
        <v>0.37041269754030803</v>
      </c>
      <c r="X247" s="826">
        <f t="shared" si="88"/>
        <v>0.22878267185357812</v>
      </c>
      <c r="Y247" s="826">
        <f t="shared" si="89"/>
        <v>-0.29586019659875096</v>
      </c>
      <c r="Z247" s="832">
        <f t="shared" si="90"/>
        <v>-0.14447045069347994</v>
      </c>
    </row>
    <row r="248" spans="1:26" ht="20.100000000000001" customHeight="1" x14ac:dyDescent="0.2">
      <c r="A248" s="801">
        <f t="shared" si="84"/>
        <v>357</v>
      </c>
      <c r="B248" s="820">
        <v>42590</v>
      </c>
      <c r="C248" s="845">
        <v>2180.89</v>
      </c>
      <c r="D248" s="817">
        <f t="shared" si="82"/>
        <v>-9.0706272018032145E-4</v>
      </c>
      <c r="E248" s="844">
        <f t="shared" si="93"/>
        <v>3.7313787789425533E-2</v>
      </c>
      <c r="F248" s="841">
        <v>5213.1400000000003</v>
      </c>
      <c r="G248" s="817">
        <f t="shared" si="76"/>
        <v>-1.528407697965104E-3</v>
      </c>
      <c r="H248" s="822">
        <f t="shared" si="94"/>
        <v>2.3850580356266179E-2</v>
      </c>
      <c r="I248" s="824">
        <v>360717.48</v>
      </c>
      <c r="J248" s="825">
        <v>400000</v>
      </c>
      <c r="K248" s="825">
        <f t="shared" si="95"/>
        <v>3203.4400000000023</v>
      </c>
      <c r="L248" s="817">
        <f>K248/I247</f>
        <v>8.9603194324899878E-3</v>
      </c>
      <c r="M248" s="842">
        <f t="shared" si="96"/>
        <v>-39282.520000000019</v>
      </c>
      <c r="N248" s="827">
        <f t="shared" si="92"/>
        <v>-9.8206300000000052E-2</v>
      </c>
      <c r="O248" s="811">
        <f t="shared" si="85"/>
        <v>-0.10047577331932778</v>
      </c>
      <c r="P248" s="842" t="b">
        <f t="shared" si="97"/>
        <v>1</v>
      </c>
      <c r="Q248" s="827">
        <f>COUNTIF(P$2:P248, TRUE)/(COUNTIF(P$2:P248,FALSE) + COUNTIF(P$2:P248, TRUE))</f>
        <v>0.49392712550607287</v>
      </c>
      <c r="R248" s="825">
        <v>306053.2</v>
      </c>
      <c r="S248" s="825">
        <f t="shared" si="100"/>
        <v>54664.27999999997</v>
      </c>
      <c r="T248" s="825">
        <v>-53403</v>
      </c>
      <c r="U248" s="825">
        <f t="shared" si="101"/>
        <v>14120.479999999981</v>
      </c>
      <c r="V248" s="827">
        <f>STDEV(D$2:D248)*SQRT(252)</f>
        <v>0.17217875518634856</v>
      </c>
      <c r="W248" s="827">
        <f>STDEV(L$2:L248)*SQRT(252)</f>
        <v>0.36976250802064314</v>
      </c>
      <c r="X248" s="826">
        <f t="shared" si="88"/>
        <v>0.22172352891859115</v>
      </c>
      <c r="Y248" s="826">
        <f t="shared" si="89"/>
        <v>-0.27173055985902822</v>
      </c>
      <c r="Z248" s="832">
        <f t="shared" si="90"/>
        <v>-0.13552008778942559</v>
      </c>
    </row>
    <row r="249" spans="1:26" ht="20.100000000000001" customHeight="1" x14ac:dyDescent="0.2">
      <c r="A249" s="801">
        <f t="shared" si="84"/>
        <v>358</v>
      </c>
      <c r="B249" s="820">
        <v>42591</v>
      </c>
      <c r="C249" s="845">
        <v>2181.89</v>
      </c>
      <c r="D249" s="817">
        <f t="shared" si="82"/>
        <v>4.5852839895638939E-4</v>
      </c>
      <c r="E249" s="844">
        <f t="shared" si="93"/>
        <v>3.7789425619756005E-2</v>
      </c>
      <c r="F249" s="841">
        <v>5214.1400000000003</v>
      </c>
      <c r="G249" s="817">
        <f t="shared" si="76"/>
        <v>1.9182297041706148E-4</v>
      </c>
      <c r="H249" s="822">
        <f t="shared" si="94"/>
        <v>2.4046978415853352E-2</v>
      </c>
      <c r="I249" s="824">
        <v>360792.14</v>
      </c>
      <c r="J249" s="825">
        <v>400000</v>
      </c>
      <c r="K249" s="825">
        <f t="shared" si="95"/>
        <v>74.660000000032596</v>
      </c>
      <c r="L249" s="817">
        <f t="shared" ref="L249:L260" si="102">K249/I248</f>
        <v>2.0697638495376658E-4</v>
      </c>
      <c r="M249" s="842">
        <f t="shared" si="96"/>
        <v>-39207.859999999986</v>
      </c>
      <c r="N249" s="827">
        <f t="shared" si="92"/>
        <v>-9.8019649999999958E-2</v>
      </c>
      <c r="O249" s="811">
        <f t="shared" si="85"/>
        <v>-0.10000468481145247</v>
      </c>
      <c r="P249" s="842" t="b">
        <f t="shared" si="97"/>
        <v>0</v>
      </c>
      <c r="Q249" s="827">
        <f>COUNTIF(P$2:P249, TRUE)/(COUNTIF(P$2:P249,FALSE) + COUNTIF(P$2:P249, TRUE))</f>
        <v>0.49193548387096775</v>
      </c>
      <c r="R249" s="825">
        <v>312485.65999999997</v>
      </c>
      <c r="S249" s="825">
        <f t="shared" si="100"/>
        <v>48306.48000000004</v>
      </c>
      <c r="T249" s="825">
        <v>-52872</v>
      </c>
      <c r="U249" s="825">
        <f t="shared" si="101"/>
        <v>13664.140000000014</v>
      </c>
      <c r="V249" s="827">
        <f>STDEV(D$2:D249)*SQRT(252)</f>
        <v>0.17182862889451342</v>
      </c>
      <c r="W249" s="827">
        <f>STDEV(L$2:L249)*SQRT(252)</f>
        <v>0.36901019344056429</v>
      </c>
      <c r="X249" s="826">
        <f t="shared" si="88"/>
        <v>0.224378873969555</v>
      </c>
      <c r="Y249" s="826">
        <f t="shared" si="89"/>
        <v>-0.27100791953477571</v>
      </c>
      <c r="Z249" s="832">
        <f t="shared" si="90"/>
        <v>-0.13580907561975597</v>
      </c>
    </row>
    <row r="250" spans="1:26" ht="20.100000000000001" customHeight="1" x14ac:dyDescent="0.2">
      <c r="A250" s="801">
        <f t="shared" si="84"/>
        <v>359</v>
      </c>
      <c r="B250" s="820">
        <v>42592</v>
      </c>
      <c r="C250" s="845">
        <v>2175.4899999999998</v>
      </c>
      <c r="D250" s="817">
        <f t="shared" si="82"/>
        <v>-2.9332367809560022E-3</v>
      </c>
      <c r="E250" s="844">
        <f t="shared" si="93"/>
        <v>3.4745343505640937E-2</v>
      </c>
      <c r="F250" s="841">
        <v>5204.58</v>
      </c>
      <c r="G250" s="817">
        <f t="shared" si="76"/>
        <v>-1.8334758943949338E-3</v>
      </c>
      <c r="H250" s="822">
        <f t="shared" si="94"/>
        <v>2.2169412966199915E-2</v>
      </c>
      <c r="I250" s="824">
        <v>354430.79</v>
      </c>
      <c r="J250" s="825">
        <v>400000</v>
      </c>
      <c r="K250" s="825">
        <f t="shared" si="95"/>
        <v>-6361.3500000000349</v>
      </c>
      <c r="L250" s="817">
        <f t="shared" si="102"/>
        <v>-1.7631620245385709E-2</v>
      </c>
      <c r="M250" s="842">
        <f t="shared" si="96"/>
        <v>-45569.210000000021</v>
      </c>
      <c r="N250" s="827">
        <f t="shared" si="92"/>
        <v>-0.11392302500000005</v>
      </c>
      <c r="O250" s="811">
        <f t="shared" si="85"/>
        <v>-0.11590636457172708</v>
      </c>
      <c r="P250" s="842" t="b">
        <f t="shared" si="97"/>
        <v>0</v>
      </c>
      <c r="Q250" s="827">
        <f>COUNTIF(P$2:P250, TRUE)/(COUNTIF(P$2:P250,FALSE) + COUNTIF(P$2:P250, TRUE))</f>
        <v>0.48995983935742971</v>
      </c>
      <c r="R250" s="825">
        <v>304644.53999999998</v>
      </c>
      <c r="S250" s="825">
        <f t="shared" si="100"/>
        <v>49786.25</v>
      </c>
      <c r="T250" s="825">
        <v>-58573</v>
      </c>
      <c r="U250" s="825">
        <f t="shared" si="101"/>
        <v>13003.789999999979</v>
      </c>
      <c r="V250" s="827">
        <f>STDEV(D$2:D250)*SQRT(252)</f>
        <v>0.17150968940597233</v>
      </c>
      <c r="W250" s="827">
        <f>STDEV(L$2:L250)*SQRT(252)</f>
        <v>0.36870219429475543</v>
      </c>
      <c r="X250" s="826">
        <f t="shared" si="88"/>
        <v>0.2061122124913761</v>
      </c>
      <c r="Y250" s="826">
        <f t="shared" si="89"/>
        <v>-0.31436309944786184</v>
      </c>
      <c r="Z250" s="832">
        <f t="shared" si="90"/>
        <v>-0.148668368505641</v>
      </c>
    </row>
    <row r="251" spans="1:26" ht="20.100000000000001" customHeight="1" x14ac:dyDescent="0.2">
      <c r="A251" s="801">
        <f>B251-$B$2</f>
        <v>364</v>
      </c>
      <c r="B251" s="849">
        <v>42597</v>
      </c>
      <c r="C251" s="850">
        <v>2190.15</v>
      </c>
      <c r="D251" s="817">
        <f t="shared" si="82"/>
        <v>6.7387117385050311E-3</v>
      </c>
      <c r="E251" s="851">
        <f t="shared" si="93"/>
        <v>4.1718194098285817E-2</v>
      </c>
      <c r="F251" s="852">
        <v>5262.01</v>
      </c>
      <c r="G251" s="817">
        <f t="shared" si="76"/>
        <v>1.1034511910663356E-2</v>
      </c>
      <c r="H251" s="853">
        <f t="shared" si="94"/>
        <v>3.3448553528291222E-2</v>
      </c>
      <c r="I251" s="854">
        <v>368660.8</v>
      </c>
      <c r="J251" s="855">
        <v>400000</v>
      </c>
      <c r="K251" s="855">
        <f t="shared" si="95"/>
        <v>14230.010000000009</v>
      </c>
      <c r="L251" s="817">
        <f t="shared" si="102"/>
        <v>4.0148910313350626E-2</v>
      </c>
      <c r="M251" s="856">
        <f t="shared" si="96"/>
        <v>-31339.200000000012</v>
      </c>
      <c r="N251" s="857">
        <f t="shared" si="92"/>
        <v>-7.8348000000000029E-2</v>
      </c>
      <c r="O251" s="811">
        <f t="shared" si="85"/>
        <v>-7.8617052197802226E-2</v>
      </c>
      <c r="P251" s="856" t="b">
        <f t="shared" si="97"/>
        <v>1</v>
      </c>
      <c r="Q251" s="857">
        <f>COUNTIF(P$2:P251, TRUE)/(COUNTIF(P$2:P251,FALSE) + COUNTIF(P$2:P251, TRUE))</f>
        <v>0.49199999999999999</v>
      </c>
      <c r="R251" s="855">
        <v>269504.8</v>
      </c>
      <c r="S251" s="855">
        <f t="shared" si="100"/>
        <v>99156</v>
      </c>
      <c r="T251" s="855">
        <v>-45515</v>
      </c>
      <c r="U251" s="855">
        <f t="shared" si="101"/>
        <v>14175.799999999988</v>
      </c>
      <c r="V251" s="857">
        <f>STDEV(D$2:D251)*SQRT(252)</f>
        <v>0.17129006286582368</v>
      </c>
      <c r="W251" s="857">
        <f>STDEV(L$2:L251)*SQRT(252)</f>
        <v>0.37015124159076757</v>
      </c>
      <c r="X251" s="826">
        <f t="shared" si="88"/>
        <v>0.24438929163252596</v>
      </c>
      <c r="Y251" s="826">
        <f t="shared" si="89"/>
        <v>-0.21239170199709825</v>
      </c>
      <c r="Z251" s="832">
        <f t="shared" si="90"/>
        <v>-0.12006619409828584</v>
      </c>
    </row>
    <row r="252" spans="1:26" ht="20.100000000000001" customHeight="1" x14ac:dyDescent="0.2">
      <c r="A252" s="801">
        <f t="shared" ref="A252:A276" si="103">B252-$B$2</f>
        <v>365</v>
      </c>
      <c r="B252" s="849">
        <v>42598</v>
      </c>
      <c r="C252" s="850">
        <v>2178.15</v>
      </c>
      <c r="D252" s="817">
        <f t="shared" si="82"/>
        <v>-5.479076775563317E-3</v>
      </c>
      <c r="E252" s="851">
        <f t="shared" si="93"/>
        <v>3.6010540134320139E-2</v>
      </c>
      <c r="F252" s="852">
        <v>5227.1099999999997</v>
      </c>
      <c r="G252" s="817">
        <f t="shared" si="76"/>
        <v>-6.6324465365897338E-3</v>
      </c>
      <c r="H252" s="853">
        <f t="shared" si="94"/>
        <v>2.6594261248698837E-2</v>
      </c>
      <c r="I252" s="854">
        <f>368660.8+2262.39</f>
        <v>370923.19</v>
      </c>
      <c r="J252" s="855">
        <v>400000</v>
      </c>
      <c r="K252" s="855">
        <f t="shared" si="95"/>
        <v>2262.390000000014</v>
      </c>
      <c r="L252" s="817">
        <f t="shared" si="102"/>
        <v>6.1367793917878281E-3</v>
      </c>
      <c r="M252" s="856">
        <f t="shared" si="96"/>
        <v>-29076.809999999998</v>
      </c>
      <c r="N252" s="857">
        <f t="shared" si="92"/>
        <v>-7.2692024999999993E-2</v>
      </c>
      <c r="O252" s="811">
        <f t="shared" si="85"/>
        <v>-7.2741814058219167E-2</v>
      </c>
      <c r="P252" s="856" t="b">
        <f t="shared" si="97"/>
        <v>1</v>
      </c>
      <c r="Q252" s="857">
        <f>COUNTIF(P$2:P252, TRUE)/(COUNTIF(P$2:P252,FALSE) + COUNTIF(P$2:P252, TRUE))</f>
        <v>0.49402390438247012</v>
      </c>
      <c r="R252" s="855"/>
      <c r="S252" s="855"/>
      <c r="T252" s="855"/>
      <c r="U252" s="855"/>
      <c r="V252" s="857">
        <f>STDEV(D$2:D252)*SQRT(252)</f>
        <v>0.17104156878989371</v>
      </c>
      <c r="W252" s="857">
        <f>STDEV(L$2:L252)*SQRT(252)</f>
        <v>0.36945344751699344</v>
      </c>
      <c r="X252" s="826">
        <f t="shared" si="88"/>
        <v>0.21068097739504599</v>
      </c>
      <c r="Y252" s="826">
        <f t="shared" si="89"/>
        <v>-0.19689033773293813</v>
      </c>
      <c r="Z252" s="832">
        <f t="shared" si="90"/>
        <v>-0.10870256513432014</v>
      </c>
    </row>
    <row r="253" spans="1:26" ht="20.100000000000001" customHeight="1" x14ac:dyDescent="0.2">
      <c r="A253" s="801">
        <f t="shared" si="103"/>
        <v>366</v>
      </c>
      <c r="B253" s="849">
        <v>42599</v>
      </c>
      <c r="C253" s="850">
        <v>2182.2199999999998</v>
      </c>
      <c r="D253" s="817">
        <f t="shared" si="82"/>
        <v>1.8685581801068378E-3</v>
      </c>
      <c r="E253" s="851">
        <f t="shared" si="93"/>
        <v>3.794638610376503E-2</v>
      </c>
      <c r="F253" s="852">
        <v>5228.6499999999996</v>
      </c>
      <c r="G253" s="817">
        <f t="shared" si="76"/>
        <v>2.946178672344687E-4</v>
      </c>
      <c r="H253" s="853">
        <f t="shared" si="94"/>
        <v>2.6896714260463073E-2</v>
      </c>
      <c r="I253" s="854">
        <v>375295.13</v>
      </c>
      <c r="J253" s="855">
        <v>400000</v>
      </c>
      <c r="K253" s="855">
        <f t="shared" si="95"/>
        <v>4371.9400000000023</v>
      </c>
      <c r="L253" s="817">
        <f t="shared" si="102"/>
        <v>1.1786645100296917E-2</v>
      </c>
      <c r="M253" s="856">
        <f t="shared" si="96"/>
        <v>-24704.869999999995</v>
      </c>
      <c r="N253" s="857">
        <f t="shared" si="92"/>
        <v>-6.1762174999999989E-2</v>
      </c>
      <c r="O253" s="811">
        <f t="shared" si="85"/>
        <v>-6.1635613165983594E-2</v>
      </c>
      <c r="P253" s="856" t="b">
        <f t="shared" si="97"/>
        <v>1</v>
      </c>
      <c r="Q253" s="857">
        <f>COUNTIF(P$2:P253, TRUE)/(COUNTIF(P$2:P253,FALSE) + COUNTIF(P$2:P253, TRUE))</f>
        <v>0.49603174603174605</v>
      </c>
      <c r="R253" s="855">
        <v>255293.6</v>
      </c>
      <c r="S253" s="855">
        <f t="shared" ref="S253:S284" si="104">I253-R253</f>
        <v>120001.53</v>
      </c>
      <c r="T253" s="855">
        <v>-39008</v>
      </c>
      <c r="U253" s="855">
        <f t="shared" ref="U253:U284" si="105">M253-T253</f>
        <v>14303.130000000005</v>
      </c>
      <c r="V253" s="857">
        <f>STDEV(D$2:D253)*SQRT(252)</f>
        <v>0.17070733564482474</v>
      </c>
      <c r="W253" s="857">
        <f>STDEV(L$2:L253)*SQRT(252)</f>
        <v>0.36889217852396583</v>
      </c>
      <c r="X253" s="826">
        <f t="shared" si="88"/>
        <v>0.22183362520892069</v>
      </c>
      <c r="Y253" s="826">
        <f t="shared" si="89"/>
        <v>-0.16708300352857525</v>
      </c>
      <c r="Z253" s="832">
        <f t="shared" si="90"/>
        <v>-9.9708561103765025E-2</v>
      </c>
    </row>
    <row r="254" spans="1:26" ht="20.100000000000001" customHeight="1" x14ac:dyDescent="0.2">
      <c r="A254" s="801">
        <f t="shared" si="103"/>
        <v>367</v>
      </c>
      <c r="B254" s="849">
        <v>42600</v>
      </c>
      <c r="C254" s="850">
        <v>2187.02</v>
      </c>
      <c r="D254" s="817">
        <f t="shared" si="82"/>
        <v>2.1995949079378716E-3</v>
      </c>
      <c r="E254" s="851">
        <f t="shared" si="93"/>
        <v>4.0229447689351383E-2</v>
      </c>
      <c r="F254" s="852">
        <v>5240.1400000000003</v>
      </c>
      <c r="G254" s="817">
        <f t="shared" si="76"/>
        <v>2.1975079609460745E-3</v>
      </c>
      <c r="H254" s="853">
        <f t="shared" si="94"/>
        <v>2.9153327965119807E-2</v>
      </c>
      <c r="I254" s="854">
        <v>382262.83</v>
      </c>
      <c r="J254" s="855">
        <v>400000</v>
      </c>
      <c r="K254" s="855">
        <f t="shared" si="95"/>
        <v>6967.7000000000116</v>
      </c>
      <c r="L254" s="817">
        <f t="shared" si="102"/>
        <v>1.8565921705405587E-2</v>
      </c>
      <c r="M254" s="856">
        <f t="shared" ref="M254:M259" si="106">I254-J254</f>
        <v>-17737.169999999984</v>
      </c>
      <c r="N254" s="857">
        <f t="shared" ref="N254:N285" si="107">M254/J254</f>
        <v>-4.4342924999999957E-2</v>
      </c>
      <c r="O254" s="811">
        <f t="shared" si="85"/>
        <v>-4.4131480534741106E-2</v>
      </c>
      <c r="P254" s="856" t="b">
        <f t="shared" si="97"/>
        <v>1</v>
      </c>
      <c r="Q254" s="857">
        <f>COUNTIF(P$2:P254, TRUE)/(COUNTIF(P$2:P254,FALSE) + COUNTIF(P$2:P254, TRUE))</f>
        <v>0.49802371541501977</v>
      </c>
      <c r="R254" s="855">
        <v>234684.9</v>
      </c>
      <c r="S254" s="855">
        <f t="shared" si="104"/>
        <v>147577.93000000002</v>
      </c>
      <c r="T254" s="855">
        <v>-32026</v>
      </c>
      <c r="U254" s="855">
        <f t="shared" si="105"/>
        <v>14288.830000000016</v>
      </c>
      <c r="V254" s="857">
        <f>STDEV(D$2:D254)*SQRT(252)</f>
        <v>0.17037860468394234</v>
      </c>
      <c r="W254" s="857">
        <f>STDEV(L$2:L254)*SQRT(252)</f>
        <v>0.36860527111095059</v>
      </c>
      <c r="X254" s="826">
        <f t="shared" si="88"/>
        <v>0.23499205180244426</v>
      </c>
      <c r="Y254" s="826">
        <f t="shared" si="89"/>
        <v>-0.11972558179033062</v>
      </c>
      <c r="Z254" s="832">
        <f t="shared" si="90"/>
        <v>-8.4572372689351333E-2</v>
      </c>
    </row>
    <row r="255" spans="1:26" ht="20.100000000000001" customHeight="1" x14ac:dyDescent="0.2">
      <c r="A255" s="801">
        <f t="shared" si="103"/>
        <v>368</v>
      </c>
      <c r="B255" s="849">
        <v>42601</v>
      </c>
      <c r="C255" s="850">
        <v>2183.87</v>
      </c>
      <c r="D255" s="817">
        <f t="shared" si="82"/>
        <v>-1.4403160464925291E-3</v>
      </c>
      <c r="E255" s="851">
        <f t="shared" si="93"/>
        <v>3.8731188523810349E-2</v>
      </c>
      <c r="F255" s="852">
        <v>5238.37</v>
      </c>
      <c r="G255" s="817">
        <f t="shared" si="76"/>
        <v>-3.377772349594546E-4</v>
      </c>
      <c r="H255" s="853">
        <f t="shared" si="94"/>
        <v>2.8805703399650426E-2</v>
      </c>
      <c r="I255" s="854">
        <v>382810.75</v>
      </c>
      <c r="J255" s="855">
        <v>400000</v>
      </c>
      <c r="K255" s="855">
        <f t="shared" si="95"/>
        <v>547.9199999999837</v>
      </c>
      <c r="L255" s="817">
        <f t="shared" si="102"/>
        <v>1.4333593459766509E-3</v>
      </c>
      <c r="M255" s="856">
        <f t="shared" si="106"/>
        <v>-17189.25</v>
      </c>
      <c r="N255" s="857">
        <f t="shared" si="107"/>
        <v>-4.2973125000000001E-2</v>
      </c>
      <c r="O255" s="811">
        <f t="shared" si="85"/>
        <v>-4.265199431046196E-2</v>
      </c>
      <c r="P255" s="856" t="b">
        <f t="shared" si="97"/>
        <v>1</v>
      </c>
      <c r="Q255" s="857">
        <f>COUNTIF(P$2:P255, TRUE)/(COUNTIF(P$2:P255,FALSE) + COUNTIF(P$2:P255, TRUE))</f>
        <v>0.5</v>
      </c>
      <c r="R255" s="855">
        <v>232963</v>
      </c>
      <c r="S255" s="855">
        <f t="shared" si="104"/>
        <v>149847.75</v>
      </c>
      <c r="T255" s="855">
        <v>-31491</v>
      </c>
      <c r="U255" s="855">
        <f t="shared" si="105"/>
        <v>14301.75</v>
      </c>
      <c r="V255" s="857">
        <f>STDEV(D$2:D255)*SQRT(252)</f>
        <v>0.17004823124419763</v>
      </c>
      <c r="W255" s="857">
        <f>STDEV(L$2:L255)*SQRT(252)</f>
        <v>0.36787447588145594</v>
      </c>
      <c r="X255" s="826">
        <f t="shared" si="88"/>
        <v>0.22606384557229847</v>
      </c>
      <c r="Y255" s="826">
        <f t="shared" si="89"/>
        <v>-0.11594170595354422</v>
      </c>
      <c r="Z255" s="832">
        <f t="shared" si="90"/>
        <v>-8.1704313523810357E-2</v>
      </c>
    </row>
    <row r="256" spans="1:26" ht="20.100000000000001" customHeight="1" x14ac:dyDescent="0.2">
      <c r="A256" s="801">
        <f t="shared" si="103"/>
        <v>371</v>
      </c>
      <c r="B256" s="820">
        <v>42604</v>
      </c>
      <c r="C256" s="845">
        <v>2182.64</v>
      </c>
      <c r="D256" s="817">
        <f t="shared" si="82"/>
        <v>-5.6322033820695291E-4</v>
      </c>
      <c r="E256" s="844">
        <f t="shared" ref="E256:E287" si="108">(C256-$C$2)/$C$2</f>
        <v>3.8146153992503859E-2</v>
      </c>
      <c r="F256" s="841">
        <v>5244.6</v>
      </c>
      <c r="G256" s="817">
        <f t="shared" ref="G256:G261" si="109">(F256-F255)/F255</f>
        <v>1.1893012521071388E-3</v>
      </c>
      <c r="H256" s="822">
        <f t="shared" ref="H256:H287" si="110">(F256-F$2)/F$2</f>
        <v>3.0029263310878598E-2</v>
      </c>
      <c r="I256" s="824">
        <v>377083.42</v>
      </c>
      <c r="J256" s="825">
        <v>400000</v>
      </c>
      <c r="K256" s="825">
        <f t="shared" ref="K256:K287" si="111">I256-I255-J256+J255</f>
        <v>-5727.3300000000163</v>
      </c>
      <c r="L256" s="817">
        <f t="shared" si="102"/>
        <v>-1.4961256965746171E-2</v>
      </c>
      <c r="M256" s="842">
        <f t="shared" si="106"/>
        <v>-22916.580000000016</v>
      </c>
      <c r="N256" s="827">
        <f t="shared" si="107"/>
        <v>-5.7291450000000042E-2</v>
      </c>
      <c r="O256" s="811">
        <f t="shared" si="85"/>
        <v>-5.6403509737196808E-2</v>
      </c>
      <c r="P256" s="842" t="b">
        <f t="shared" ref="P256:P287" si="112">L256&gt;D256</f>
        <v>0</v>
      </c>
      <c r="Q256" s="827">
        <f>COUNTIF(P$2:P256, TRUE)/(COUNTIF(P$2:P256,FALSE) + COUNTIF(P$2:P256, TRUE))</f>
        <v>0.49803921568627452</v>
      </c>
      <c r="R256" s="825">
        <v>255242.1</v>
      </c>
      <c r="S256" s="825">
        <f t="shared" si="104"/>
        <v>121841.31999999998</v>
      </c>
      <c r="T256" s="825">
        <v>-37372</v>
      </c>
      <c r="U256" s="825">
        <f t="shared" si="105"/>
        <v>14455.419999999984</v>
      </c>
      <c r="V256" s="827">
        <f>STDEV(D$2:D256)*SQRT(252)</f>
        <v>0.1697135708935549</v>
      </c>
      <c r="W256" s="827">
        <f>STDEV(L$2:L256)*SQRT(252)</f>
        <v>0.36746793184663218</v>
      </c>
      <c r="X256" s="826">
        <f t="shared" si="88"/>
        <v>0.22128424861843085</v>
      </c>
      <c r="Y256" s="826">
        <f t="shared" si="89"/>
        <v>-0.15349233184444946</v>
      </c>
      <c r="Z256" s="832">
        <f t="shared" si="90"/>
        <v>-9.5437603992503894E-2</v>
      </c>
    </row>
    <row r="257" spans="1:26" ht="20.100000000000001" customHeight="1" x14ac:dyDescent="0.2">
      <c r="A257" s="801">
        <f t="shared" si="103"/>
        <v>372</v>
      </c>
      <c r="B257" s="820">
        <v>42605</v>
      </c>
      <c r="C257" s="845">
        <v>2186.9</v>
      </c>
      <c r="D257" s="817">
        <f t="shared" ref="D257:D263" si="113">(C257-C256)/C256</f>
        <v>1.951764835245491E-3</v>
      </c>
      <c r="E257" s="844">
        <f t="shared" si="108"/>
        <v>4.0172371149711783E-2</v>
      </c>
      <c r="F257" s="841">
        <v>5260.07</v>
      </c>
      <c r="G257" s="817">
        <f t="shared" si="109"/>
        <v>2.9497006444722845E-3</v>
      </c>
      <c r="H257" s="822">
        <f t="shared" si="110"/>
        <v>3.3067541292692008E-2</v>
      </c>
      <c r="I257" s="824">
        <v>383610.05</v>
      </c>
      <c r="J257" s="825">
        <v>400000</v>
      </c>
      <c r="K257" s="825">
        <f t="shared" si="111"/>
        <v>6526.6300000000047</v>
      </c>
      <c r="L257" s="817">
        <f t="shared" si="102"/>
        <v>1.7308186077234593E-2</v>
      </c>
      <c r="M257" s="842">
        <f t="shared" si="106"/>
        <v>-16389.950000000012</v>
      </c>
      <c r="N257" s="827">
        <f t="shared" si="107"/>
        <v>-4.0974875000000029E-2</v>
      </c>
      <c r="O257" s="811">
        <f t="shared" si="85"/>
        <v>-4.023137928427422E-2</v>
      </c>
      <c r="P257" s="842" t="b">
        <f t="shared" si="112"/>
        <v>1</v>
      </c>
      <c r="Q257" s="827">
        <f>COUNTIF(P$2:P257, TRUE)/(COUNTIF(P$2:P257,FALSE) + COUNTIF(P$2:P257, TRUE))</f>
        <v>0.5</v>
      </c>
      <c r="R257" s="825">
        <v>237329.4</v>
      </c>
      <c r="S257" s="825">
        <f t="shared" si="104"/>
        <v>146280.65</v>
      </c>
      <c r="T257" s="825">
        <v>-30977</v>
      </c>
      <c r="U257" s="825">
        <f t="shared" si="105"/>
        <v>14587.049999999988</v>
      </c>
      <c r="V257" s="827">
        <f>STDEV(D$2:D257)*SQRT(252)</f>
        <v>0.16938806622202984</v>
      </c>
      <c r="W257" s="827">
        <f>STDEV(L$2:L257)*SQRT(252)</f>
        <v>0.36712884125938189</v>
      </c>
      <c r="X257" s="826">
        <f t="shared" si="88"/>
        <v>0.23285841721626391</v>
      </c>
      <c r="Y257" s="826">
        <f t="shared" si="89"/>
        <v>-0.10958381571512156</v>
      </c>
      <c r="Z257" s="832">
        <f t="shared" si="90"/>
        <v>-8.1147246149711805E-2</v>
      </c>
    </row>
    <row r="258" spans="1:26" ht="20.100000000000001" customHeight="1" x14ac:dyDescent="0.2">
      <c r="A258" s="801">
        <f t="shared" si="103"/>
        <v>373</v>
      </c>
      <c r="B258" s="820">
        <v>42606</v>
      </c>
      <c r="C258" s="845">
        <v>2175.44</v>
      </c>
      <c r="D258" s="817">
        <f t="shared" si="113"/>
        <v>-5.2402944807718854E-3</v>
      </c>
      <c r="E258" s="844">
        <f t="shared" si="108"/>
        <v>3.4721561614124541E-2</v>
      </c>
      <c r="F258" s="841">
        <v>5217.6899999999996</v>
      </c>
      <c r="G258" s="817">
        <f t="shared" si="109"/>
        <v>-8.0569269990703758E-3</v>
      </c>
      <c r="H258" s="822">
        <f t="shared" si="110"/>
        <v>2.4744191527387667E-2</v>
      </c>
      <c r="I258" s="824">
        <f>379998.45+9.8</f>
        <v>380008.25</v>
      </c>
      <c r="J258" s="825">
        <v>400000</v>
      </c>
      <c r="K258" s="825">
        <f t="shared" si="111"/>
        <v>-3601.7999999999884</v>
      </c>
      <c r="L258" s="817">
        <f t="shared" si="102"/>
        <v>-9.3892222062482156E-3</v>
      </c>
      <c r="M258" s="842">
        <f t="shared" si="106"/>
        <v>-19991.75</v>
      </c>
      <c r="N258" s="827">
        <f t="shared" si="107"/>
        <v>-4.9979374999999999E-2</v>
      </c>
      <c r="O258" s="811">
        <f t="shared" si="85"/>
        <v>-4.894092954088472E-2</v>
      </c>
      <c r="P258" s="842" t="b">
        <f t="shared" si="112"/>
        <v>0</v>
      </c>
      <c r="Q258" s="827">
        <f>COUNTIF(P$2:P258, TRUE)/(COUNTIF(P$2:P258,FALSE) + COUNTIF(P$2:P258, TRUE))</f>
        <v>0.49805447470817121</v>
      </c>
      <c r="R258" s="825">
        <v>233717.8</v>
      </c>
      <c r="S258" s="825">
        <f t="shared" si="104"/>
        <v>146290.45000000001</v>
      </c>
      <c r="T258" s="825">
        <v>-34657</v>
      </c>
      <c r="U258" s="825">
        <f t="shared" si="105"/>
        <v>14665.25</v>
      </c>
      <c r="V258" s="827">
        <f>STDEV(D$2:D258)*SQRT(252)</f>
        <v>0.1691421099558785</v>
      </c>
      <c r="W258" s="827">
        <f>STDEV(L$2:L258)*SQRT(252)</f>
        <v>0.36653871966751894</v>
      </c>
      <c r="X258" s="826">
        <f t="shared" si="88"/>
        <v>0.20101520002742596</v>
      </c>
      <c r="Y258" s="826">
        <f t="shared" si="89"/>
        <v>-0.13352185434946193</v>
      </c>
      <c r="Z258" s="832">
        <f t="shared" si="90"/>
        <v>-8.4700936614124533E-2</v>
      </c>
    </row>
    <row r="259" spans="1:26" ht="20.100000000000001" customHeight="1" x14ac:dyDescent="0.2">
      <c r="A259" s="801">
        <f t="shared" si="103"/>
        <v>374</v>
      </c>
      <c r="B259" s="820">
        <v>42607</v>
      </c>
      <c r="C259" s="845">
        <v>2172.4699999999998</v>
      </c>
      <c r="D259" s="817">
        <f t="shared" si="113"/>
        <v>-1.3652410546833075E-3</v>
      </c>
      <c r="E259" s="844">
        <f t="shared" si="108"/>
        <v>3.3308917258042914E-2</v>
      </c>
      <c r="F259" s="841">
        <v>5212.2</v>
      </c>
      <c r="G259" s="817">
        <f t="shared" si="109"/>
        <v>-1.0521897621360759E-3</v>
      </c>
      <c r="H259" s="822">
        <f t="shared" si="110"/>
        <v>2.3665966180254142E-2</v>
      </c>
      <c r="I259" s="824">
        <v>380752.59</v>
      </c>
      <c r="J259" s="825">
        <v>400000</v>
      </c>
      <c r="K259" s="825">
        <f t="shared" si="111"/>
        <v>744.34000000002561</v>
      </c>
      <c r="L259" s="817">
        <f t="shared" si="102"/>
        <v>1.9587469482571116E-3</v>
      </c>
      <c r="M259" s="842">
        <f t="shared" si="106"/>
        <v>-19247.409999999974</v>
      </c>
      <c r="N259" s="827">
        <f t="shared" si="107"/>
        <v>-4.8118524999999933E-2</v>
      </c>
      <c r="O259" s="811">
        <f t="shared" si="85"/>
        <v>-4.6992757369652347E-2</v>
      </c>
      <c r="P259" s="842" t="b">
        <f t="shared" si="112"/>
        <v>1</v>
      </c>
      <c r="Q259" s="827">
        <f>COUNTIF(P$2:P259, TRUE)/(COUNTIF(P$2:P259,FALSE) + COUNTIF(P$2:P259, TRUE))</f>
        <v>0.5</v>
      </c>
      <c r="R259" s="825">
        <v>237299.38</v>
      </c>
      <c r="S259" s="825">
        <f t="shared" si="104"/>
        <v>143453.21000000002</v>
      </c>
      <c r="T259" s="825">
        <v>-33721</v>
      </c>
      <c r="U259" s="825">
        <f t="shared" si="105"/>
        <v>14473.590000000026</v>
      </c>
      <c r="V259" s="827">
        <f>STDEV(D$2:D259)*SQRT(252)</f>
        <v>0.16881845547722549</v>
      </c>
      <c r="W259" s="827">
        <f>STDEV(L$2:L259)*SQRT(252)</f>
        <v>0.36582526513101316</v>
      </c>
      <c r="X259" s="826">
        <f t="shared" si="88"/>
        <v>0.19269001721577103</v>
      </c>
      <c r="Y259" s="826">
        <f t="shared" si="89"/>
        <v>-0.12845683950457279</v>
      </c>
      <c r="Z259" s="832">
        <f t="shared" si="90"/>
        <v>-8.1427442258042854E-2</v>
      </c>
    </row>
    <row r="260" spans="1:26" ht="20.100000000000001" customHeight="1" x14ac:dyDescent="0.2">
      <c r="A260" s="801">
        <f t="shared" si="103"/>
        <v>375</v>
      </c>
      <c r="B260" s="820">
        <v>42608</v>
      </c>
      <c r="C260" s="845">
        <v>2169.04</v>
      </c>
      <c r="D260" s="817">
        <f t="shared" si="113"/>
        <v>-1.578848039328431E-3</v>
      </c>
      <c r="E260" s="844">
        <f t="shared" si="108"/>
        <v>3.1677479500009466E-2</v>
      </c>
      <c r="F260" s="841">
        <v>5218.91</v>
      </c>
      <c r="G260" s="817">
        <f t="shared" si="109"/>
        <v>1.2873642607728092E-3</v>
      </c>
      <c r="H260" s="822">
        <f t="shared" si="110"/>
        <v>2.4983797160084066E-2</v>
      </c>
      <c r="I260" s="824">
        <v>381100.52</v>
      </c>
      <c r="J260" s="825">
        <v>400000</v>
      </c>
      <c r="K260" s="825">
        <f t="shared" si="111"/>
        <v>347.92999999999302</v>
      </c>
      <c r="L260" s="817">
        <f t="shared" si="102"/>
        <v>9.1379549118757934E-4</v>
      </c>
      <c r="M260" s="842">
        <f t="shared" ref="M260:M273" si="114">I260-J260</f>
        <v>-18899.479999999981</v>
      </c>
      <c r="N260" s="827">
        <f t="shared" si="107"/>
        <v>-4.7248699999999956E-2</v>
      </c>
      <c r="O260" s="811">
        <f t="shared" si="85"/>
        <v>-4.6020233799999963E-2</v>
      </c>
      <c r="P260" s="842" t="b">
        <f t="shared" si="112"/>
        <v>1</v>
      </c>
      <c r="Q260" s="827">
        <f>COUNTIF(P$2:P260, TRUE)/(COUNTIF(P$2:P260,FALSE) + COUNTIF(P$2:P260, TRUE))</f>
        <v>0.50193050193050193</v>
      </c>
      <c r="R260" s="825">
        <v>258954.3</v>
      </c>
      <c r="S260" s="825">
        <f t="shared" si="104"/>
        <v>122146.22000000003</v>
      </c>
      <c r="T260" s="825">
        <v>-33067</v>
      </c>
      <c r="U260" s="825">
        <f t="shared" si="105"/>
        <v>14167.520000000019</v>
      </c>
      <c r="V260" s="827">
        <f>STDEV(D$2:D260)*SQRT(252)</f>
        <v>0.16849870140291789</v>
      </c>
      <c r="W260" s="827">
        <f>STDEV(L$2:L260)*SQRT(252)</f>
        <v>0.36511315760461099</v>
      </c>
      <c r="X260" s="826">
        <f t="shared" si="88"/>
        <v>0.18311040249046645</v>
      </c>
      <c r="Y260" s="826">
        <f t="shared" si="89"/>
        <v>-0.12604375613829913</v>
      </c>
      <c r="Z260" s="832">
        <f t="shared" si="90"/>
        <v>-7.8926179500009422E-2</v>
      </c>
    </row>
    <row r="261" spans="1:26" ht="20.100000000000001" customHeight="1" x14ac:dyDescent="0.2">
      <c r="A261" s="801">
        <f t="shared" si="103"/>
        <v>378</v>
      </c>
      <c r="B261" s="849">
        <v>42611</v>
      </c>
      <c r="C261" s="850">
        <v>2180.38</v>
      </c>
      <c r="D261" s="817">
        <f t="shared" si="113"/>
        <v>5.2281193523402731E-3</v>
      </c>
      <c r="E261" s="851">
        <f t="shared" si="108"/>
        <v>3.7071212495957101E-2</v>
      </c>
      <c r="F261" s="852">
        <v>5232.32</v>
      </c>
      <c r="G261" s="817">
        <f t="shared" si="109"/>
        <v>2.569502060775115E-3</v>
      </c>
      <c r="H261" s="853">
        <f t="shared" si="110"/>
        <v>2.7617495139148004E-2</v>
      </c>
      <c r="I261" s="854">
        <v>382828.93</v>
      </c>
      <c r="J261" s="855">
        <v>400000</v>
      </c>
      <c r="K261" s="855">
        <f t="shared" si="111"/>
        <v>1728.4099999999744</v>
      </c>
      <c r="L261" s="817">
        <f>K261/I260</f>
        <v>4.5353126256557569E-3</v>
      </c>
      <c r="M261" s="856">
        <f t="shared" si="114"/>
        <v>-17171.070000000007</v>
      </c>
      <c r="N261" s="857">
        <f t="shared" si="107"/>
        <v>-4.2927675000000019E-2</v>
      </c>
      <c r="O261" s="811">
        <f t="shared" si="85"/>
        <v>-4.147971770833335E-2</v>
      </c>
      <c r="P261" s="856" t="b">
        <f t="shared" si="112"/>
        <v>0</v>
      </c>
      <c r="Q261" s="857">
        <f>COUNTIF(P$2:P261, TRUE)/(COUNTIF(P$2:P261,FALSE) + COUNTIF(P$2:P261, TRUE))</f>
        <v>0.5</v>
      </c>
      <c r="R261" s="855">
        <v>260300.32</v>
      </c>
      <c r="S261" s="855">
        <f t="shared" si="104"/>
        <v>122528.60999999999</v>
      </c>
      <c r="T261" s="855">
        <v>-31777</v>
      </c>
      <c r="U261" s="855">
        <f t="shared" si="105"/>
        <v>14605.929999999993</v>
      </c>
      <c r="V261" s="857">
        <f>STDEV(D$2:D261)*SQRT(252)</f>
        <v>0.16824562360938053</v>
      </c>
      <c r="W261" s="857">
        <f>STDEV(L$2:L261)*SQRT(252)</f>
        <v>0.36442732658879068</v>
      </c>
      <c r="X261" s="826">
        <f t="shared" si="88"/>
        <v>0.21290773480869216</v>
      </c>
      <c r="Y261" s="826">
        <f t="shared" si="89"/>
        <v>-0.11382164476139263</v>
      </c>
      <c r="Z261" s="832">
        <f t="shared" si="90"/>
        <v>-7.9998887495957127E-2</v>
      </c>
    </row>
    <row r="262" spans="1:26" ht="20.100000000000001" customHeight="1" x14ac:dyDescent="0.2">
      <c r="A262" s="801">
        <f t="shared" si="103"/>
        <v>379</v>
      </c>
      <c r="B262" s="849">
        <v>42612</v>
      </c>
      <c r="C262" s="850">
        <v>2176.12</v>
      </c>
      <c r="D262" s="817">
        <f t="shared" si="113"/>
        <v>-1.9537878718389537E-3</v>
      </c>
      <c r="E262" s="851">
        <f t="shared" si="108"/>
        <v>3.5044995338749184E-2</v>
      </c>
      <c r="F262" s="852">
        <v>5222.9799999999996</v>
      </c>
      <c r="G262" s="817">
        <f>(F262-F261)/F261</f>
        <v>-1.7850590177971046E-3</v>
      </c>
      <c r="H262" s="853">
        <f t="shared" si="110"/>
        <v>2.5783137262603797E-2</v>
      </c>
      <c r="I262" s="854">
        <v>379406.56</v>
      </c>
      <c r="J262" s="855">
        <v>400000</v>
      </c>
      <c r="K262" s="855">
        <f t="shared" si="111"/>
        <v>-3422.3699999999953</v>
      </c>
      <c r="L262" s="817">
        <f>K262/I261</f>
        <v>-8.9396848874508921E-3</v>
      </c>
      <c r="M262" s="856">
        <f t="shared" si="114"/>
        <v>-20593.440000000002</v>
      </c>
      <c r="N262" s="857">
        <f t="shared" si="107"/>
        <v>-5.1483600000000004E-2</v>
      </c>
      <c r="O262" s="811">
        <f t="shared" si="85"/>
        <v>-4.9615791292875994E-2</v>
      </c>
      <c r="P262" s="856" t="b">
        <f t="shared" si="112"/>
        <v>0</v>
      </c>
      <c r="Q262" s="857">
        <f>COUNTIF(P$2:P262, TRUE)/(COUNTIF(P$2:P262,FALSE) + COUNTIF(P$2:P262, TRUE))</f>
        <v>0.49808429118773945</v>
      </c>
      <c r="R262" s="855">
        <v>274968.95</v>
      </c>
      <c r="S262" s="855">
        <f t="shared" si="104"/>
        <v>104437.60999999999</v>
      </c>
      <c r="T262" s="855">
        <v>-35414</v>
      </c>
      <c r="U262" s="855">
        <f t="shared" si="105"/>
        <v>14820.559999999998</v>
      </c>
      <c r="V262" s="857">
        <f>STDEV(D$2:D262)*SQRT(252)</f>
        <v>0.16793385572919492</v>
      </c>
      <c r="W262" s="857">
        <f>STDEV(L$2:L262)*SQRT(252)</f>
        <v>0.36384060156715331</v>
      </c>
      <c r="X262" s="826">
        <f t="shared" si="88"/>
        <v>0.20111235972788211</v>
      </c>
      <c r="Y262" s="826">
        <f t="shared" si="89"/>
        <v>-0.13636683503481539</v>
      </c>
      <c r="Z262" s="832">
        <f t="shared" si="90"/>
        <v>-8.6528595338749181E-2</v>
      </c>
    </row>
    <row r="263" spans="1:26" ht="20.100000000000001" customHeight="1" x14ac:dyDescent="0.2">
      <c r="A263" s="801">
        <f t="shared" si="103"/>
        <v>380</v>
      </c>
      <c r="B263" s="849">
        <v>42613</v>
      </c>
      <c r="C263" s="850">
        <v>2170.94</v>
      </c>
      <c r="D263" s="817">
        <f t="shared" si="113"/>
        <v>-2.3803834347369797E-3</v>
      </c>
      <c r="E263" s="851">
        <f t="shared" si="108"/>
        <v>3.258119137763741E-2</v>
      </c>
      <c r="F263" s="852">
        <v>5213.22</v>
      </c>
      <c r="G263" s="817">
        <f t="shared" ref="G263:G270" si="115">(F263-F262)/F262</f>
        <v>-1.8686650149913094E-3</v>
      </c>
      <c r="H263" s="853">
        <f t="shared" si="110"/>
        <v>2.3866292201033139E-2</v>
      </c>
      <c r="I263" s="861">
        <v>375078.22</v>
      </c>
      <c r="J263" s="855">
        <v>400000</v>
      </c>
      <c r="K263" s="855">
        <f t="shared" si="111"/>
        <v>-4328.3400000000256</v>
      </c>
      <c r="L263" s="817">
        <f>K263/I262</f>
        <v>-1.1408184402504863E-2</v>
      </c>
      <c r="M263" s="856">
        <f t="shared" si="114"/>
        <v>-24921.780000000028</v>
      </c>
      <c r="N263" s="857">
        <f t="shared" si="107"/>
        <v>-6.2304450000000067E-2</v>
      </c>
      <c r="O263" s="811">
        <f t="shared" ref="O263:O326" si="116">N263/(A263/365.25)</f>
        <v>-5.9886053585526386E-2</v>
      </c>
      <c r="P263" s="856" t="b">
        <f t="shared" si="112"/>
        <v>0</v>
      </c>
      <c r="Q263" s="857">
        <f>COUNTIF(P$2:P263, TRUE)/(COUNTIF(P$2:P263,FALSE) + COUNTIF(P$2:P263, TRUE))</f>
        <v>0.49618320610687022</v>
      </c>
      <c r="R263" s="855">
        <v>285803.11</v>
      </c>
      <c r="S263" s="855">
        <f t="shared" si="104"/>
        <v>89275.109999999986</v>
      </c>
      <c r="T263" s="855">
        <v>-39480</v>
      </c>
      <c r="U263" s="855">
        <f t="shared" si="105"/>
        <v>14558.219999999972</v>
      </c>
      <c r="V263" s="857">
        <f>STDEV(D$2:D263)*SQRT(252)</f>
        <v>0.16762959845319877</v>
      </c>
      <c r="W263" s="857">
        <f>STDEV(L$2:L263)*SQRT(252)</f>
        <v>0.36332602481523973</v>
      </c>
      <c r="X263" s="826">
        <f t="shared" si="88"/>
        <v>0.18681979197763582</v>
      </c>
      <c r="Y263" s="826">
        <f t="shared" si="89"/>
        <v>-0.1648273162264661</v>
      </c>
      <c r="Z263" s="832">
        <f t="shared" si="90"/>
        <v>-9.488564137763747E-2</v>
      </c>
    </row>
    <row r="264" spans="1:26" ht="20.100000000000001" customHeight="1" x14ac:dyDescent="0.2">
      <c r="A264" s="801">
        <f t="shared" si="103"/>
        <v>381</v>
      </c>
      <c r="B264" s="849">
        <v>42614</v>
      </c>
      <c r="C264" s="850">
        <v>2170.86</v>
      </c>
      <c r="D264" s="817">
        <f t="shared" ref="D264:D270" si="117">(C264-C263)/C263</f>
        <v>-3.6850396602359916E-5</v>
      </c>
      <c r="E264" s="851">
        <f t="shared" si="108"/>
        <v>3.254314035121101E-2</v>
      </c>
      <c r="F264" s="852">
        <v>5227.2</v>
      </c>
      <c r="G264" s="817">
        <f t="shared" si="115"/>
        <v>2.6816439743574151E-3</v>
      </c>
      <c r="H264" s="853">
        <f t="shared" si="110"/>
        <v>2.661193707406171E-2</v>
      </c>
      <c r="I264" s="854">
        <v>374158.47</v>
      </c>
      <c r="J264" s="855">
        <v>400000</v>
      </c>
      <c r="K264" s="855">
        <f t="shared" si="111"/>
        <v>-919.75</v>
      </c>
      <c r="L264" s="817">
        <f t="shared" ref="L264:L269" si="118">K264/I263</f>
        <v>-2.4521551797915646E-3</v>
      </c>
      <c r="M264" s="856">
        <f t="shared" si="114"/>
        <v>-25841.530000000028</v>
      </c>
      <c r="N264" s="857">
        <f t="shared" si="107"/>
        <v>-6.4603825000000073E-2</v>
      </c>
      <c r="O264" s="811">
        <f t="shared" si="116"/>
        <v>-6.1933194438976449E-2</v>
      </c>
      <c r="P264" s="856" t="b">
        <f t="shared" si="112"/>
        <v>0</v>
      </c>
      <c r="Q264" s="857">
        <f>COUNTIF(P$2:P264, TRUE)/(COUNTIF(P$2:P264,FALSE) + COUNTIF(P$2:P264, TRUE))</f>
        <v>0.49429657794676807</v>
      </c>
      <c r="R264" s="855">
        <v>284793.13</v>
      </c>
      <c r="S264" s="855">
        <f t="shared" si="104"/>
        <v>89365.339999999967</v>
      </c>
      <c r="T264" s="855">
        <v>-40089</v>
      </c>
      <c r="U264" s="855">
        <f t="shared" si="105"/>
        <v>14247.469999999972</v>
      </c>
      <c r="V264" s="857">
        <f>STDEV(D$2:D264)*SQRT(252)</f>
        <v>0.16730829405773207</v>
      </c>
      <c r="W264" s="857">
        <f>STDEV(L$2:L264)*SQRT(252)</f>
        <v>0.36263989119612255</v>
      </c>
      <c r="X264" s="826">
        <f t="shared" si="88"/>
        <v>0.18646925562735478</v>
      </c>
      <c r="Y264" s="826">
        <f t="shared" si="89"/>
        <v>-0.17078428474787347</v>
      </c>
      <c r="Z264" s="832">
        <f t="shared" si="90"/>
        <v>-9.714696535121109E-2</v>
      </c>
    </row>
    <row r="265" spans="1:26" ht="20.100000000000001" customHeight="1" x14ac:dyDescent="0.2">
      <c r="A265" s="801">
        <f t="shared" si="103"/>
        <v>382</v>
      </c>
      <c r="B265" s="849">
        <v>42615</v>
      </c>
      <c r="C265" s="850">
        <v>2179.98</v>
      </c>
      <c r="D265" s="817">
        <f t="shared" si="117"/>
        <v>4.2011000248748835E-3</v>
      </c>
      <c r="E265" s="851">
        <f t="shared" si="108"/>
        <v>3.6880957363824872E-2</v>
      </c>
      <c r="F265" s="852">
        <v>5249.89</v>
      </c>
      <c r="G265" s="817">
        <f t="shared" si="115"/>
        <v>4.3407560453015978E-3</v>
      </c>
      <c r="H265" s="853">
        <f t="shared" si="110"/>
        <v>3.1068209046094725E-2</v>
      </c>
      <c r="I265" s="854">
        <v>379833.49</v>
      </c>
      <c r="J265" s="855">
        <v>400000</v>
      </c>
      <c r="K265" s="855">
        <f t="shared" si="111"/>
        <v>5675.0200000000186</v>
      </c>
      <c r="L265" s="817">
        <f t="shared" si="118"/>
        <v>1.5167423578570916E-2</v>
      </c>
      <c r="M265" s="856">
        <f t="shared" si="114"/>
        <v>-20166.510000000009</v>
      </c>
      <c r="N265" s="857">
        <f t="shared" si="107"/>
        <v>-5.0416275000000024E-2</v>
      </c>
      <c r="O265" s="811">
        <f t="shared" si="116"/>
        <v>-4.8205613727094261E-2</v>
      </c>
      <c r="P265" s="856" t="b">
        <f t="shared" si="112"/>
        <v>1</v>
      </c>
      <c r="Q265" s="857">
        <f>COUNTIF(P$2:P265, TRUE)/(COUNTIF(P$2:P265,FALSE) + COUNTIF(P$2:P265, TRUE))</f>
        <v>0.49621212121212122</v>
      </c>
      <c r="R265" s="855">
        <v>279915.57</v>
      </c>
      <c r="S265" s="855">
        <f t="shared" si="104"/>
        <v>99917.919999999984</v>
      </c>
      <c r="T265" s="855">
        <v>-35299</v>
      </c>
      <c r="U265" s="855">
        <f t="shared" si="105"/>
        <v>15132.489999999991</v>
      </c>
      <c r="V265" s="857">
        <f>STDEV(D$2:D265)*SQRT(252)</f>
        <v>0.16703513483712773</v>
      </c>
      <c r="W265" s="857">
        <f>STDEV(L$2:L265)*SQRT(252)</f>
        <v>0.3622373095628969</v>
      </c>
      <c r="X265" s="826">
        <f t="shared" si="88"/>
        <v>0.21111603256831121</v>
      </c>
      <c r="Y265" s="826">
        <f t="shared" si="89"/>
        <v>-0.13307743971835154</v>
      </c>
      <c r="Z265" s="832">
        <f t="shared" si="90"/>
        <v>-8.7297232363824889E-2</v>
      </c>
    </row>
    <row r="266" spans="1:26" ht="20.100000000000001" customHeight="1" x14ac:dyDescent="0.2">
      <c r="A266" s="801">
        <f t="shared" si="103"/>
        <v>386</v>
      </c>
      <c r="B266" s="820">
        <v>42619</v>
      </c>
      <c r="C266" s="845">
        <v>2186.48</v>
      </c>
      <c r="D266" s="817">
        <f t="shared" si="117"/>
        <v>2.9816787309975322E-3</v>
      </c>
      <c r="E266" s="844">
        <f t="shared" si="108"/>
        <v>3.9972603260972947E-2</v>
      </c>
      <c r="F266" s="841">
        <v>5275.9</v>
      </c>
      <c r="G266" s="817">
        <f t="shared" si="115"/>
        <v>4.9543895205422031E-3</v>
      </c>
      <c r="H266" s="822">
        <f t="shared" si="110"/>
        <v>3.6176522575956917E-2</v>
      </c>
      <c r="I266" s="824">
        <v>382927.8</v>
      </c>
      <c r="J266" s="825">
        <v>400000</v>
      </c>
      <c r="K266" s="825">
        <f t="shared" si="111"/>
        <v>3094.3099999999977</v>
      </c>
      <c r="L266" s="817">
        <f t="shared" si="118"/>
        <v>8.1464907162346265E-3</v>
      </c>
      <c r="M266" s="842">
        <f t="shared" si="114"/>
        <v>-17072.200000000012</v>
      </c>
      <c r="N266" s="827">
        <f t="shared" si="107"/>
        <v>-4.2680500000000031E-2</v>
      </c>
      <c r="O266" s="811">
        <f t="shared" si="116"/>
        <v>-4.0386146696891223E-2</v>
      </c>
      <c r="P266" s="842" t="b">
        <f t="shared" si="112"/>
        <v>1</v>
      </c>
      <c r="Q266" s="827">
        <f>COUNTIF(P$2:P266, TRUE)/(COUNTIF(P$2:P266,FALSE) + COUNTIF(P$2:P266, TRUE))</f>
        <v>0.49811320754716981</v>
      </c>
      <c r="R266" s="825">
        <v>288323.67</v>
      </c>
      <c r="S266" s="825">
        <f t="shared" si="104"/>
        <v>94604.13</v>
      </c>
      <c r="T266" s="825">
        <v>-32869</v>
      </c>
      <c r="U266" s="825">
        <f t="shared" si="105"/>
        <v>15796.799999999988</v>
      </c>
      <c r="V266" s="827">
        <f>STDEV(D$2:D266)*SQRT(252)</f>
        <v>0.16673953715434717</v>
      </c>
      <c r="W266" s="827">
        <f>STDEV(L$2:L266)*SQRT(252)</f>
        <v>0.36162688235726198</v>
      </c>
      <c r="X266" s="826">
        <f t="shared" si="88"/>
        <v>0.22684372039947234</v>
      </c>
      <c r="Y266" s="826">
        <f t="shared" si="89"/>
        <v>-0.11167905005743611</v>
      </c>
      <c r="Z266" s="832">
        <f t="shared" si="90"/>
        <v>-8.2653103260972971E-2</v>
      </c>
    </row>
    <row r="267" spans="1:26" ht="20.100000000000001" customHeight="1" x14ac:dyDescent="0.2">
      <c r="A267" s="801">
        <f t="shared" si="103"/>
        <v>387</v>
      </c>
      <c r="B267" s="820">
        <v>42620</v>
      </c>
      <c r="C267" s="845">
        <v>2186.16</v>
      </c>
      <c r="D267" s="817">
        <f t="shared" si="117"/>
        <v>-1.4635395704518849E-4</v>
      </c>
      <c r="E267" s="844">
        <f t="shared" si="108"/>
        <v>3.9820399155267118E-2</v>
      </c>
      <c r="F267" s="841">
        <v>5283.92</v>
      </c>
      <c r="G267" s="817">
        <f t="shared" si="115"/>
        <v>1.5201197899885209E-3</v>
      </c>
      <c r="H267" s="822">
        <f t="shared" si="110"/>
        <v>3.7751635013846117E-2</v>
      </c>
      <c r="I267" s="824">
        <v>386953.84</v>
      </c>
      <c r="J267" s="825">
        <v>400000</v>
      </c>
      <c r="K267" s="825">
        <f t="shared" si="111"/>
        <v>4026.0400000000373</v>
      </c>
      <c r="L267" s="817">
        <f t="shared" si="118"/>
        <v>1.0513835767473757E-2</v>
      </c>
      <c r="M267" s="842">
        <f t="shared" si="114"/>
        <v>-13046.159999999974</v>
      </c>
      <c r="N267" s="827">
        <f t="shared" si="107"/>
        <v>-3.2615399999999933E-2</v>
      </c>
      <c r="O267" s="811">
        <f t="shared" si="116"/>
        <v>-3.0782363953488309E-2</v>
      </c>
      <c r="P267" s="842" t="b">
        <f t="shared" si="112"/>
        <v>1</v>
      </c>
      <c r="Q267" s="827">
        <f>COUNTIF(P$2:P267, TRUE)/(COUNTIF(P$2:P267,FALSE) + COUNTIF(P$2:P267, TRUE))</f>
        <v>0.5</v>
      </c>
      <c r="R267" s="825">
        <v>270597.37</v>
      </c>
      <c r="S267" s="825">
        <f t="shared" si="104"/>
        <v>116356.47000000003</v>
      </c>
      <c r="T267" s="825">
        <v>-29682</v>
      </c>
      <c r="U267" s="825">
        <f t="shared" si="105"/>
        <v>16635.840000000026</v>
      </c>
      <c r="V267" s="827">
        <f>STDEV(D$2:D267)*SQRT(252)</f>
        <v>0.16642379270655777</v>
      </c>
      <c r="W267" s="827">
        <f>STDEV(L$2:L267)*SQRT(252)</f>
        <v>0.3610748681776339</v>
      </c>
      <c r="X267" s="826">
        <f t="shared" si="88"/>
        <v>0.22582366604247719</v>
      </c>
      <c r="Y267" s="826">
        <f t="shared" si="89"/>
        <v>-8.5252025733191322E-2</v>
      </c>
      <c r="Z267" s="832">
        <f t="shared" si="90"/>
        <v>-7.2435799155267044E-2</v>
      </c>
    </row>
    <row r="268" spans="1:26" ht="20.100000000000001" customHeight="1" x14ac:dyDescent="0.2">
      <c r="A268" s="801">
        <f t="shared" si="103"/>
        <v>388</v>
      </c>
      <c r="B268" s="820">
        <v>42621</v>
      </c>
      <c r="C268" s="845">
        <v>2181.3000000000002</v>
      </c>
      <c r="D268" s="817">
        <f t="shared" si="117"/>
        <v>-2.2230760786034294E-3</v>
      </c>
      <c r="E268" s="844">
        <f t="shared" si="108"/>
        <v>3.7508799299861173E-2</v>
      </c>
      <c r="F268" s="841">
        <v>5259.48</v>
      </c>
      <c r="G268" s="817">
        <f t="shared" si="115"/>
        <v>-4.6253539039199133E-3</v>
      </c>
      <c r="H268" s="822">
        <f t="shared" si="110"/>
        <v>3.2951666437535547E-2</v>
      </c>
      <c r="I268" s="824">
        <v>397118.13</v>
      </c>
      <c r="J268" s="825">
        <v>400000</v>
      </c>
      <c r="K268" s="825">
        <f t="shared" si="111"/>
        <v>10164.289999999979</v>
      </c>
      <c r="L268" s="817">
        <f t="shared" si="118"/>
        <v>2.6267448334405929E-2</v>
      </c>
      <c r="M268" s="842">
        <f t="shared" si="114"/>
        <v>-2881.8699999999953</v>
      </c>
      <c r="N268" s="827">
        <f t="shared" si="107"/>
        <v>-7.2046749999999885E-3</v>
      </c>
      <c r="O268" s="811">
        <f t="shared" si="116"/>
        <v>-6.7822359374999901E-3</v>
      </c>
      <c r="P268" s="842" t="b">
        <f t="shared" si="112"/>
        <v>1</v>
      </c>
      <c r="Q268" s="827">
        <f>COUNTIF(P$2:P268, TRUE)/(COUNTIF(P$2:P268,FALSE) + COUNTIF(P$2:P268, TRUE))</f>
        <v>0.50187265917602997</v>
      </c>
      <c r="R268" s="825">
        <v>251179.7</v>
      </c>
      <c r="S268" s="825">
        <f t="shared" si="104"/>
        <v>145938.43</v>
      </c>
      <c r="T268" s="825">
        <v>-22549</v>
      </c>
      <c r="U268" s="825">
        <f t="shared" si="105"/>
        <v>19667.130000000005</v>
      </c>
      <c r="V268" s="827">
        <f>STDEV(D$2:D268)*SQRT(252)</f>
        <v>0.16612626124990684</v>
      </c>
      <c r="W268" s="827">
        <f>STDEV(L$2:L268)*SQRT(252)</f>
        <v>0.36126574974857484</v>
      </c>
      <c r="X268" s="826">
        <f t="shared" si="88"/>
        <v>0.21254621227657111</v>
      </c>
      <c r="Y268" s="826">
        <f t="shared" si="89"/>
        <v>-1.8773537049167073E-2</v>
      </c>
      <c r="Z268" s="832">
        <f t="shared" si="90"/>
        <v>-4.471347429986116E-2</v>
      </c>
    </row>
    <row r="269" spans="1:26" ht="20.100000000000001" customHeight="1" x14ac:dyDescent="0.2">
      <c r="A269" s="801">
        <f t="shared" si="103"/>
        <v>389</v>
      </c>
      <c r="B269" s="820">
        <v>42622</v>
      </c>
      <c r="C269" s="845">
        <v>2127.81</v>
      </c>
      <c r="D269" s="817">
        <f t="shared" si="117"/>
        <v>-2.4522073992573341E-2</v>
      </c>
      <c r="E269" s="844">
        <f t="shared" si="108"/>
        <v>1.2066931755484052E-2</v>
      </c>
      <c r="F269" s="841">
        <v>5125.8999999999996</v>
      </c>
      <c r="G269" s="817">
        <f t="shared" si="115"/>
        <v>-2.5397948086122571E-2</v>
      </c>
      <c r="H269" s="822">
        <f t="shared" si="110"/>
        <v>6.7168136378812221E-3</v>
      </c>
      <c r="I269" s="824">
        <v>386211.32</v>
      </c>
      <c r="J269" s="825">
        <v>400000</v>
      </c>
      <c r="K269" s="825">
        <f t="shared" si="111"/>
        <v>-10906.809999999998</v>
      </c>
      <c r="L269" s="817">
        <f t="shared" si="118"/>
        <v>-2.746490068333067E-2</v>
      </c>
      <c r="M269" s="842">
        <f t="shared" si="114"/>
        <v>-13788.679999999993</v>
      </c>
      <c r="N269" s="827">
        <f t="shared" si="107"/>
        <v>-3.447169999999998E-2</v>
      </c>
      <c r="O269" s="811">
        <f t="shared" si="116"/>
        <v>-3.2367065359897154E-2</v>
      </c>
      <c r="P269" s="842" t="b">
        <f t="shared" si="112"/>
        <v>0</v>
      </c>
      <c r="Q269" s="827">
        <f>COUNTIF(P$2:P269, TRUE)/(COUNTIF(P$2:P269,FALSE) + COUNTIF(P$2:P269, TRUE))</f>
        <v>0.5</v>
      </c>
      <c r="R269" s="825">
        <v>276342.96000000002</v>
      </c>
      <c r="S269" s="825">
        <f t="shared" si="104"/>
        <v>109868.35999999999</v>
      </c>
      <c r="T269" s="825">
        <v>-29111</v>
      </c>
      <c r="U269" s="825">
        <f t="shared" si="105"/>
        <v>15322.320000000007</v>
      </c>
      <c r="V269" s="827">
        <f>STDEV(D$2:D269)*SQRT(252)</f>
        <v>0.1675431453543596</v>
      </c>
      <c r="W269" s="827">
        <f>STDEV(L$2:L269)*SQRT(252)</f>
        <v>0.36161388324136196</v>
      </c>
      <c r="X269" s="826">
        <f t="shared" si="88"/>
        <v>6.7625550817034655E-2</v>
      </c>
      <c r="Y269" s="826">
        <f t="shared" si="89"/>
        <v>-8.9507253067199047E-2</v>
      </c>
      <c r="Z269" s="832">
        <f t="shared" si="90"/>
        <v>-4.6538631755484033E-2</v>
      </c>
    </row>
    <row r="270" spans="1:26" ht="20.100000000000001" customHeight="1" x14ac:dyDescent="0.2">
      <c r="A270" s="801">
        <f t="shared" si="103"/>
        <v>392</v>
      </c>
      <c r="B270" s="849">
        <v>42625</v>
      </c>
      <c r="C270" s="850">
        <v>2159.04</v>
      </c>
      <c r="D270" s="817">
        <f t="shared" si="117"/>
        <v>1.4677062331693158E-2</v>
      </c>
      <c r="E270" s="851">
        <f t="shared" si="108"/>
        <v>2.6921101196704739E-2</v>
      </c>
      <c r="F270" s="852">
        <v>5211.88</v>
      </c>
      <c r="G270" s="817">
        <f t="shared" si="115"/>
        <v>1.6773639751068197E-2</v>
      </c>
      <c r="H270" s="853">
        <f t="shared" si="110"/>
        <v>2.3603118801186301E-2</v>
      </c>
      <c r="I270" s="854">
        <v>387052.15</v>
      </c>
      <c r="J270" s="855">
        <v>400000</v>
      </c>
      <c r="K270" s="855">
        <f t="shared" si="111"/>
        <v>840.8300000000163</v>
      </c>
      <c r="L270" s="817">
        <f t="shared" ref="L270:L285" si="119">K270/I269</f>
        <v>2.1771241712956945E-3</v>
      </c>
      <c r="M270" s="856">
        <f t="shared" si="114"/>
        <v>-12947.849999999977</v>
      </c>
      <c r="N270" s="857">
        <f t="shared" si="107"/>
        <v>-3.2369624999999944E-2</v>
      </c>
      <c r="O270" s="811">
        <f t="shared" si="116"/>
        <v>-3.0160728396045867E-2</v>
      </c>
      <c r="P270" s="856" t="b">
        <f t="shared" si="112"/>
        <v>0</v>
      </c>
      <c r="Q270" s="857">
        <f>COUNTIF(P$2:P270, TRUE)/(COUNTIF(P$2:P270,FALSE) + COUNTIF(P$2:P270, TRUE))</f>
        <v>0.49814126394052044</v>
      </c>
      <c r="R270" s="855">
        <v>279690.06</v>
      </c>
      <c r="S270" s="855">
        <f t="shared" si="104"/>
        <v>107362.09000000003</v>
      </c>
      <c r="T270" s="855">
        <v>-29688</v>
      </c>
      <c r="U270" s="855">
        <f t="shared" si="105"/>
        <v>16740.150000000023</v>
      </c>
      <c r="V270" s="857">
        <f>STDEV(D$2:D270)*SQRT(252)</f>
        <v>0.16782539199806834</v>
      </c>
      <c r="W270" s="857">
        <f>STDEV(L$2:L270)*SQRT(252)</f>
        <v>0.36093984423813291</v>
      </c>
      <c r="X270" s="826">
        <f t="shared" si="88"/>
        <v>0.14946493165606672</v>
      </c>
      <c r="Y270" s="826">
        <f t="shared" si="89"/>
        <v>-8.3561648506023864E-2</v>
      </c>
      <c r="Z270" s="832">
        <f t="shared" si="90"/>
        <v>-5.9290726196704682E-2</v>
      </c>
    </row>
    <row r="271" spans="1:26" ht="20.100000000000001" customHeight="1" x14ac:dyDescent="0.2">
      <c r="A271" s="801">
        <f t="shared" si="103"/>
        <v>393</v>
      </c>
      <c r="B271" s="849">
        <v>42626</v>
      </c>
      <c r="C271" s="850">
        <v>2127.02</v>
      </c>
      <c r="D271" s="817">
        <f t="shared" ref="D271:D285" si="120">(C271-C270)/C270</f>
        <v>-1.483066548095449E-2</v>
      </c>
      <c r="E271" s="851">
        <f t="shared" si="108"/>
        <v>1.1691177869522996E-2</v>
      </c>
      <c r="F271" s="852">
        <v>5155.25</v>
      </c>
      <c r="G271" s="817">
        <f t="shared" ref="G271:G285" si="121">(F271-F270)/F270</f>
        <v>-1.0865560987589911E-2</v>
      </c>
      <c r="H271" s="853">
        <f t="shared" si="110"/>
        <v>1.2481096686764771E-2</v>
      </c>
      <c r="I271" s="854">
        <v>374259.41</v>
      </c>
      <c r="J271" s="855">
        <v>400000</v>
      </c>
      <c r="K271" s="855">
        <f t="shared" si="111"/>
        <v>-12792.740000000049</v>
      </c>
      <c r="L271" s="817">
        <f t="shared" si="119"/>
        <v>-3.3051721841617594E-2</v>
      </c>
      <c r="M271" s="856">
        <f t="shared" si="114"/>
        <v>-25740.590000000026</v>
      </c>
      <c r="N271" s="857">
        <f t="shared" si="107"/>
        <v>-6.4351475000000061E-2</v>
      </c>
      <c r="O271" s="811">
        <f t="shared" si="116"/>
        <v>-5.9807573139313036E-2</v>
      </c>
      <c r="P271" s="856" t="b">
        <f t="shared" si="112"/>
        <v>0</v>
      </c>
      <c r="Q271" s="857">
        <f>COUNTIF(P$2:P271, TRUE)/(COUNTIF(P$2:P271,FALSE) + COUNTIF(P$2:P271, TRUE))</f>
        <v>0.49629629629629629</v>
      </c>
      <c r="R271" s="855">
        <v>294807.52</v>
      </c>
      <c r="S271" s="855">
        <f t="shared" si="104"/>
        <v>79451.889999999956</v>
      </c>
      <c r="T271" s="855">
        <v>-40449</v>
      </c>
      <c r="U271" s="855">
        <f t="shared" si="105"/>
        <v>14708.409999999974</v>
      </c>
      <c r="V271" s="857">
        <f>STDEV(D$2:D271)*SQRT(252)</f>
        <v>0.16813876158922561</v>
      </c>
      <c r="W271" s="857">
        <f>STDEV(L$2:L271)*SQRT(252)</f>
        <v>0.36172480886226521</v>
      </c>
      <c r="X271" s="826">
        <f t="shared" si="88"/>
        <v>6.4623146176100529E-2</v>
      </c>
      <c r="Y271" s="826">
        <f t="shared" si="89"/>
        <v>-0.16533998131736136</v>
      </c>
      <c r="Z271" s="832">
        <f t="shared" si="90"/>
        <v>-7.6042652869523053E-2</v>
      </c>
    </row>
    <row r="272" spans="1:26" ht="20.100000000000001" customHeight="1" x14ac:dyDescent="0.2">
      <c r="A272" s="801">
        <f t="shared" si="103"/>
        <v>394</v>
      </c>
      <c r="B272" s="849">
        <v>42627</v>
      </c>
      <c r="C272" s="850">
        <v>2125.77</v>
      </c>
      <c r="D272" s="817">
        <f t="shared" si="120"/>
        <v>-5.8767665560267412E-4</v>
      </c>
      <c r="E272" s="851">
        <f t="shared" si="108"/>
        <v>1.1096630581609904E-2</v>
      </c>
      <c r="F272" s="852">
        <v>5173.7700000000004</v>
      </c>
      <c r="G272" s="817">
        <f t="shared" si="121"/>
        <v>3.5924542941662258E-3</v>
      </c>
      <c r="H272" s="853">
        <f t="shared" si="110"/>
        <v>1.6118388750319269E-2</v>
      </c>
      <c r="I272" s="854">
        <v>370693.02</v>
      </c>
      <c r="J272" s="855">
        <v>400000</v>
      </c>
      <c r="K272" s="855">
        <f t="shared" si="111"/>
        <v>-3566.3899999999558</v>
      </c>
      <c r="L272" s="817">
        <f t="shared" si="119"/>
        <v>-9.5291925993255741E-3</v>
      </c>
      <c r="M272" s="856">
        <f t="shared" si="114"/>
        <v>-29306.979999999981</v>
      </c>
      <c r="N272" s="857">
        <f t="shared" si="107"/>
        <v>-7.3267449999999956E-2</v>
      </c>
      <c r="O272" s="811">
        <f t="shared" si="116"/>
        <v>-6.7921157645939048E-2</v>
      </c>
      <c r="P272" s="856" t="b">
        <f t="shared" si="112"/>
        <v>0</v>
      </c>
      <c r="Q272" s="857">
        <f>COUNTIF(P$2:P272, TRUE)/(COUNTIF(P$2:P272,FALSE) + COUNTIF(P$2:P272, TRUE))</f>
        <v>0.49446494464944651</v>
      </c>
      <c r="R272" s="855">
        <v>304166.43</v>
      </c>
      <c r="S272" s="855">
        <f t="shared" si="104"/>
        <v>66526.590000000026</v>
      </c>
      <c r="T272" s="855">
        <v>-43966</v>
      </c>
      <c r="U272" s="855">
        <f t="shared" si="105"/>
        <v>14659.020000000019</v>
      </c>
      <c r="V272" s="857">
        <f>STDEV(D$2:D272)*SQRT(252)</f>
        <v>0.16782725694658282</v>
      </c>
      <c r="W272" s="857">
        <f>STDEV(L$2:L272)*SQRT(252)</f>
        <v>0.36117811757925894</v>
      </c>
      <c r="X272" s="826">
        <f t="shared" si="88"/>
        <v>6.1294659191567902E-2</v>
      </c>
      <c r="Y272" s="826">
        <f t="shared" si="89"/>
        <v>-0.18805446493040667</v>
      </c>
      <c r="Z272" s="832">
        <f t="shared" si="90"/>
        <v>-8.4364080581609865E-2</v>
      </c>
    </row>
    <row r="273" spans="1:26" ht="20.100000000000001" customHeight="1" x14ac:dyDescent="0.2">
      <c r="A273" s="801">
        <f t="shared" si="103"/>
        <v>395</v>
      </c>
      <c r="B273" s="849">
        <v>42628</v>
      </c>
      <c r="C273" s="850">
        <v>2147.2600000000002</v>
      </c>
      <c r="D273" s="817">
        <f t="shared" si="120"/>
        <v>1.0109278049836171E-2</v>
      </c>
      <c r="E273" s="851">
        <f t="shared" si="108"/>
        <v>2.1318087555411886E-2</v>
      </c>
      <c r="F273" s="852">
        <v>5249.68</v>
      </c>
      <c r="G273" s="817">
        <f t="shared" si="121"/>
        <v>1.4672086312302218E-2</v>
      </c>
      <c r="H273" s="853">
        <f t="shared" si="110"/>
        <v>3.1026965453581412E-2</v>
      </c>
      <c r="I273" s="854">
        <v>375852.08</v>
      </c>
      <c r="J273" s="855">
        <v>400000</v>
      </c>
      <c r="K273" s="855">
        <f t="shared" si="111"/>
        <v>5159.0599999999977</v>
      </c>
      <c r="L273" s="817">
        <f t="shared" si="119"/>
        <v>1.3917337855457859E-2</v>
      </c>
      <c r="M273" s="856">
        <f t="shared" si="114"/>
        <v>-24147.919999999984</v>
      </c>
      <c r="N273" s="857">
        <f t="shared" si="107"/>
        <v>-6.036979999999996E-2</v>
      </c>
      <c r="O273" s="811">
        <f t="shared" si="116"/>
        <v>-5.582296063291136E-2</v>
      </c>
      <c r="P273" s="856" t="b">
        <f t="shared" si="112"/>
        <v>1</v>
      </c>
      <c r="Q273" s="857">
        <f>COUNTIF(P$2:P273, TRUE)/(COUNTIF(P$2:P273,FALSE) + COUNTIF(P$2:P273, TRUE))</f>
        <v>0.49632352941176472</v>
      </c>
      <c r="R273" s="855">
        <v>309277.58</v>
      </c>
      <c r="S273" s="855">
        <f t="shared" si="104"/>
        <v>66574.5</v>
      </c>
      <c r="T273" s="855">
        <v>-40569</v>
      </c>
      <c r="U273" s="855">
        <f t="shared" si="105"/>
        <v>16421.080000000016</v>
      </c>
      <c r="V273" s="857">
        <f>STDEV(D$2:D273)*SQRT(252)</f>
        <v>0.16779419960031708</v>
      </c>
      <c r="W273" s="857">
        <f>STDEV(L$2:L273)*SQRT(252)</f>
        <v>0.36074703023734866</v>
      </c>
      <c r="X273" s="826">
        <f t="shared" si="88"/>
        <v>0.11748013224218563</v>
      </c>
      <c r="Y273" s="826">
        <f t="shared" si="89"/>
        <v>-0.15474267548698431</v>
      </c>
      <c r="Z273" s="832">
        <f t="shared" si="90"/>
        <v>-8.1687887555411842E-2</v>
      </c>
    </row>
    <row r="274" spans="1:26" ht="20.100000000000001" customHeight="1" x14ac:dyDescent="0.2">
      <c r="A274" s="801">
        <f t="shared" si="103"/>
        <v>396</v>
      </c>
      <c r="B274" s="849">
        <v>42629</v>
      </c>
      <c r="C274" s="850">
        <v>2139.16</v>
      </c>
      <c r="D274" s="817">
        <f t="shared" si="120"/>
        <v>-3.7722492851356439E-3</v>
      </c>
      <c r="E274" s="851">
        <f t="shared" si="108"/>
        <v>1.7465421129734877E-2</v>
      </c>
      <c r="F274" s="852">
        <v>5244.56</v>
      </c>
      <c r="G274" s="817">
        <f t="shared" si="121"/>
        <v>-9.7529754194539294E-4</v>
      </c>
      <c r="H274" s="853">
        <f t="shared" si="110"/>
        <v>3.0021407388495118E-2</v>
      </c>
      <c r="I274" s="854">
        <v>375872.83</v>
      </c>
      <c r="J274" s="855">
        <v>400000</v>
      </c>
      <c r="K274" s="855">
        <f t="shared" si="111"/>
        <v>20.75</v>
      </c>
      <c r="L274" s="817">
        <f t="shared" si="119"/>
        <v>5.5207889231316743E-5</v>
      </c>
      <c r="M274" s="856">
        <f t="shared" ref="M274:M279" si="122">I274-J274</f>
        <v>-24127.169999999984</v>
      </c>
      <c r="N274" s="857">
        <f t="shared" si="107"/>
        <v>-6.031792499999996E-2</v>
      </c>
      <c r="O274" s="811">
        <f t="shared" si="116"/>
        <v>-5.5634146732954505E-2</v>
      </c>
      <c r="P274" s="856" t="b">
        <f t="shared" si="112"/>
        <v>1</v>
      </c>
      <c r="Q274" s="857">
        <f>COUNTIF(P$2:P274, TRUE)/(COUNTIF(P$2:P274,FALSE) + COUNTIF(P$2:P274, TRUE))</f>
        <v>0.49816849816849818</v>
      </c>
      <c r="R274" s="855">
        <v>307021.42</v>
      </c>
      <c r="S274" s="855">
        <f t="shared" si="104"/>
        <v>68851.410000000033</v>
      </c>
      <c r="T274" s="855">
        <v>-40175</v>
      </c>
      <c r="U274" s="855">
        <f t="shared" si="105"/>
        <v>16047.830000000016</v>
      </c>
      <c r="V274" s="857">
        <f>STDEV(D$2:D274)*SQRT(252)</f>
        <v>0.16752651970065091</v>
      </c>
      <c r="W274" s="857">
        <f>STDEV(L$2:L274)*SQRT(252)</f>
        <v>0.36008095750354496</v>
      </c>
      <c r="X274" s="826">
        <f t="shared" si="88"/>
        <v>9.61591319692955E-2</v>
      </c>
      <c r="Y274" s="826">
        <f t="shared" si="89"/>
        <v>-0.1545045511950095</v>
      </c>
      <c r="Z274" s="832">
        <f t="shared" si="90"/>
        <v>-7.7783346129734837E-2</v>
      </c>
    </row>
    <row r="275" spans="1:26" ht="20.100000000000001" customHeight="1" x14ac:dyDescent="0.2">
      <c r="A275" s="801">
        <f t="shared" si="103"/>
        <v>399</v>
      </c>
      <c r="B275" s="820">
        <v>42632</v>
      </c>
      <c r="C275" s="845">
        <v>2139.12</v>
      </c>
      <c r="D275" s="817">
        <f t="shared" si="120"/>
        <v>-1.8698928551377E-5</v>
      </c>
      <c r="E275" s="844">
        <f t="shared" si="108"/>
        <v>1.7446395616521677E-2</v>
      </c>
      <c r="F275" s="841">
        <v>5235.0200000000004</v>
      </c>
      <c r="G275" s="817">
        <f t="shared" si="121"/>
        <v>-1.8190277163384464E-3</v>
      </c>
      <c r="H275" s="822">
        <f t="shared" si="110"/>
        <v>2.8147769900033509E-2</v>
      </c>
      <c r="I275" s="824">
        <v>373123.48</v>
      </c>
      <c r="J275" s="825">
        <v>400000</v>
      </c>
      <c r="K275" s="825">
        <f t="shared" si="111"/>
        <v>-2749.3500000000349</v>
      </c>
      <c r="L275" s="817">
        <f t="shared" si="119"/>
        <v>-7.3145749853747999E-3</v>
      </c>
      <c r="M275" s="842">
        <f t="shared" si="122"/>
        <v>-26876.520000000019</v>
      </c>
      <c r="N275" s="827">
        <f t="shared" si="107"/>
        <v>-6.7191300000000051E-2</v>
      </c>
      <c r="O275" s="811">
        <f t="shared" si="116"/>
        <v>-6.1507825375939899E-2</v>
      </c>
      <c r="P275" s="842" t="b">
        <f t="shared" si="112"/>
        <v>0</v>
      </c>
      <c r="Q275" s="827">
        <f>COUNTIF(P$2:P275, TRUE)/(COUNTIF(P$2:P275,FALSE) + COUNTIF(P$2:P275, TRUE))</f>
        <v>0.49635036496350365</v>
      </c>
      <c r="R275" s="825">
        <v>307089.07</v>
      </c>
      <c r="S275" s="825">
        <f t="shared" si="104"/>
        <v>66034.409999999974</v>
      </c>
      <c r="T275" s="825">
        <v>-41834</v>
      </c>
      <c r="U275" s="825">
        <f t="shared" si="105"/>
        <v>14957.479999999981</v>
      </c>
      <c r="V275" s="827">
        <f>STDEV(D$2:D275)*SQRT(252)</f>
        <v>0.16721833549598966</v>
      </c>
      <c r="W275" s="827">
        <f>STDEV(L$2:L275)*SQRT(252)</f>
        <v>0.35949423119806312</v>
      </c>
      <c r="X275" s="826">
        <f t="shared" si="88"/>
        <v>9.5507867702578395E-2</v>
      </c>
      <c r="Y275" s="826">
        <f t="shared" si="89"/>
        <v>-0.17109544476126018</v>
      </c>
      <c r="Z275" s="832">
        <f t="shared" si="90"/>
        <v>-8.4637695616521735E-2</v>
      </c>
    </row>
    <row r="276" spans="1:26" ht="20.100000000000001" customHeight="1" x14ac:dyDescent="0.2">
      <c r="A276" s="801">
        <f t="shared" si="103"/>
        <v>400</v>
      </c>
      <c r="B276" s="820">
        <v>42633</v>
      </c>
      <c r="C276" s="845">
        <v>2139.7600000000002</v>
      </c>
      <c r="D276" s="817">
        <f t="shared" si="120"/>
        <v>2.991884513259319E-4</v>
      </c>
      <c r="E276" s="844">
        <f t="shared" si="108"/>
        <v>1.7750803827933335E-2</v>
      </c>
      <c r="F276" s="841">
        <v>5241.3500000000004</v>
      </c>
      <c r="G276" s="817">
        <f t="shared" si="121"/>
        <v>1.2091644349018584E-3</v>
      </c>
      <c r="H276" s="822">
        <f t="shared" si="110"/>
        <v>2.9390969617220292E-2</v>
      </c>
      <c r="I276" s="824">
        <v>372718.71</v>
      </c>
      <c r="J276" s="825">
        <v>400000</v>
      </c>
      <c r="K276" s="825">
        <f t="shared" si="111"/>
        <v>-404.76999999996042</v>
      </c>
      <c r="L276" s="817">
        <f t="shared" si="119"/>
        <v>-1.0848151394813332E-3</v>
      </c>
      <c r="M276" s="842">
        <f t="shared" si="122"/>
        <v>-27281.289999999979</v>
      </c>
      <c r="N276" s="827">
        <f t="shared" si="107"/>
        <v>-6.8203224999999951E-2</v>
      </c>
      <c r="O276" s="811">
        <f t="shared" si="116"/>
        <v>-6.2278069828124956E-2</v>
      </c>
      <c r="P276" s="842" t="b">
        <f t="shared" si="112"/>
        <v>0</v>
      </c>
      <c r="Q276" s="827">
        <f>COUNTIF(P$2:P276, TRUE)/(COUNTIF(P$2:P276,FALSE) + COUNTIF(P$2:P276, TRUE))</f>
        <v>0.49454545454545457</v>
      </c>
      <c r="R276" s="825">
        <v>311226.5</v>
      </c>
      <c r="S276" s="825">
        <f t="shared" si="104"/>
        <v>61492.210000000021</v>
      </c>
      <c r="T276" s="825">
        <v>-42647</v>
      </c>
      <c r="U276" s="825">
        <f t="shared" si="105"/>
        <v>15365.710000000021</v>
      </c>
      <c r="V276" s="827">
        <f>STDEV(D$2:D276)*SQRT(252)</f>
        <v>0.16691188354135808</v>
      </c>
      <c r="W276" s="827">
        <f>STDEV(L$2:L276)*SQRT(252)</f>
        <v>0.35883781630276246</v>
      </c>
      <c r="X276" s="826">
        <f t="shared" si="88"/>
        <v>9.7109339380053006E-2</v>
      </c>
      <c r="Y276" s="826">
        <f t="shared" si="89"/>
        <v>-0.17355492369728123</v>
      </c>
      <c r="Z276" s="832">
        <f t="shared" si="90"/>
        <v>-8.5954028827933293E-2</v>
      </c>
    </row>
    <row r="277" spans="1:26" ht="20.100000000000001" customHeight="1" x14ac:dyDescent="0.2">
      <c r="A277" s="801">
        <f>B277-$B$2</f>
        <v>401</v>
      </c>
      <c r="B277" s="820">
        <v>42634</v>
      </c>
      <c r="C277" s="845">
        <v>2163.12</v>
      </c>
      <c r="D277" s="817">
        <f t="shared" si="120"/>
        <v>1.0917112199498855E-2</v>
      </c>
      <c r="E277" s="844">
        <f t="shared" si="108"/>
        <v>2.8861703544453034E-2</v>
      </c>
      <c r="F277" s="841">
        <v>5295.18</v>
      </c>
      <c r="G277" s="817">
        <f t="shared" si="121"/>
        <v>1.0270254800766963E-2</v>
      </c>
      <c r="H277" s="822">
        <f t="shared" si="110"/>
        <v>3.9963077164797703E-2</v>
      </c>
      <c r="I277" s="824">
        <v>382463.62</v>
      </c>
      <c r="J277" s="825">
        <v>400000</v>
      </c>
      <c r="K277" s="825">
        <f t="shared" si="111"/>
        <v>9744.9099999999744</v>
      </c>
      <c r="L277" s="817">
        <f t="shared" si="119"/>
        <v>2.6145481132406726E-2</v>
      </c>
      <c r="M277" s="842">
        <f t="shared" si="122"/>
        <v>-17536.380000000005</v>
      </c>
      <c r="N277" s="827">
        <f t="shared" si="107"/>
        <v>-4.384095000000001E-2</v>
      </c>
      <c r="O277" s="811">
        <f t="shared" si="116"/>
        <v>-3.9932436377805497E-2</v>
      </c>
      <c r="P277" s="842" t="b">
        <f t="shared" si="112"/>
        <v>1</v>
      </c>
      <c r="Q277" s="827">
        <f>COUNTIF(P$2:P277, TRUE)/(COUNTIF(P$2:P277,FALSE) + COUNTIF(P$2:P277, TRUE))</f>
        <v>0.49637681159420288</v>
      </c>
      <c r="R277" s="825">
        <v>306380.55</v>
      </c>
      <c r="S277" s="825">
        <f t="shared" si="104"/>
        <v>76083.070000000007</v>
      </c>
      <c r="T277" s="825">
        <v>-34503</v>
      </c>
      <c r="U277" s="825">
        <f t="shared" si="105"/>
        <v>16966.619999999995</v>
      </c>
      <c r="V277" s="827">
        <f>STDEV(D$2:D277)*SQRT(252)</f>
        <v>0.16692734623146724</v>
      </c>
      <c r="W277" s="827">
        <f>STDEV(L$2:L277)*SQRT(252)</f>
        <v>0.35903354110809649</v>
      </c>
      <c r="X277" s="826">
        <f t="shared" si="88"/>
        <v>0.1574854096035154</v>
      </c>
      <c r="Y277" s="826">
        <f t="shared" si="89"/>
        <v>-0.11122202191628326</v>
      </c>
      <c r="Z277" s="832">
        <f t="shared" si="90"/>
        <v>-7.2702653544453044E-2</v>
      </c>
    </row>
    <row r="278" spans="1:26" ht="20.100000000000001" customHeight="1" x14ac:dyDescent="0.2">
      <c r="A278" s="801">
        <f t="shared" ref="A278:A300" si="123">B278-$B$2</f>
        <v>402</v>
      </c>
      <c r="B278" s="820">
        <v>42635</v>
      </c>
      <c r="C278" s="845">
        <v>2177.1799999999998</v>
      </c>
      <c r="D278" s="817">
        <f t="shared" si="120"/>
        <v>6.4998705573430723E-3</v>
      </c>
      <c r="E278" s="844">
        <f t="shared" si="108"/>
        <v>3.5549171438899463E-2</v>
      </c>
      <c r="F278" s="841">
        <v>5339.52</v>
      </c>
      <c r="G278" s="817">
        <f t="shared" si="121"/>
        <v>8.373653020293954E-3</v>
      </c>
      <c r="H278" s="822">
        <f t="shared" si="110"/>
        <v>4.8671367126892913E-2</v>
      </c>
      <c r="I278" s="824">
        <v>385198.84</v>
      </c>
      <c r="J278" s="825">
        <v>400000</v>
      </c>
      <c r="K278" s="825">
        <f t="shared" si="111"/>
        <v>2735.2200000000303</v>
      </c>
      <c r="L278" s="817">
        <f t="shared" si="119"/>
        <v>7.1515821557094246E-3</v>
      </c>
      <c r="M278" s="842">
        <f t="shared" si="122"/>
        <v>-14801.159999999974</v>
      </c>
      <c r="N278" s="827">
        <f t="shared" si="107"/>
        <v>-3.7002899999999936E-2</v>
      </c>
      <c r="O278" s="811">
        <f t="shared" si="116"/>
        <v>-3.3620172201492479E-2</v>
      </c>
      <c r="P278" s="842" t="b">
        <f t="shared" si="112"/>
        <v>1</v>
      </c>
      <c r="Q278" s="827">
        <f>COUNTIF(P$2:P278, TRUE)/(COUNTIF(P$2:P278,FALSE) + COUNTIF(P$2:P278, TRUE))</f>
        <v>0.49819494584837543</v>
      </c>
      <c r="R278" s="825">
        <v>301575.81</v>
      </c>
      <c r="S278" s="825">
        <f t="shared" si="104"/>
        <v>83623.030000000028</v>
      </c>
      <c r="T278" s="825">
        <v>-32239</v>
      </c>
      <c r="U278" s="825">
        <f t="shared" si="105"/>
        <v>17437.840000000026</v>
      </c>
      <c r="V278" s="827">
        <f>STDEV(D$2:D278)*SQRT(252)</f>
        <v>0.16673370046778063</v>
      </c>
      <c r="W278" s="827">
        <f>STDEV(L$2:L278)*SQRT(252)</f>
        <v>0.35843771988043882</v>
      </c>
      <c r="X278" s="826">
        <f t="shared" si="88"/>
        <v>0.1937181288317146</v>
      </c>
      <c r="Y278" s="826">
        <f t="shared" si="89"/>
        <v>-9.379641242195963E-2</v>
      </c>
      <c r="Z278" s="832">
        <f t="shared" si="90"/>
        <v>-7.2552071438899399E-2</v>
      </c>
    </row>
    <row r="279" spans="1:26" ht="20.100000000000001" customHeight="1" x14ac:dyDescent="0.2">
      <c r="A279" s="801">
        <f t="shared" si="123"/>
        <v>403</v>
      </c>
      <c r="B279" s="820">
        <v>42636</v>
      </c>
      <c r="C279" s="845">
        <v>2164.69</v>
      </c>
      <c r="D279" s="817">
        <f t="shared" si="120"/>
        <v>-5.7367787688660478E-3</v>
      </c>
      <c r="E279" s="844">
        <f t="shared" si="108"/>
        <v>2.9608454938071953E-2</v>
      </c>
      <c r="F279" s="841">
        <v>5305.74</v>
      </c>
      <c r="G279" s="817">
        <f t="shared" si="121"/>
        <v>-6.3264113628192517E-3</v>
      </c>
      <c r="H279" s="822">
        <f t="shared" si="110"/>
        <v>4.2037040674038136E-2</v>
      </c>
      <c r="I279" s="824">
        <v>381118.05</v>
      </c>
      <c r="J279" s="825">
        <v>400000</v>
      </c>
      <c r="K279" s="825">
        <f t="shared" si="111"/>
        <v>-4080.7900000000373</v>
      </c>
      <c r="L279" s="817">
        <f t="shared" si="119"/>
        <v>-1.0593983097145456E-2</v>
      </c>
      <c r="M279" s="842">
        <f t="shared" si="122"/>
        <v>-18881.950000000012</v>
      </c>
      <c r="N279" s="827">
        <f t="shared" si="107"/>
        <v>-4.7204875000000028E-2</v>
      </c>
      <c r="O279" s="811">
        <f t="shared" si="116"/>
        <v>-4.2783078396402011E-2</v>
      </c>
      <c r="P279" s="842" t="b">
        <f t="shared" si="112"/>
        <v>0</v>
      </c>
      <c r="Q279" s="827">
        <f>COUNTIF(P$2:P279, TRUE)/(COUNTIF(P$2:P279,FALSE) + COUNTIF(P$2:P279, TRUE))</f>
        <v>0.49640287769784175</v>
      </c>
      <c r="R279" s="825">
        <v>300371.02</v>
      </c>
      <c r="S279" s="825">
        <f t="shared" si="104"/>
        <v>80747.02999999997</v>
      </c>
      <c r="T279" s="825">
        <v>-36012</v>
      </c>
      <c r="U279" s="825">
        <f t="shared" si="105"/>
        <v>17130.049999999988</v>
      </c>
      <c r="V279" s="827">
        <f>STDEV(D$2:D279)*SQRT(252)</f>
        <v>0.16652707926624533</v>
      </c>
      <c r="W279" s="827">
        <f>STDEV(L$2:L279)*SQRT(252)</f>
        <v>0.35794291849606197</v>
      </c>
      <c r="X279" s="826">
        <f t="shared" si="88"/>
        <v>0.16114471200031277</v>
      </c>
      <c r="Y279" s="826">
        <f t="shared" si="89"/>
        <v>-0.11952486328311787</v>
      </c>
      <c r="Z279" s="832">
        <f t="shared" si="90"/>
        <v>-7.6813329938071981E-2</v>
      </c>
    </row>
    <row r="280" spans="1:26" ht="20.100000000000001" customHeight="1" x14ac:dyDescent="0.2">
      <c r="A280" s="801">
        <f t="shared" si="123"/>
        <v>406</v>
      </c>
      <c r="B280" s="849">
        <v>42639</v>
      </c>
      <c r="C280" s="860">
        <v>2146.1</v>
      </c>
      <c r="D280" s="817">
        <f t="shared" si="120"/>
        <v>-8.5878347477006609E-3</v>
      </c>
      <c r="E280" s="851">
        <f t="shared" si="108"/>
        <v>2.0766347672228389E-2</v>
      </c>
      <c r="F280" s="852">
        <v>5257.49</v>
      </c>
      <c r="G280" s="817">
        <f t="shared" si="121"/>
        <v>-9.093924692879788E-3</v>
      </c>
      <c r="H280" s="853">
        <f t="shared" si="110"/>
        <v>3.256083429895712E-2</v>
      </c>
      <c r="I280" s="854">
        <v>378419.42</v>
      </c>
      <c r="J280" s="855">
        <v>400000</v>
      </c>
      <c r="K280" s="855">
        <f t="shared" si="111"/>
        <v>-2698.6300000000047</v>
      </c>
      <c r="L280" s="817">
        <f t="shared" si="119"/>
        <v>-7.0808244322198982E-3</v>
      </c>
      <c r="M280" s="856">
        <f t="shared" ref="M280:M311" si="124">I280-J280</f>
        <v>-21580.580000000016</v>
      </c>
      <c r="N280" s="857">
        <f t="shared" si="107"/>
        <v>-5.395145000000004E-2</v>
      </c>
      <c r="O280" s="811">
        <f t="shared" si="116"/>
        <v>-4.8536372198275897E-2</v>
      </c>
      <c r="P280" s="856" t="b">
        <f t="shared" si="112"/>
        <v>1</v>
      </c>
      <c r="Q280" s="857">
        <f>COUNTIF(P$2:P280, TRUE)/(COUNTIF(P$2:P280,FALSE) + COUNTIF(P$2:P280, TRUE))</f>
        <v>0.49820788530465948</v>
      </c>
      <c r="R280" s="855">
        <v>310812.53000000003</v>
      </c>
      <c r="S280" s="855">
        <f t="shared" si="104"/>
        <v>67606.889999999956</v>
      </c>
      <c r="T280" s="855">
        <v>-37706</v>
      </c>
      <c r="U280" s="855">
        <f t="shared" si="105"/>
        <v>16125.419999999984</v>
      </c>
      <c r="V280" s="857">
        <f>STDEV(D$2:D280)*SQRT(252)</f>
        <v>0.1664347537339865</v>
      </c>
      <c r="W280" s="857">
        <f>STDEV(L$2:L280)*SQRT(252)</f>
        <v>0.35736746994840918</v>
      </c>
      <c r="X280" s="826">
        <f t="shared" si="88"/>
        <v>0.11224843483667561</v>
      </c>
      <c r="Y280" s="826">
        <f t="shared" si="89"/>
        <v>-0.13581642505201377</v>
      </c>
      <c r="Z280" s="832">
        <f t="shared" si="90"/>
        <v>-7.4717797672228428E-2</v>
      </c>
    </row>
    <row r="281" spans="1:26" ht="20.100000000000001" customHeight="1" x14ac:dyDescent="0.2">
      <c r="A281" s="801">
        <f t="shared" si="123"/>
        <v>407</v>
      </c>
      <c r="B281" s="849">
        <v>42640</v>
      </c>
      <c r="C281" s="860">
        <v>2159.9299999999998</v>
      </c>
      <c r="D281" s="817">
        <f t="shared" si="120"/>
        <v>6.4442477051395216E-3</v>
      </c>
      <c r="E281" s="851">
        <f t="shared" si="108"/>
        <v>2.7344418865698796E-2</v>
      </c>
      <c r="F281" s="852">
        <v>5305.71</v>
      </c>
      <c r="G281" s="817">
        <f t="shared" si="121"/>
        <v>9.1716769789386681E-3</v>
      </c>
      <c r="H281" s="853">
        <f t="shared" si="110"/>
        <v>4.203114873225057E-2</v>
      </c>
      <c r="I281" s="854">
        <v>375834.82</v>
      </c>
      <c r="J281" s="855">
        <v>400000</v>
      </c>
      <c r="K281" s="855">
        <f t="shared" si="111"/>
        <v>-2584.5999999999767</v>
      </c>
      <c r="L281" s="817">
        <f t="shared" si="119"/>
        <v>-6.8299877421723679E-3</v>
      </c>
      <c r="M281" s="856">
        <f t="shared" si="124"/>
        <v>-24165.179999999993</v>
      </c>
      <c r="N281" s="857">
        <f t="shared" si="107"/>
        <v>-6.0412949999999979E-2</v>
      </c>
      <c r="O281" s="811">
        <f t="shared" si="116"/>
        <v>-5.4215798495085982E-2</v>
      </c>
      <c r="P281" s="856" t="b">
        <f t="shared" si="112"/>
        <v>0</v>
      </c>
      <c r="Q281" s="857">
        <f>COUNTIF(P$2:P281, TRUE)/(COUNTIF(P$2:P281,FALSE) + COUNTIF(P$2:P281, TRUE))</f>
        <v>0.49642857142857144</v>
      </c>
      <c r="R281" s="855">
        <v>313206.95</v>
      </c>
      <c r="S281" s="855">
        <f t="shared" si="104"/>
        <v>62627.869999999995</v>
      </c>
      <c r="T281" s="855">
        <v>-41827</v>
      </c>
      <c r="U281" s="855">
        <f t="shared" si="105"/>
        <v>17661.820000000007</v>
      </c>
      <c r="V281" s="857">
        <f>STDEV(D$2:D281)*SQRT(252)</f>
        <v>0.16624352629269787</v>
      </c>
      <c r="W281" s="857">
        <f>STDEV(L$2:L281)*SQRT(252)</f>
        <v>0.35679007137958157</v>
      </c>
      <c r="X281" s="826">
        <f t="shared" si="88"/>
        <v>0.14761135640474896</v>
      </c>
      <c r="Y281" s="826">
        <f t="shared" si="89"/>
        <v>-0.15195433630048219</v>
      </c>
      <c r="Z281" s="832">
        <f t="shared" si="90"/>
        <v>-8.7757368865698779E-2</v>
      </c>
    </row>
    <row r="282" spans="1:26" ht="20.100000000000001" customHeight="1" x14ac:dyDescent="0.2">
      <c r="A282" s="801">
        <f t="shared" si="123"/>
        <v>408</v>
      </c>
      <c r="B282" s="849">
        <v>42641</v>
      </c>
      <c r="C282" s="850">
        <v>2171.37</v>
      </c>
      <c r="D282" s="817">
        <f t="shared" si="120"/>
        <v>5.2964679410907088E-3</v>
      </c>
      <c r="E282" s="851">
        <f t="shared" si="108"/>
        <v>3.2785715644679435E-2</v>
      </c>
      <c r="F282" s="852">
        <v>5318.54</v>
      </c>
      <c r="G282" s="817">
        <f t="shared" si="121"/>
        <v>2.4181495030825145E-3</v>
      </c>
      <c r="H282" s="853">
        <f t="shared" si="110"/>
        <v>4.4550935836753965E-2</v>
      </c>
      <c r="I282" s="854">
        <v>385764.92</v>
      </c>
      <c r="J282" s="855">
        <v>400000</v>
      </c>
      <c r="K282" s="855">
        <f t="shared" si="111"/>
        <v>9930.0999999999767</v>
      </c>
      <c r="L282" s="817">
        <f t="shared" si="119"/>
        <v>2.6421447592322542E-2</v>
      </c>
      <c r="M282" s="856">
        <f t="shared" si="124"/>
        <v>-14235.080000000016</v>
      </c>
      <c r="N282" s="857">
        <f t="shared" si="107"/>
        <v>-3.5587700000000042E-2</v>
      </c>
      <c r="O282" s="811">
        <f t="shared" si="116"/>
        <v>-3.1858841727941213E-2</v>
      </c>
      <c r="P282" s="856" t="b">
        <f t="shared" si="112"/>
        <v>1</v>
      </c>
      <c r="Q282" s="857">
        <f>COUNTIF(P$2:P282, TRUE)/(COUNTIF(P$2:P282,FALSE) + COUNTIF(P$2:P282, TRUE))</f>
        <v>0.49822064056939502</v>
      </c>
      <c r="R282" s="855">
        <v>304000.24</v>
      </c>
      <c r="S282" s="855">
        <f t="shared" si="104"/>
        <v>81764.679999999993</v>
      </c>
      <c r="T282" s="855">
        <v>-31374</v>
      </c>
      <c r="U282" s="855">
        <f t="shared" si="105"/>
        <v>17138.919999999984</v>
      </c>
      <c r="V282" s="857">
        <f>STDEV(D$2:D282)*SQRT(252)</f>
        <v>0.16601709899528619</v>
      </c>
      <c r="W282" s="857">
        <f>STDEV(L$2:L282)*SQRT(252)</f>
        <v>0.35700717953973932</v>
      </c>
      <c r="X282" s="826">
        <f t="shared" si="88"/>
        <v>0.17679171496653109</v>
      </c>
      <c r="Y282" s="826">
        <f t="shared" si="89"/>
        <v>-8.9238658362597242E-2</v>
      </c>
      <c r="Z282" s="832">
        <f t="shared" si="90"/>
        <v>-6.8373415644679469E-2</v>
      </c>
    </row>
    <row r="283" spans="1:26" ht="20.100000000000001" customHeight="1" x14ac:dyDescent="0.2">
      <c r="A283" s="801">
        <f t="shared" si="123"/>
        <v>409</v>
      </c>
      <c r="B283" s="849">
        <v>42642</v>
      </c>
      <c r="C283" s="850">
        <v>2151.13</v>
      </c>
      <c r="D283" s="817">
        <f t="shared" si="120"/>
        <v>-9.3213040614910318E-3</v>
      </c>
      <c r="E283" s="851">
        <f t="shared" si="108"/>
        <v>2.3158805958790763E-2</v>
      </c>
      <c r="F283" s="852">
        <v>5269.15</v>
      </c>
      <c r="G283" s="817">
        <f t="shared" si="121"/>
        <v>-9.286383105137937E-3</v>
      </c>
      <c r="H283" s="853">
        <f t="shared" si="110"/>
        <v>3.4850835673743509E-2</v>
      </c>
      <c r="I283" s="854">
        <v>389483.35</v>
      </c>
      <c r="J283" s="855">
        <v>400000</v>
      </c>
      <c r="K283" s="855">
        <f t="shared" si="111"/>
        <v>3718.429999999993</v>
      </c>
      <c r="L283" s="817">
        <f t="shared" si="119"/>
        <v>9.6391087090033824E-3</v>
      </c>
      <c r="M283" s="856">
        <f t="shared" si="124"/>
        <v>-10516.650000000023</v>
      </c>
      <c r="N283" s="857">
        <f t="shared" si="107"/>
        <v>-2.6291625000000058E-2</v>
      </c>
      <c r="O283" s="811">
        <f t="shared" si="116"/>
        <v>-2.3479256800122299E-2</v>
      </c>
      <c r="P283" s="856" t="b">
        <f t="shared" si="112"/>
        <v>1</v>
      </c>
      <c r="Q283" s="857">
        <f>COUNTIF(P$2:P283, TRUE)/(COUNTIF(P$2:P283,FALSE) + COUNTIF(P$2:P283, TRUE))</f>
        <v>0.5</v>
      </c>
      <c r="R283" s="855">
        <v>298931.3</v>
      </c>
      <c r="S283" s="855">
        <f t="shared" si="104"/>
        <v>90552.049999999988</v>
      </c>
      <c r="T283" s="855">
        <v>-27372</v>
      </c>
      <c r="U283" s="855">
        <f t="shared" si="105"/>
        <v>16855.349999999977</v>
      </c>
      <c r="V283" s="857">
        <f>STDEV(D$2:D283)*SQRT(252)</f>
        <v>0.16596393387436578</v>
      </c>
      <c r="W283" s="857">
        <f>STDEV(L$2:L283)*SQRT(252)</f>
        <v>0.35647523622237404</v>
      </c>
      <c r="X283" s="826">
        <f t="shared" ref="X283:X346" si="125">E283/(A283/365.25)/V283</f>
        <v>0.12461472403891637</v>
      </c>
      <c r="Y283" s="826">
        <f t="shared" ref="Y283:Y346" si="126">O283/W283</f>
        <v>-6.5865043106320076E-2</v>
      </c>
      <c r="Z283" s="832">
        <f t="shared" ref="Z283:Z346" si="127">-(E283-N283)</f>
        <v>-4.9450430958790821E-2</v>
      </c>
    </row>
    <row r="284" spans="1:26" ht="20.100000000000001" customHeight="1" x14ac:dyDescent="0.2">
      <c r="A284" s="801">
        <f t="shared" si="123"/>
        <v>410</v>
      </c>
      <c r="B284" s="849">
        <v>42643</v>
      </c>
      <c r="C284" s="850">
        <v>2168.27</v>
      </c>
      <c r="D284" s="817">
        <f t="shared" si="120"/>
        <v>7.9679052405014442E-3</v>
      </c>
      <c r="E284" s="851">
        <f t="shared" si="108"/>
        <v>3.1311238370655012E-2</v>
      </c>
      <c r="F284" s="852">
        <v>5312</v>
      </c>
      <c r="G284" s="817">
        <f t="shared" si="121"/>
        <v>8.1322414431170813E-3</v>
      </c>
      <c r="H284" s="853">
        <f t="shared" si="110"/>
        <v>4.3266492527053869E-2</v>
      </c>
      <c r="I284" s="861">
        <v>389657.79</v>
      </c>
      <c r="J284" s="855">
        <v>400000</v>
      </c>
      <c r="K284" s="855">
        <f t="shared" si="111"/>
        <v>174.44000000000233</v>
      </c>
      <c r="L284" s="817">
        <f t="shared" si="119"/>
        <v>4.478753713092032E-4</v>
      </c>
      <c r="M284" s="856">
        <f t="shared" si="124"/>
        <v>-10342.210000000021</v>
      </c>
      <c r="N284" s="857">
        <f t="shared" si="107"/>
        <v>-2.5855525000000053E-2</v>
      </c>
      <c r="O284" s="811">
        <f t="shared" si="116"/>
        <v>-2.3033489039634193E-2</v>
      </c>
      <c r="P284" s="856" t="b">
        <f t="shared" si="112"/>
        <v>0</v>
      </c>
      <c r="Q284" s="857">
        <f>COUNTIF(P$2:P284, TRUE)/(COUNTIF(P$2:P284,FALSE) + COUNTIF(P$2:P284, TRUE))</f>
        <v>0.49823321554770317</v>
      </c>
      <c r="R284" s="855">
        <v>303944.73</v>
      </c>
      <c r="S284" s="855">
        <f t="shared" si="104"/>
        <v>85713.06</v>
      </c>
      <c r="T284" s="855">
        <v>-28150</v>
      </c>
      <c r="U284" s="855">
        <f t="shared" si="105"/>
        <v>17807.789999999979</v>
      </c>
      <c r="V284" s="857">
        <f>STDEV(D$2:D284)*SQRT(252)</f>
        <v>0.16583370781569123</v>
      </c>
      <c r="W284" s="857">
        <f>STDEV(L$2:L284)*SQRT(252)</f>
        <v>0.35584037520231043</v>
      </c>
      <c r="X284" s="826">
        <f t="shared" si="125"/>
        <v>0.16820302472408336</v>
      </c>
      <c r="Y284" s="826">
        <f t="shared" si="126"/>
        <v>-6.4729835748792333E-2</v>
      </c>
      <c r="Z284" s="832">
        <f t="shared" si="127"/>
        <v>-5.7166763370655065E-2</v>
      </c>
    </row>
    <row r="285" spans="1:26" ht="20.100000000000001" customHeight="1" x14ac:dyDescent="0.2">
      <c r="A285" s="801">
        <f t="shared" si="123"/>
        <v>413</v>
      </c>
      <c r="B285" s="820">
        <v>42646</v>
      </c>
      <c r="C285" s="845">
        <v>2161.1999999999998</v>
      </c>
      <c r="D285" s="817">
        <f t="shared" si="120"/>
        <v>-3.2606640316935453E-3</v>
      </c>
      <c r="E285" s="844">
        <f t="shared" si="108"/>
        <v>2.794847891021849E-2</v>
      </c>
      <c r="F285" s="841">
        <v>5300.87</v>
      </c>
      <c r="G285" s="817">
        <f t="shared" si="121"/>
        <v>-2.0952560240964061E-3</v>
      </c>
      <c r="H285" s="822">
        <f t="shared" si="110"/>
        <v>4.108058212384863E-2</v>
      </c>
      <c r="I285" s="824">
        <v>389787.58</v>
      </c>
      <c r="J285" s="825">
        <v>400000</v>
      </c>
      <c r="K285" s="825">
        <f t="shared" si="111"/>
        <v>129.79000000003725</v>
      </c>
      <c r="L285" s="817">
        <f t="shared" si="119"/>
        <v>3.3308714295186365E-4</v>
      </c>
      <c r="M285" s="842">
        <f t="shared" si="124"/>
        <v>-10212.419999999984</v>
      </c>
      <c r="N285" s="827">
        <f t="shared" si="107"/>
        <v>-2.5531049999999958E-2</v>
      </c>
      <c r="O285" s="811">
        <f t="shared" si="116"/>
        <v>-2.2579215526634347E-2</v>
      </c>
      <c r="P285" s="842" t="b">
        <f t="shared" si="112"/>
        <v>1</v>
      </c>
      <c r="Q285" s="827">
        <f>COUNTIF(P$2:P285, TRUE)/(COUNTIF(P$2:P285,FALSE) + COUNTIF(P$2:P285, TRUE))</f>
        <v>0.5</v>
      </c>
      <c r="R285" s="825">
        <v>316431.14</v>
      </c>
      <c r="S285" s="825">
        <f t="shared" ref="S285:S316" si="128">I285-R285</f>
        <v>73356.44</v>
      </c>
      <c r="T285" s="825">
        <v>-28447</v>
      </c>
      <c r="U285" s="825">
        <f t="shared" ref="U285:U316" si="129">M285-T285</f>
        <v>18234.580000000016</v>
      </c>
      <c r="V285" s="827">
        <f>STDEV(D$2:D285)*SQRT(252)</f>
        <v>0.16557095301003413</v>
      </c>
      <c r="W285" s="827">
        <f>STDEV(L$2:L285)*SQRT(252)</f>
        <v>0.35520892170812252</v>
      </c>
      <c r="X285" s="826">
        <f t="shared" si="125"/>
        <v>0.149284322288672</v>
      </c>
      <c r="Y285" s="826">
        <f t="shared" si="126"/>
        <v>-6.3566014665554588E-2</v>
      </c>
      <c r="Z285" s="832">
        <f t="shared" si="127"/>
        <v>-5.3479528910218448E-2</v>
      </c>
    </row>
    <row r="286" spans="1:26" ht="20.100000000000001" customHeight="1" x14ac:dyDescent="0.2">
      <c r="A286" s="801">
        <f t="shared" si="123"/>
        <v>414</v>
      </c>
      <c r="B286" s="820">
        <v>42647</v>
      </c>
      <c r="C286" s="845">
        <v>2150.4899999999998</v>
      </c>
      <c r="D286" s="817">
        <f t="shared" ref="D286:D295" si="130">(C286-C285)/C285</f>
        <v>-4.9555802332037933E-3</v>
      </c>
      <c r="E286" s="844">
        <f t="shared" si="108"/>
        <v>2.2854397747379105E-2</v>
      </c>
      <c r="F286" s="841">
        <v>5289.65</v>
      </c>
      <c r="G286" s="817">
        <f t="shared" ref="G286:G292" si="131">(F286-F285)/F285</f>
        <v>-2.1166336846593589E-3</v>
      </c>
      <c r="H286" s="822">
        <f t="shared" si="110"/>
        <v>3.8876995895280521E-2</v>
      </c>
      <c r="I286" s="824">
        <v>385233.03</v>
      </c>
      <c r="J286" s="825">
        <v>400000</v>
      </c>
      <c r="K286" s="825">
        <f t="shared" si="111"/>
        <v>-4554.5499999999884</v>
      </c>
      <c r="L286" s="817">
        <f t="shared" ref="L286:L295" si="132">K286/I285</f>
        <v>-1.1684697598625355E-2</v>
      </c>
      <c r="M286" s="842">
        <f t="shared" si="124"/>
        <v>-14766.969999999972</v>
      </c>
      <c r="N286" s="827">
        <f t="shared" ref="N286:N317" si="133">M286/J286</f>
        <v>-3.6917424999999927E-2</v>
      </c>
      <c r="O286" s="811">
        <f t="shared" si="116"/>
        <v>-3.2570264447463707E-2</v>
      </c>
      <c r="P286" s="842" t="b">
        <f t="shared" si="112"/>
        <v>0</v>
      </c>
      <c r="Q286" s="827">
        <f>COUNTIF(P$2:P286, TRUE)/(COUNTIF(P$2:P286,FALSE) + COUNTIF(P$2:P286, TRUE))</f>
        <v>0.49824561403508771</v>
      </c>
      <c r="R286" s="825">
        <v>337102.39</v>
      </c>
      <c r="S286" s="825">
        <f t="shared" si="128"/>
        <v>48130.640000000014</v>
      </c>
      <c r="T286" s="825">
        <v>-32163</v>
      </c>
      <c r="U286" s="825">
        <f t="shared" si="129"/>
        <v>17396.030000000028</v>
      </c>
      <c r="V286" s="827">
        <f>STDEV(D$2:D286)*SQRT(252)</f>
        <v>0.16534817054416481</v>
      </c>
      <c r="W286" s="827">
        <f>STDEV(L$2:L286)*SQRT(252)</f>
        <v>0.35476607688224249</v>
      </c>
      <c r="X286" s="826">
        <f t="shared" si="125"/>
        <v>0.12194395341949456</v>
      </c>
      <c r="Y286" s="826">
        <f t="shared" si="126"/>
        <v>-9.1807719423733836E-2</v>
      </c>
      <c r="Z286" s="832">
        <f t="shared" si="127"/>
        <v>-5.9771822747379036E-2</v>
      </c>
    </row>
    <row r="287" spans="1:26" ht="20.100000000000001" customHeight="1" x14ac:dyDescent="0.2">
      <c r="A287" s="801">
        <f t="shared" si="123"/>
        <v>415</v>
      </c>
      <c r="B287" s="820">
        <v>42648</v>
      </c>
      <c r="C287" s="845">
        <v>2159.73</v>
      </c>
      <c r="D287" s="817">
        <f t="shared" si="130"/>
        <v>4.2966951717981657E-3</v>
      </c>
      <c r="E287" s="844">
        <f t="shared" si="108"/>
        <v>2.7249291299632789E-2</v>
      </c>
      <c r="F287" s="841">
        <v>5316.02</v>
      </c>
      <c r="G287" s="817">
        <f t="shared" si="131"/>
        <v>4.9852069607631512E-3</v>
      </c>
      <c r="H287" s="822">
        <f t="shared" si="110"/>
        <v>4.4056012726594387E-2</v>
      </c>
      <c r="I287" s="824">
        <v>390592.54</v>
      </c>
      <c r="J287" s="825">
        <v>400000</v>
      </c>
      <c r="K287" s="825">
        <f t="shared" si="111"/>
        <v>5359.5099999999511</v>
      </c>
      <c r="L287" s="817">
        <f t="shared" si="132"/>
        <v>1.3912384407951599E-2</v>
      </c>
      <c r="M287" s="842">
        <f t="shared" si="124"/>
        <v>-9407.460000000021</v>
      </c>
      <c r="N287" s="827">
        <f t="shared" si="133"/>
        <v>-2.3518650000000054E-2</v>
      </c>
      <c r="O287" s="811">
        <f t="shared" si="116"/>
        <v>-2.0699245572289207E-2</v>
      </c>
      <c r="P287" s="842" t="b">
        <f t="shared" si="112"/>
        <v>1</v>
      </c>
      <c r="Q287" s="827">
        <f>COUNTIF(P$2:P287, TRUE)/(COUNTIF(P$2:P287,FALSE) + COUNTIF(P$2:P287, TRUE))</f>
        <v>0.5</v>
      </c>
      <c r="R287" s="825">
        <v>313332.61</v>
      </c>
      <c r="S287" s="825">
        <f t="shared" si="128"/>
        <v>77259.929999999993</v>
      </c>
      <c r="T287" s="825">
        <v>-29624</v>
      </c>
      <c r="U287" s="825">
        <f t="shared" si="129"/>
        <v>20216.539999999979</v>
      </c>
      <c r="V287" s="827">
        <f>STDEV(D$2:D287)*SQRT(252)</f>
        <v>0.16510322057626589</v>
      </c>
      <c r="W287" s="827">
        <f>STDEV(L$2:L287)*SQRT(252)</f>
        <v>0.35436735180004281</v>
      </c>
      <c r="X287" s="826">
        <f t="shared" si="125"/>
        <v>0.14525858009985407</v>
      </c>
      <c r="Y287" s="826">
        <f t="shared" si="126"/>
        <v>-5.8411830173252167E-2</v>
      </c>
      <c r="Z287" s="832">
        <f t="shared" si="127"/>
        <v>-5.0767941299632843E-2</v>
      </c>
    </row>
    <row r="288" spans="1:26" ht="20.100000000000001" customHeight="1" x14ac:dyDescent="0.2">
      <c r="A288" s="801">
        <f t="shared" si="123"/>
        <v>416</v>
      </c>
      <c r="B288" s="820">
        <v>42649</v>
      </c>
      <c r="C288" s="845">
        <v>2160.77</v>
      </c>
      <c r="D288" s="817">
        <f t="shared" si="130"/>
        <v>4.8154167419073849E-4</v>
      </c>
      <c r="E288" s="844">
        <f t="shared" ref="E288:E319" si="134">(C288-$C$2)/$C$2</f>
        <v>2.7743954643176465E-2</v>
      </c>
      <c r="F288" s="841">
        <v>5306.85</v>
      </c>
      <c r="G288" s="817">
        <f t="shared" si="131"/>
        <v>-1.7249746991170221E-3</v>
      </c>
      <c r="H288" s="822">
        <f t="shared" ref="H288:H319" si="135">(F288-F$2)/F$2</f>
        <v>4.225504252018001E-2</v>
      </c>
      <c r="I288" s="824">
        <v>390871.84</v>
      </c>
      <c r="J288" s="825">
        <v>400000</v>
      </c>
      <c r="K288" s="825">
        <f t="shared" ref="K288:K319" si="136">I288-I287-J288+J287</f>
        <v>279.30000000004657</v>
      </c>
      <c r="L288" s="817">
        <f t="shared" si="132"/>
        <v>7.1506742038659153E-4</v>
      </c>
      <c r="M288" s="842">
        <f t="shared" si="124"/>
        <v>-9128.1599999999744</v>
      </c>
      <c r="N288" s="827">
        <f t="shared" si="133"/>
        <v>-2.2820399999999935E-2</v>
      </c>
      <c r="O288" s="811">
        <f t="shared" si="116"/>
        <v>-2.0036420913461479E-2</v>
      </c>
      <c r="P288" s="842" t="b">
        <f t="shared" ref="P288:P319" si="137">L288&gt;D288</f>
        <v>1</v>
      </c>
      <c r="Q288" s="827">
        <f>COUNTIF(P$2:P288, TRUE)/(COUNTIF(P$2:P288,FALSE) + COUNTIF(P$2:P288, TRUE))</f>
        <v>0.50174216027874563</v>
      </c>
      <c r="R288" s="825">
        <v>335247.19</v>
      </c>
      <c r="S288" s="825">
        <f t="shared" si="128"/>
        <v>55624.650000000023</v>
      </c>
      <c r="T288" s="825">
        <v>-29330</v>
      </c>
      <c r="U288" s="825">
        <f t="shared" si="129"/>
        <v>20201.840000000026</v>
      </c>
      <c r="V288" s="827">
        <f>STDEV(D$2:D288)*SQRT(252)</f>
        <v>0.16481360805187978</v>
      </c>
      <c r="W288" s="827">
        <f>STDEV(L$2:L288)*SQRT(252)</f>
        <v>0.35374517129723698</v>
      </c>
      <c r="X288" s="826">
        <f t="shared" si="125"/>
        <v>0.1477992372658844</v>
      </c>
      <c r="Y288" s="826">
        <f t="shared" si="126"/>
        <v>-5.6640832269130054E-2</v>
      </c>
      <c r="Z288" s="832">
        <f t="shared" si="127"/>
        <v>-5.05643546431764E-2</v>
      </c>
    </row>
    <row r="289" spans="1:26" ht="20.100000000000001" customHeight="1" x14ac:dyDescent="0.2">
      <c r="A289" s="801">
        <f t="shared" si="123"/>
        <v>417</v>
      </c>
      <c r="B289" s="820">
        <v>42650</v>
      </c>
      <c r="C289" s="845">
        <v>2153.7399999999998</v>
      </c>
      <c r="D289" s="817">
        <f t="shared" si="130"/>
        <v>-3.2534698278855224E-3</v>
      </c>
      <c r="E289" s="844">
        <f t="shared" si="134"/>
        <v>2.4400220695953143E-2</v>
      </c>
      <c r="F289" s="841">
        <v>5292.4</v>
      </c>
      <c r="G289" s="817">
        <f t="shared" si="131"/>
        <v>-2.7228958798535341E-3</v>
      </c>
      <c r="H289" s="822">
        <f t="shared" si="135"/>
        <v>3.9417090559145239E-2</v>
      </c>
      <c r="I289" s="824">
        <v>386326.18</v>
      </c>
      <c r="J289" s="825">
        <v>400000</v>
      </c>
      <c r="K289" s="825">
        <f t="shared" si="136"/>
        <v>-4545.6600000000326</v>
      </c>
      <c r="L289" s="817">
        <f t="shared" si="132"/>
        <v>-1.1629540772238881E-2</v>
      </c>
      <c r="M289" s="842">
        <f t="shared" si="124"/>
        <v>-13673.820000000007</v>
      </c>
      <c r="N289" s="827">
        <f t="shared" si="133"/>
        <v>-3.4184550000000015E-2</v>
      </c>
      <c r="O289" s="811">
        <f t="shared" si="116"/>
        <v>-2.9942222751798572E-2</v>
      </c>
      <c r="P289" s="842" t="b">
        <f t="shared" si="137"/>
        <v>0</v>
      </c>
      <c r="Q289" s="827">
        <f>COUNTIF(P$2:P289, TRUE)/(COUNTIF(P$2:P289,FALSE) + COUNTIF(P$2:P289, TRUE))</f>
        <v>0.5</v>
      </c>
      <c r="R289" s="825">
        <v>340123.03</v>
      </c>
      <c r="S289" s="825">
        <f t="shared" si="128"/>
        <v>46203.149999999965</v>
      </c>
      <c r="T289" s="825">
        <v>-30659</v>
      </c>
      <c r="U289" s="825">
        <f t="shared" si="129"/>
        <v>16985.179999999993</v>
      </c>
      <c r="V289" s="827">
        <f>STDEV(D$2:D289)*SQRT(252)</f>
        <v>0.16455611820081531</v>
      </c>
      <c r="W289" s="827">
        <f>STDEV(L$2:L289)*SQRT(252)</f>
        <v>0.35330879271171961</v>
      </c>
      <c r="X289" s="826">
        <f t="shared" si="125"/>
        <v>0.12987749095654019</v>
      </c>
      <c r="Y289" s="826">
        <f t="shared" si="126"/>
        <v>-8.4748026002935531E-2</v>
      </c>
      <c r="Z289" s="832">
        <f t="shared" si="127"/>
        <v>-5.8584770695953158E-2</v>
      </c>
    </row>
    <row r="290" spans="1:26" ht="20.100000000000001" customHeight="1" x14ac:dyDescent="0.2">
      <c r="A290" s="801">
        <f t="shared" si="123"/>
        <v>420</v>
      </c>
      <c r="B290" s="849">
        <v>42653</v>
      </c>
      <c r="C290" s="850">
        <v>2163.66</v>
      </c>
      <c r="D290" s="817">
        <f t="shared" si="130"/>
        <v>4.6059412928208948E-3</v>
      </c>
      <c r="E290" s="851">
        <f t="shared" si="134"/>
        <v>2.911854797283147E-2</v>
      </c>
      <c r="F290" s="852">
        <v>5328.67</v>
      </c>
      <c r="G290" s="817">
        <f t="shared" si="131"/>
        <v>6.8532234902880431E-3</v>
      </c>
      <c r="H290" s="853">
        <f t="shared" si="135"/>
        <v>4.6540448180372028E-2</v>
      </c>
      <c r="I290" s="854">
        <v>390200.44</v>
      </c>
      <c r="J290" s="855">
        <v>400000</v>
      </c>
      <c r="K290" s="855">
        <f t="shared" si="136"/>
        <v>3874.2600000000093</v>
      </c>
      <c r="L290" s="817">
        <f t="shared" si="132"/>
        <v>1.0028468689333997E-2</v>
      </c>
      <c r="M290" s="856">
        <f t="shared" si="124"/>
        <v>-9799.5599999999977</v>
      </c>
      <c r="N290" s="857">
        <f t="shared" si="133"/>
        <v>-2.4498899999999994E-2</v>
      </c>
      <c r="O290" s="811">
        <f t="shared" si="116"/>
        <v>-2.1305293392857139E-2</v>
      </c>
      <c r="P290" s="856" t="b">
        <f t="shared" si="137"/>
        <v>1</v>
      </c>
      <c r="Q290" s="857">
        <f>COUNTIF(P$2:P290, TRUE)/(COUNTIF(P$2:P290,FALSE) + COUNTIF(P$2:P290, TRUE))</f>
        <v>0.5017301038062284</v>
      </c>
      <c r="R290" s="855">
        <v>340124.03</v>
      </c>
      <c r="S290" s="855">
        <f t="shared" si="128"/>
        <v>50076.409999999974</v>
      </c>
      <c r="T290" s="855">
        <v>-26735</v>
      </c>
      <c r="U290" s="855">
        <f t="shared" si="129"/>
        <v>16935.440000000002</v>
      </c>
      <c r="V290" s="857">
        <f>STDEV(D$2:D290)*SQRT(252)</f>
        <v>0.16432235109111573</v>
      </c>
      <c r="W290" s="857">
        <f>STDEV(L$2:L290)*SQRT(252)</f>
        <v>0.35280655192521093</v>
      </c>
      <c r="X290" s="826">
        <f t="shared" si="125"/>
        <v>0.15410403445909321</v>
      </c>
      <c r="Y290" s="826">
        <f t="shared" si="126"/>
        <v>-6.0388032128647948E-2</v>
      </c>
      <c r="Z290" s="832">
        <f t="shared" si="127"/>
        <v>-5.3617447972831467E-2</v>
      </c>
    </row>
    <row r="291" spans="1:26" ht="20.100000000000001" customHeight="1" x14ac:dyDescent="0.2">
      <c r="A291" s="801">
        <f t="shared" si="123"/>
        <v>428</v>
      </c>
      <c r="B291" s="820">
        <v>42661</v>
      </c>
      <c r="C291" s="845">
        <v>2139.6</v>
      </c>
      <c r="D291" s="817">
        <f t="shared" si="130"/>
        <v>-1.1120046587726327E-2</v>
      </c>
      <c r="E291" s="844">
        <f t="shared" si="134"/>
        <v>1.7674701775080313E-2</v>
      </c>
      <c r="F291" s="841">
        <v>5243.83</v>
      </c>
      <c r="G291" s="817">
        <f t="shared" si="131"/>
        <v>-1.592142129274287E-2</v>
      </c>
      <c r="H291" s="822">
        <f t="shared" si="135"/>
        <v>2.9878036804996389E-2</v>
      </c>
      <c r="I291" s="824">
        <v>374649.22</v>
      </c>
      <c r="J291" s="825">
        <v>400000</v>
      </c>
      <c r="K291" s="825">
        <f t="shared" si="136"/>
        <v>-15551.22000000003</v>
      </c>
      <c r="L291" s="817">
        <f t="shared" si="132"/>
        <v>-3.9854439938612138E-2</v>
      </c>
      <c r="M291" s="842">
        <f t="shared" si="124"/>
        <v>-25350.780000000028</v>
      </c>
      <c r="N291" s="827">
        <f t="shared" si="133"/>
        <v>-6.3376950000000071E-2</v>
      </c>
      <c r="O291" s="811">
        <f t="shared" si="116"/>
        <v>-5.4085119129672961E-2</v>
      </c>
      <c r="P291" s="842" t="b">
        <f t="shared" si="137"/>
        <v>0</v>
      </c>
      <c r="Q291" s="827">
        <f>COUNTIF(P$2:P291, TRUE)/(COUNTIF(P$2:P291,FALSE) + COUNTIF(P$2:P291, TRUE))</f>
        <v>0.5</v>
      </c>
      <c r="R291" s="825">
        <v>325873.59999999998</v>
      </c>
      <c r="S291" s="825">
        <f t="shared" si="128"/>
        <v>48775.619999999995</v>
      </c>
      <c r="T291" s="825">
        <v>-42252</v>
      </c>
      <c r="U291" s="825">
        <f t="shared" si="129"/>
        <v>16901.219999999972</v>
      </c>
      <c r="V291" s="827">
        <f>STDEV(D$2:D291)*SQRT(252)</f>
        <v>0.16437424820296684</v>
      </c>
      <c r="W291" s="827">
        <f>STDEV(L$2:L291)*SQRT(252)</f>
        <v>0.35420191935581979</v>
      </c>
      <c r="X291" s="826">
        <f t="shared" si="125"/>
        <v>9.1762401473383201E-2</v>
      </c>
      <c r="Y291" s="826">
        <f t="shared" si="126"/>
        <v>-0.15269572572626519</v>
      </c>
      <c r="Z291" s="832">
        <f t="shared" si="127"/>
        <v>-8.1051651775080391E-2</v>
      </c>
    </row>
    <row r="292" spans="1:26" ht="20.100000000000001" customHeight="1" x14ac:dyDescent="0.2">
      <c r="A292" s="801">
        <f t="shared" si="123"/>
        <v>429</v>
      </c>
      <c r="B292" s="820">
        <v>42662</v>
      </c>
      <c r="C292" s="845">
        <v>2144.29</v>
      </c>
      <c r="D292" s="817">
        <f t="shared" si="130"/>
        <v>2.1919985043933701E-3</v>
      </c>
      <c r="E292" s="844">
        <f t="shared" si="134"/>
        <v>1.9905443199330259E-2</v>
      </c>
      <c r="F292" s="841">
        <v>5246.41</v>
      </c>
      <c r="G292" s="817">
        <f t="shared" si="131"/>
        <v>4.9200679655898979E-4</v>
      </c>
      <c r="H292" s="822">
        <f t="shared" si="135"/>
        <v>3.0384743798731278E-2</v>
      </c>
      <c r="I292" s="824">
        <v>380216.65</v>
      </c>
      <c r="J292" s="825">
        <v>400000</v>
      </c>
      <c r="K292" s="825">
        <f t="shared" si="136"/>
        <v>5567.4300000000512</v>
      </c>
      <c r="L292" s="817">
        <f t="shared" si="132"/>
        <v>1.4860380598150055E-2</v>
      </c>
      <c r="M292" s="842">
        <f t="shared" si="124"/>
        <v>-19783.349999999977</v>
      </c>
      <c r="N292" s="827">
        <f t="shared" si="133"/>
        <v>-4.9458374999999943E-2</v>
      </c>
      <c r="O292" s="811">
        <f t="shared" si="116"/>
        <v>-4.2108791302447504E-2</v>
      </c>
      <c r="P292" s="842" t="b">
        <f t="shared" si="137"/>
        <v>1</v>
      </c>
      <c r="Q292" s="827">
        <f>COUNTIF(P$2:P292, TRUE)/(COUNTIF(P$2:P292,FALSE) + COUNTIF(P$2:P292, TRUE))</f>
        <v>0.50171821305841924</v>
      </c>
      <c r="R292" s="825">
        <v>324057.2</v>
      </c>
      <c r="S292" s="825">
        <f t="shared" si="128"/>
        <v>56159.450000000012</v>
      </c>
      <c r="T292" s="825">
        <v>-37035</v>
      </c>
      <c r="U292" s="825">
        <f t="shared" si="129"/>
        <v>17251.650000000023</v>
      </c>
      <c r="V292" s="827">
        <f>STDEV(D$2:D292)*SQRT(252)</f>
        <v>0.16410104874699943</v>
      </c>
      <c r="W292" s="827">
        <f>STDEV(L$2:L292)*SQRT(252)</f>
        <v>0.3538474741949057</v>
      </c>
      <c r="X292" s="826">
        <f t="shared" si="125"/>
        <v>0.10327457764305704</v>
      </c>
      <c r="Y292" s="826">
        <f t="shared" si="126"/>
        <v>-0.11900266180578474</v>
      </c>
      <c r="Z292" s="832">
        <f t="shared" si="127"/>
        <v>-6.9363818199330199E-2</v>
      </c>
    </row>
    <row r="293" spans="1:26" ht="20.100000000000001" customHeight="1" x14ac:dyDescent="0.2">
      <c r="A293" s="801">
        <f t="shared" si="123"/>
        <v>430</v>
      </c>
      <c r="B293" s="820">
        <v>42663</v>
      </c>
      <c r="C293" s="845">
        <v>2141.34</v>
      </c>
      <c r="D293" s="817">
        <f t="shared" si="130"/>
        <v>-1.3757467506726321E-3</v>
      </c>
      <c r="E293" s="844">
        <f t="shared" si="134"/>
        <v>1.850231159985545E-2</v>
      </c>
      <c r="F293" s="841">
        <v>5241.83</v>
      </c>
      <c r="G293" s="817">
        <f t="shared" ref="G293:G306" si="138">(F293-F292)/F292</f>
        <v>-8.7297790298507499E-4</v>
      </c>
      <c r="H293" s="822">
        <f t="shared" si="135"/>
        <v>2.9485240685822048E-2</v>
      </c>
      <c r="I293" s="824">
        <v>381021.44</v>
      </c>
      <c r="J293" s="825">
        <v>400000</v>
      </c>
      <c r="K293" s="825">
        <f t="shared" si="136"/>
        <v>804.78999999997905</v>
      </c>
      <c r="L293" s="817">
        <f t="shared" si="132"/>
        <v>2.1166616454065834E-3</v>
      </c>
      <c r="M293" s="842">
        <f t="shared" si="124"/>
        <v>-18978.559999999998</v>
      </c>
      <c r="N293" s="827">
        <f t="shared" si="133"/>
        <v>-4.7446399999999993E-2</v>
      </c>
      <c r="O293" s="811">
        <f t="shared" si="116"/>
        <v>-4.0301854883720921E-2</v>
      </c>
      <c r="P293" s="842" t="b">
        <f t="shared" si="137"/>
        <v>1</v>
      </c>
      <c r="Q293" s="827">
        <f>COUNTIF(P$2:P293, TRUE)/(COUNTIF(P$2:P293,FALSE) + COUNTIF(P$2:P293, TRUE))</f>
        <v>0.50342465753424659</v>
      </c>
      <c r="R293" s="825">
        <v>320933.90000000002</v>
      </c>
      <c r="S293" s="825">
        <f t="shared" si="128"/>
        <v>60087.539999999979</v>
      </c>
      <c r="T293" s="825">
        <v>-36535</v>
      </c>
      <c r="U293" s="825">
        <f t="shared" si="129"/>
        <v>17556.440000000002</v>
      </c>
      <c r="V293" s="827">
        <f>STDEV(D$2:D293)*SQRT(252)</f>
        <v>0.16382379522732679</v>
      </c>
      <c r="W293" s="827">
        <f>STDEV(L$2:L293)*SQRT(252)</f>
        <v>0.35324050890305325</v>
      </c>
      <c r="X293" s="826">
        <f t="shared" si="125"/>
        <v>9.5933607692105766E-2</v>
      </c>
      <c r="Y293" s="826">
        <f t="shared" si="126"/>
        <v>-0.11409182658261245</v>
      </c>
      <c r="Z293" s="832">
        <f t="shared" si="127"/>
        <v>-6.5948711599855436E-2</v>
      </c>
    </row>
    <row r="294" spans="1:26" ht="20.100000000000001" customHeight="1" x14ac:dyDescent="0.2">
      <c r="A294" s="801">
        <f t="shared" si="123"/>
        <v>431</v>
      </c>
      <c r="B294" s="820">
        <v>42664</v>
      </c>
      <c r="C294" s="845">
        <v>2141.16</v>
      </c>
      <c r="D294" s="817">
        <f t="shared" si="130"/>
        <v>-8.4059514136144197E-5</v>
      </c>
      <c r="E294" s="844">
        <f t="shared" si="134"/>
        <v>1.8416696790395825E-2</v>
      </c>
      <c r="F294" s="841">
        <v>5257.4</v>
      </c>
      <c r="G294" s="817">
        <f t="shared" si="138"/>
        <v>2.9703366953906765E-3</v>
      </c>
      <c r="H294" s="822">
        <f t="shared" si="135"/>
        <v>3.254315847359425E-2</v>
      </c>
      <c r="I294" s="824">
        <v>378995.29</v>
      </c>
      <c r="J294" s="825">
        <v>400000</v>
      </c>
      <c r="K294" s="825">
        <f t="shared" si="136"/>
        <v>-2026.1500000000233</v>
      </c>
      <c r="L294" s="817">
        <f t="shared" si="132"/>
        <v>-5.3176797610129849E-3</v>
      </c>
      <c r="M294" s="842">
        <f t="shared" si="124"/>
        <v>-21004.710000000021</v>
      </c>
      <c r="N294" s="827">
        <f t="shared" si="133"/>
        <v>-5.2511775000000052E-2</v>
      </c>
      <c r="O294" s="811">
        <f t="shared" si="116"/>
        <v>-4.4500987978538326E-2</v>
      </c>
      <c r="P294" s="842" t="b">
        <f t="shared" si="137"/>
        <v>0</v>
      </c>
      <c r="Q294" s="827">
        <f>COUNTIF(P$2:P294, TRUE)/(COUNTIF(P$2:P294,FALSE) + COUNTIF(P$2:P294, TRUE))</f>
        <v>0.50170648464163825</v>
      </c>
      <c r="R294" s="825">
        <v>320934.90000000002</v>
      </c>
      <c r="S294" s="825">
        <f t="shared" si="128"/>
        <v>58060.389999999956</v>
      </c>
      <c r="T294" s="825">
        <v>-36534</v>
      </c>
      <c r="U294" s="825">
        <f t="shared" si="129"/>
        <v>15529.289999999979</v>
      </c>
      <c r="V294" s="827">
        <f>STDEV(D$2:D294)*SQRT(252)</f>
        <v>0.16354217458793488</v>
      </c>
      <c r="W294" s="827">
        <f>STDEV(L$2:L294)*SQRT(252)</f>
        <v>0.35267302551448443</v>
      </c>
      <c r="X294" s="826">
        <f t="shared" si="125"/>
        <v>9.5432197478711553E-2</v>
      </c>
      <c r="Y294" s="826">
        <f t="shared" si="126"/>
        <v>-0.12618200077428562</v>
      </c>
      <c r="Z294" s="832">
        <f t="shared" si="127"/>
        <v>-7.0928471790395881E-2</v>
      </c>
    </row>
    <row r="295" spans="1:26" ht="20.100000000000001" customHeight="1" x14ac:dyDescent="0.2">
      <c r="A295" s="801">
        <f t="shared" si="123"/>
        <v>434</v>
      </c>
      <c r="B295" s="849">
        <v>42667</v>
      </c>
      <c r="C295" s="850">
        <v>2151.33</v>
      </c>
      <c r="D295" s="817">
        <f t="shared" si="130"/>
        <v>4.7497618113546275E-3</v>
      </c>
      <c r="E295" s="851">
        <f t="shared" si="134"/>
        <v>2.3253933524856774E-2</v>
      </c>
      <c r="F295" s="852">
        <v>5309.82</v>
      </c>
      <c r="G295" s="817">
        <f t="shared" si="138"/>
        <v>9.9707079545022399E-3</v>
      </c>
      <c r="H295" s="853">
        <f t="shared" si="135"/>
        <v>4.2838344757153778E-2</v>
      </c>
      <c r="I295" s="854">
        <v>378540.69</v>
      </c>
      <c r="J295" s="855">
        <v>400000</v>
      </c>
      <c r="K295" s="855">
        <f t="shared" si="136"/>
        <v>-454.59999999997672</v>
      </c>
      <c r="L295" s="817">
        <f t="shared" si="132"/>
        <v>-1.1994872020704445E-3</v>
      </c>
      <c r="M295" s="856">
        <f t="shared" si="124"/>
        <v>-21459.309999999998</v>
      </c>
      <c r="N295" s="857">
        <f t="shared" si="133"/>
        <v>-5.3648274999999995E-2</v>
      </c>
      <c r="O295" s="811">
        <f t="shared" si="116"/>
        <v>-4.5149844340437784E-2</v>
      </c>
      <c r="P295" s="856" t="b">
        <f t="shared" si="137"/>
        <v>0</v>
      </c>
      <c r="Q295" s="857">
        <f>COUNTIF(P$2:P295, TRUE)/(COUNTIF(P$2:P295,FALSE) + COUNTIF(P$2:P295, TRUE))</f>
        <v>0.5</v>
      </c>
      <c r="R295" s="855">
        <v>324753.15000000002</v>
      </c>
      <c r="S295" s="855">
        <f t="shared" si="128"/>
        <v>53787.539999999979</v>
      </c>
      <c r="T295" s="855">
        <v>-39269</v>
      </c>
      <c r="U295" s="855">
        <f t="shared" si="129"/>
        <v>17809.690000000002</v>
      </c>
      <c r="V295" s="857">
        <f>STDEV(D$2:D295)*SQRT(252)</f>
        <v>0.16331845604618789</v>
      </c>
      <c r="W295" s="857">
        <f>STDEV(L$2:L295)*SQRT(252)</f>
        <v>0.35207165866831386</v>
      </c>
      <c r="X295" s="826">
        <f t="shared" si="125"/>
        <v>0.11982892303868001</v>
      </c>
      <c r="Y295" s="826">
        <f t="shared" si="126"/>
        <v>-0.12824049658303618</v>
      </c>
      <c r="Z295" s="832">
        <f t="shared" si="127"/>
        <v>-7.6902208524856769E-2</v>
      </c>
    </row>
    <row r="296" spans="1:26" ht="20.100000000000001" customHeight="1" x14ac:dyDescent="0.2">
      <c r="A296" s="801">
        <f t="shared" si="123"/>
        <v>435</v>
      </c>
      <c r="B296" s="849">
        <v>42668</v>
      </c>
      <c r="C296" s="850">
        <v>2143.16</v>
      </c>
      <c r="D296" s="817">
        <f t="shared" ref="D296:D306" si="139">(C296-C295)/C295</f>
        <v>-3.797650755579141E-3</v>
      </c>
      <c r="E296" s="851">
        <f t="shared" si="134"/>
        <v>1.9367972451056772E-2</v>
      </c>
      <c r="F296" s="852">
        <v>5283.39</v>
      </c>
      <c r="G296" s="817">
        <f t="shared" si="138"/>
        <v>-4.9775698611251194E-3</v>
      </c>
      <c r="H296" s="853">
        <f t="shared" si="135"/>
        <v>3.764754404226496E-2</v>
      </c>
      <c r="I296" s="854">
        <v>374243.66</v>
      </c>
      <c r="J296" s="855">
        <v>400000</v>
      </c>
      <c r="K296" s="855">
        <f t="shared" si="136"/>
        <v>-4297.0300000000279</v>
      </c>
      <c r="L296" s="817">
        <f>K296/I295</f>
        <v>-1.1351566987422219E-2</v>
      </c>
      <c r="M296" s="856">
        <f t="shared" si="124"/>
        <v>-25756.340000000026</v>
      </c>
      <c r="N296" s="857">
        <f t="shared" si="133"/>
        <v>-6.4390850000000069E-2</v>
      </c>
      <c r="O296" s="811">
        <f t="shared" si="116"/>
        <v>-5.4066110258620743E-2</v>
      </c>
      <c r="P296" s="856" t="b">
        <f t="shared" si="137"/>
        <v>0</v>
      </c>
      <c r="Q296" s="857">
        <f>COUNTIF(P$2:P296, TRUE)/(COUNTIF(P$2:P296,FALSE) + COUNTIF(P$2:P296, TRUE))</f>
        <v>0.49830508474576274</v>
      </c>
      <c r="R296" s="855">
        <v>324754.15000000002</v>
      </c>
      <c r="S296" s="855">
        <f t="shared" si="128"/>
        <v>49489.509999999951</v>
      </c>
      <c r="T296" s="855">
        <v>-44170</v>
      </c>
      <c r="U296" s="855">
        <f t="shared" si="129"/>
        <v>18413.659999999974</v>
      </c>
      <c r="V296" s="857">
        <f>STDEV(D$2:D296)*SQRT(252)</f>
        <v>0.16308008977690622</v>
      </c>
      <c r="W296" s="857">
        <f>STDEV(L$2:L296)*SQRT(252)</f>
        <v>0.35163793771094465</v>
      </c>
      <c r="X296" s="826">
        <f t="shared" si="125"/>
        <v>9.9720439631500568E-2</v>
      </c>
      <c r="Y296" s="826">
        <f t="shared" si="126"/>
        <v>-0.15375505444769291</v>
      </c>
      <c r="Z296" s="832">
        <f t="shared" si="127"/>
        <v>-8.3758822451056841E-2</v>
      </c>
    </row>
    <row r="297" spans="1:26" ht="20.100000000000001" customHeight="1" x14ac:dyDescent="0.2">
      <c r="A297" s="801">
        <f t="shared" si="123"/>
        <v>436</v>
      </c>
      <c r="B297" s="849">
        <v>42669</v>
      </c>
      <c r="C297" s="850">
        <v>2139.4299999999998</v>
      </c>
      <c r="D297" s="817">
        <f t="shared" si="139"/>
        <v>-1.7404206872095496E-3</v>
      </c>
      <c r="E297" s="851">
        <f t="shared" si="134"/>
        <v>1.7593843343924099E-2</v>
      </c>
      <c r="F297" s="852">
        <v>5250.26</v>
      </c>
      <c r="G297" s="817">
        <f t="shared" si="138"/>
        <v>-6.2705952049725852E-3</v>
      </c>
      <c r="H297" s="853">
        <f t="shared" si="135"/>
        <v>3.1140876328141956E-2</v>
      </c>
      <c r="I297" s="854">
        <v>374681.1</v>
      </c>
      <c r="J297" s="855">
        <v>400000</v>
      </c>
      <c r="K297" s="855">
        <f t="shared" si="136"/>
        <v>437.44000000000233</v>
      </c>
      <c r="L297" s="817">
        <f>K297/I296</f>
        <v>1.1688641565764997E-3</v>
      </c>
      <c r="M297" s="856">
        <f t="shared" si="124"/>
        <v>-25318.900000000023</v>
      </c>
      <c r="N297" s="857">
        <f t="shared" si="133"/>
        <v>-6.3297250000000055E-2</v>
      </c>
      <c r="O297" s="811">
        <f t="shared" si="116"/>
        <v>-5.3025964592889954E-2</v>
      </c>
      <c r="P297" s="856" t="b">
        <f t="shared" si="137"/>
        <v>1</v>
      </c>
      <c r="Q297" s="857">
        <f>COUNTIF(P$2:P297, TRUE)/(COUNTIF(P$2:P297,FALSE) + COUNTIF(P$2:P297, TRUE))</f>
        <v>0.5</v>
      </c>
      <c r="R297" s="855">
        <v>325355.95</v>
      </c>
      <c r="S297" s="855">
        <f t="shared" si="128"/>
        <v>49325.149999999965</v>
      </c>
      <c r="T297" s="855">
        <v>-44067</v>
      </c>
      <c r="U297" s="855">
        <f t="shared" si="129"/>
        <v>18748.099999999977</v>
      </c>
      <c r="V297" s="857">
        <f>STDEV(D$2:D297)*SQRT(252)</f>
        <v>0.16281156659849447</v>
      </c>
      <c r="W297" s="857">
        <f>STDEV(L$2:L297)*SQRT(252)</f>
        <v>0.3510402532906407</v>
      </c>
      <c r="X297" s="826">
        <f t="shared" si="125"/>
        <v>9.0527223548276747E-2</v>
      </c>
      <c r="Y297" s="826">
        <f t="shared" si="126"/>
        <v>-0.15105380108356853</v>
      </c>
      <c r="Z297" s="832">
        <f t="shared" si="127"/>
        <v>-8.089109334392415E-2</v>
      </c>
    </row>
    <row r="298" spans="1:26" ht="20.100000000000001" customHeight="1" x14ac:dyDescent="0.2">
      <c r="A298" s="801">
        <f t="shared" si="123"/>
        <v>437</v>
      </c>
      <c r="B298" s="849">
        <v>42670</v>
      </c>
      <c r="C298" s="850">
        <v>2133.04</v>
      </c>
      <c r="D298" s="817">
        <f t="shared" si="139"/>
        <v>-2.9867768517782183E-3</v>
      </c>
      <c r="E298" s="851">
        <f t="shared" si="134"/>
        <v>1.4554517608112435E-2</v>
      </c>
      <c r="F298" s="852">
        <v>5215.97</v>
      </c>
      <c r="G298" s="817">
        <f t="shared" si="138"/>
        <v>-6.5311051262223136E-3</v>
      </c>
      <c r="H298" s="853">
        <f t="shared" si="135"/>
        <v>2.440638686489786E-2</v>
      </c>
      <c r="I298" s="854">
        <v>371125.09</v>
      </c>
      <c r="J298" s="855">
        <v>400000</v>
      </c>
      <c r="K298" s="855">
        <f t="shared" si="136"/>
        <v>-3556.0099999999511</v>
      </c>
      <c r="L298" s="817">
        <f>K298/I297</f>
        <v>-9.4907642792763005E-3</v>
      </c>
      <c r="M298" s="856">
        <f t="shared" si="124"/>
        <v>-28874.909999999974</v>
      </c>
      <c r="N298" s="857">
        <f t="shared" si="133"/>
        <v>-7.218727499999994E-2</v>
      </c>
      <c r="O298" s="811">
        <f t="shared" si="116"/>
        <v>-6.0335016461670429E-2</v>
      </c>
      <c r="P298" s="856" t="b">
        <f t="shared" si="137"/>
        <v>0</v>
      </c>
      <c r="Q298" s="857">
        <f>COUNTIF(P$2:P298, TRUE)/(COUNTIF(P$2:P298,FALSE) + COUNTIF(P$2:P298, TRUE))</f>
        <v>0.49831649831649832</v>
      </c>
      <c r="R298" s="855">
        <v>360946.85</v>
      </c>
      <c r="S298" s="855">
        <f t="shared" si="128"/>
        <v>10178.240000000049</v>
      </c>
      <c r="T298" s="855">
        <v>-47280</v>
      </c>
      <c r="U298" s="855">
        <f t="shared" si="129"/>
        <v>18405.090000000026</v>
      </c>
      <c r="V298" s="857">
        <f>STDEV(D$2:D298)*SQRT(252)</f>
        <v>0.16256052123167744</v>
      </c>
      <c r="W298" s="857">
        <f>STDEV(L$2:L298)*SQRT(252)</f>
        <v>0.3505620528969402</v>
      </c>
      <c r="X298" s="826">
        <f t="shared" si="125"/>
        <v>7.483271814438669E-2</v>
      </c>
      <c r="Y298" s="826">
        <f t="shared" si="126"/>
        <v>-0.17210937682239094</v>
      </c>
      <c r="Z298" s="832">
        <f t="shared" si="127"/>
        <v>-8.6741792608112378E-2</v>
      </c>
    </row>
    <row r="299" spans="1:26" ht="20.100000000000001" customHeight="1" x14ac:dyDescent="0.2">
      <c r="A299" s="801">
        <f t="shared" si="123"/>
        <v>438</v>
      </c>
      <c r="B299" s="849">
        <v>42671</v>
      </c>
      <c r="C299" s="850">
        <v>2126.41</v>
      </c>
      <c r="D299" s="817">
        <f t="shared" si="139"/>
        <v>-3.1082398829839616E-3</v>
      </c>
      <c r="E299" s="851">
        <f t="shared" si="134"/>
        <v>1.1401038793021347E-2</v>
      </c>
      <c r="F299" s="852">
        <v>5190.1000000000004</v>
      </c>
      <c r="G299" s="817">
        <f t="shared" si="138"/>
        <v>-4.9597677900754585E-3</v>
      </c>
      <c r="H299" s="853">
        <f t="shared" si="135"/>
        <v>1.9325569063377762E-2</v>
      </c>
      <c r="I299" s="854">
        <v>366496.83</v>
      </c>
      <c r="J299" s="855">
        <v>400000</v>
      </c>
      <c r="K299" s="855">
        <f t="shared" si="136"/>
        <v>-4628.2600000000093</v>
      </c>
      <c r="L299" s="817">
        <f>K299/I298</f>
        <v>-1.2470889532152108E-2</v>
      </c>
      <c r="M299" s="856">
        <f t="shared" si="124"/>
        <v>-33503.169999999984</v>
      </c>
      <c r="N299" s="857">
        <f t="shared" si="133"/>
        <v>-8.3757924999999955E-2</v>
      </c>
      <c r="O299" s="811">
        <f t="shared" si="116"/>
        <v>-6.9846077868150641E-2</v>
      </c>
      <c r="P299" s="856" t="b">
        <f t="shared" si="137"/>
        <v>0</v>
      </c>
      <c r="Q299" s="857">
        <f>COUNTIF(P$2:P299, TRUE)/(COUNTIF(P$2:P299,FALSE) + COUNTIF(P$2:P299, TRUE))</f>
        <v>0.49664429530201343</v>
      </c>
      <c r="R299" s="855">
        <v>352107.26</v>
      </c>
      <c r="S299" s="855">
        <f t="shared" si="128"/>
        <v>14389.570000000007</v>
      </c>
      <c r="T299" s="855">
        <v>-51134</v>
      </c>
      <c r="U299" s="855">
        <f t="shared" si="129"/>
        <v>17630.830000000016</v>
      </c>
      <c r="V299" s="857">
        <f>STDEV(D$2:D299)*SQRT(252)</f>
        <v>0.16231261803243649</v>
      </c>
      <c r="W299" s="857">
        <f>STDEV(L$2:L299)*SQRT(252)</f>
        <v>0.35016714235962632</v>
      </c>
      <c r="X299" s="826">
        <f t="shared" si="125"/>
        <v>5.8574454767186569E-2</v>
      </c>
      <c r="Y299" s="826">
        <f t="shared" si="126"/>
        <v>-0.19946496806492994</v>
      </c>
      <c r="Z299" s="832">
        <f t="shared" si="127"/>
        <v>-9.5158963793021301E-2</v>
      </c>
    </row>
    <row r="300" spans="1:26" ht="20.100000000000001" customHeight="1" x14ac:dyDescent="0.2">
      <c r="A300" s="801">
        <f t="shared" si="123"/>
        <v>441</v>
      </c>
      <c r="B300" s="820">
        <v>42674</v>
      </c>
      <c r="C300" s="845">
        <v>2126.15</v>
      </c>
      <c r="D300" s="817">
        <f t="shared" si="139"/>
        <v>-1.2227181023403931E-4</v>
      </c>
      <c r="E300" s="844">
        <f t="shared" si="134"/>
        <v>1.1277372957135537E-2</v>
      </c>
      <c r="F300" s="841">
        <v>5189.13</v>
      </c>
      <c r="G300" s="817">
        <f t="shared" si="138"/>
        <v>-1.8689427949370043E-4</v>
      </c>
      <c r="H300" s="822">
        <f t="shared" si="135"/>
        <v>1.9135062945578155E-2</v>
      </c>
      <c r="I300" s="848">
        <v>359986.87</v>
      </c>
      <c r="J300" s="825">
        <v>400000</v>
      </c>
      <c r="K300" s="825">
        <f t="shared" si="136"/>
        <v>-6509.960000000021</v>
      </c>
      <c r="L300" s="817">
        <f>K300/I299</f>
        <v>-1.7762663868061343E-2</v>
      </c>
      <c r="M300" s="842">
        <f t="shared" si="124"/>
        <v>-40013.130000000005</v>
      </c>
      <c r="N300" s="827">
        <f t="shared" si="133"/>
        <v>-0.10003282500000001</v>
      </c>
      <c r="O300" s="811">
        <f t="shared" si="116"/>
        <v>-8.2850315943877567E-2</v>
      </c>
      <c r="P300" s="842" t="b">
        <f t="shared" si="137"/>
        <v>0</v>
      </c>
      <c r="Q300" s="827">
        <f>COUNTIF(P$2:P300, TRUE)/(COUNTIF(P$2:P300,FALSE) + COUNTIF(P$2:P300, TRUE))</f>
        <v>0.49498327759197325</v>
      </c>
      <c r="R300" s="825">
        <v>351183.05</v>
      </c>
      <c r="S300" s="825">
        <f t="shared" si="128"/>
        <v>8803.820000000007</v>
      </c>
      <c r="T300" s="825">
        <v>-57393</v>
      </c>
      <c r="U300" s="825">
        <f t="shared" si="129"/>
        <v>17379.869999999995</v>
      </c>
      <c r="V300" s="827">
        <f>STDEV(D$2:D300)*SQRT(252)</f>
        <v>0.16203925205045192</v>
      </c>
      <c r="W300" s="827">
        <f>STDEV(L$2:L300)*SQRT(252)</f>
        <v>0.34996980187049981</v>
      </c>
      <c r="X300" s="826">
        <f t="shared" si="125"/>
        <v>5.7642040815990399E-2</v>
      </c>
      <c r="Y300" s="826">
        <f t="shared" si="126"/>
        <v>-0.23673561404745108</v>
      </c>
      <c r="Z300" s="832">
        <f t="shared" si="127"/>
        <v>-0.11131019795713554</v>
      </c>
    </row>
    <row r="301" spans="1:26" ht="20.100000000000001" customHeight="1" x14ac:dyDescent="0.2">
      <c r="A301" s="801">
        <f>B301-$B$2</f>
        <v>442</v>
      </c>
      <c r="B301" s="820">
        <v>42675</v>
      </c>
      <c r="C301" s="845">
        <v>2111.7199999999998</v>
      </c>
      <c r="D301" s="817">
        <f t="shared" si="139"/>
        <v>-6.7869153164171348E-3</v>
      </c>
      <c r="E301" s="844">
        <f t="shared" si="134"/>
        <v>4.4139190654666699E-3</v>
      </c>
      <c r="F301" s="841">
        <v>5153.57</v>
      </c>
      <c r="G301" s="817">
        <f t="shared" si="138"/>
        <v>-6.8527864979294022E-3</v>
      </c>
      <c r="H301" s="822">
        <f t="shared" si="135"/>
        <v>1.2151147946658267E-2</v>
      </c>
      <c r="I301" s="824">
        <v>360227.22</v>
      </c>
      <c r="J301" s="825">
        <v>400000</v>
      </c>
      <c r="K301" s="825">
        <f t="shared" si="136"/>
        <v>240.34999999997672</v>
      </c>
      <c r="L301" s="817">
        <f t="shared" ref="L301:L306" si="140">K301/I300</f>
        <v>6.6766324005088497E-4</v>
      </c>
      <c r="M301" s="842">
        <f t="shared" si="124"/>
        <v>-39772.780000000028</v>
      </c>
      <c r="N301" s="827">
        <f t="shared" si="133"/>
        <v>-9.9431950000000074E-2</v>
      </c>
      <c r="O301" s="811">
        <f t="shared" si="116"/>
        <v>-8.2166334247737616E-2</v>
      </c>
      <c r="P301" s="842" t="b">
        <f t="shared" si="137"/>
        <v>1</v>
      </c>
      <c r="Q301" s="827">
        <f>COUNTIF(P$2:P301, TRUE)/(COUNTIF(P$2:P301,FALSE) + COUNTIF(P$2:P301, TRUE))</f>
        <v>0.49666666666666665</v>
      </c>
      <c r="R301" s="825">
        <v>351313.75</v>
      </c>
      <c r="S301" s="825">
        <f t="shared" si="128"/>
        <v>8913.4699999999721</v>
      </c>
      <c r="T301" s="825">
        <v>-56508</v>
      </c>
      <c r="U301" s="825">
        <f t="shared" si="129"/>
        <v>16735.219999999972</v>
      </c>
      <c r="V301" s="827">
        <f>STDEV(D$2:D301)*SQRT(252)</f>
        <v>0.16189028230482433</v>
      </c>
      <c r="W301" s="827">
        <f>STDEV(L$2:L301)*SQRT(252)</f>
        <v>0.34938237475224687</v>
      </c>
      <c r="X301" s="826">
        <f t="shared" si="125"/>
        <v>2.2530536869902321E-2</v>
      </c>
      <c r="Y301" s="826">
        <f t="shared" si="126"/>
        <v>-0.23517595673222838</v>
      </c>
      <c r="Z301" s="832">
        <f t="shared" si="127"/>
        <v>-0.10384586906546675</v>
      </c>
    </row>
    <row r="302" spans="1:26" ht="20.100000000000001" customHeight="1" x14ac:dyDescent="0.2">
      <c r="A302" s="801">
        <f t="shared" ref="A302:A319" si="141">B302-$B$2</f>
        <v>443</v>
      </c>
      <c r="B302" s="820">
        <v>42676</v>
      </c>
      <c r="C302" s="845">
        <v>2097.94</v>
      </c>
      <c r="D302" s="817">
        <f t="shared" si="139"/>
        <v>-6.525486333415295E-3</v>
      </c>
      <c r="E302" s="844">
        <f t="shared" si="134"/>
        <v>-2.1403702364871293E-3</v>
      </c>
      <c r="F302" s="841">
        <v>5105.5600000000004</v>
      </c>
      <c r="G302" s="817">
        <f t="shared" si="138"/>
        <v>-9.3158722982319662E-3</v>
      </c>
      <c r="H302" s="822">
        <f t="shared" si="135"/>
        <v>2.7220771058783086E-3</v>
      </c>
      <c r="I302" s="824">
        <v>350822.36</v>
      </c>
      <c r="J302" s="825">
        <v>400000</v>
      </c>
      <c r="K302" s="825">
        <f t="shared" si="136"/>
        <v>-9404.859999999986</v>
      </c>
      <c r="L302" s="817">
        <f t="shared" si="140"/>
        <v>-2.6108132528130403E-2</v>
      </c>
      <c r="M302" s="842">
        <f t="shared" si="124"/>
        <v>-49177.640000000014</v>
      </c>
      <c r="N302" s="827">
        <f t="shared" si="133"/>
        <v>-0.12294410000000003</v>
      </c>
      <c r="O302" s="811">
        <f t="shared" si="116"/>
        <v>-0.10136643910835216</v>
      </c>
      <c r="P302" s="842" t="b">
        <f t="shared" si="137"/>
        <v>0</v>
      </c>
      <c r="Q302" s="827">
        <f>COUNTIF(P$2:P302, TRUE)/(COUNTIF(P$2:P302,FALSE) + COUNTIF(P$2:P302, TRUE))</f>
        <v>0.49501661129568109</v>
      </c>
      <c r="R302" s="825">
        <v>330288.3</v>
      </c>
      <c r="S302" s="825">
        <f t="shared" si="128"/>
        <v>20534.059999999998</v>
      </c>
      <c r="T302" s="825">
        <v>-66283</v>
      </c>
      <c r="U302" s="825">
        <f t="shared" si="129"/>
        <v>17105.359999999986</v>
      </c>
      <c r="V302" s="827">
        <f>STDEV(D$2:D302)*SQRT(252)</f>
        <v>0.16173222652481728</v>
      </c>
      <c r="W302" s="827">
        <f>STDEV(L$2:L302)*SQRT(252)</f>
        <v>0.34963013361097944</v>
      </c>
      <c r="X302" s="826">
        <f t="shared" si="125"/>
        <v>-1.0911358778199463E-2</v>
      </c>
      <c r="Y302" s="826">
        <f t="shared" si="126"/>
        <v>-0.28992477868380434</v>
      </c>
      <c r="Z302" s="832">
        <f t="shared" si="127"/>
        <v>-0.1208037297635129</v>
      </c>
    </row>
    <row r="303" spans="1:26" ht="20.100000000000001" customHeight="1" x14ac:dyDescent="0.2">
      <c r="A303" s="801">
        <f t="shared" si="141"/>
        <v>444</v>
      </c>
      <c r="B303" s="820">
        <v>42677</v>
      </c>
      <c r="C303" s="845">
        <v>2088.66</v>
      </c>
      <c r="D303" s="817">
        <f t="shared" si="139"/>
        <v>-4.423386750812797E-3</v>
      </c>
      <c r="E303" s="844">
        <f t="shared" si="134"/>
        <v>-6.5542893019540152E-3</v>
      </c>
      <c r="F303" s="841">
        <v>5058.3999999999996</v>
      </c>
      <c r="G303" s="817">
        <f t="shared" si="138"/>
        <v>-9.2369886946781082E-3</v>
      </c>
      <c r="H303" s="822">
        <f t="shared" si="135"/>
        <v>-6.54005538425284E-3</v>
      </c>
      <c r="I303" s="824">
        <v>366923.87</v>
      </c>
      <c r="J303" s="825">
        <v>400000</v>
      </c>
      <c r="K303" s="825">
        <f t="shared" si="136"/>
        <v>16101.510000000009</v>
      </c>
      <c r="L303" s="817">
        <f t="shared" si="140"/>
        <v>4.5896475925878866E-2</v>
      </c>
      <c r="M303" s="842">
        <f t="shared" si="124"/>
        <v>-33076.130000000005</v>
      </c>
      <c r="N303" s="827">
        <f t="shared" si="133"/>
        <v>-8.2690325000000009E-2</v>
      </c>
      <c r="O303" s="811">
        <f t="shared" si="116"/>
        <v>-6.8023966680743245E-2</v>
      </c>
      <c r="P303" s="842" t="b">
        <f t="shared" si="137"/>
        <v>1</v>
      </c>
      <c r="Q303" s="827">
        <f>COUNTIF(P$2:P303, TRUE)/(COUNTIF(P$2:P303,FALSE) + COUNTIF(P$2:P303, TRUE))</f>
        <v>0.49668874172185429</v>
      </c>
      <c r="R303" s="825">
        <v>317968.34999999998</v>
      </c>
      <c r="S303" s="825">
        <f t="shared" si="128"/>
        <v>48955.520000000019</v>
      </c>
      <c r="T303" s="825">
        <v>-47877</v>
      </c>
      <c r="U303" s="825">
        <f t="shared" si="129"/>
        <v>14800.869999999995</v>
      </c>
      <c r="V303" s="827">
        <f>STDEV(D$2:D303)*SQRT(252)</f>
        <v>0.16151419687276639</v>
      </c>
      <c r="W303" s="827">
        <f>STDEV(L$2:L303)*SQRT(252)</f>
        <v>0.35155170674162023</v>
      </c>
      <c r="X303" s="826">
        <f t="shared" si="125"/>
        <v>-3.3382753776592902E-2</v>
      </c>
      <c r="Y303" s="826">
        <f t="shared" si="126"/>
        <v>-0.19349633461099588</v>
      </c>
      <c r="Z303" s="832">
        <f t="shared" si="127"/>
        <v>-7.6136035698046001E-2</v>
      </c>
    </row>
    <row r="304" spans="1:26" ht="20.100000000000001" customHeight="1" x14ac:dyDescent="0.2">
      <c r="A304" s="801">
        <f t="shared" si="141"/>
        <v>445</v>
      </c>
      <c r="B304" s="820">
        <v>42678</v>
      </c>
      <c r="C304" s="845">
        <v>2085.1799999999998</v>
      </c>
      <c r="D304" s="817">
        <f t="shared" si="139"/>
        <v>-1.6661400132142227E-3</v>
      </c>
      <c r="E304" s="844">
        <f t="shared" si="134"/>
        <v>-8.2095089515040708E-3</v>
      </c>
      <c r="F304" s="841">
        <v>5046.37</v>
      </c>
      <c r="G304" s="817">
        <f t="shared" si="138"/>
        <v>-2.3782223628024172E-3</v>
      </c>
      <c r="H304" s="822">
        <f t="shared" si="135"/>
        <v>-8.9027240410864596E-3</v>
      </c>
      <c r="I304" s="824">
        <v>362921.09</v>
      </c>
      <c r="J304" s="825">
        <v>400000</v>
      </c>
      <c r="K304" s="825">
        <f t="shared" si="136"/>
        <v>-4002.7799999999697</v>
      </c>
      <c r="L304" s="817">
        <f t="shared" si="140"/>
        <v>-1.0909020446121343E-2</v>
      </c>
      <c r="M304" s="842">
        <f t="shared" si="124"/>
        <v>-37078.909999999974</v>
      </c>
      <c r="N304" s="827">
        <f t="shared" si="133"/>
        <v>-9.269727499999994E-2</v>
      </c>
      <c r="O304" s="811">
        <f t="shared" si="116"/>
        <v>-7.6084673469101069E-2</v>
      </c>
      <c r="P304" s="842" t="b">
        <f t="shared" si="137"/>
        <v>0</v>
      </c>
      <c r="Q304" s="827">
        <f>COUNTIF(P$2:P304, TRUE)/(COUNTIF(P$2:P304,FALSE) + COUNTIF(P$2:P304, TRUE))</f>
        <v>0.49504950495049505</v>
      </c>
      <c r="R304" s="825">
        <v>329130.11</v>
      </c>
      <c r="S304" s="825">
        <f t="shared" si="128"/>
        <v>33790.98000000004</v>
      </c>
      <c r="T304" s="825">
        <v>-52170</v>
      </c>
      <c r="U304" s="825">
        <f t="shared" si="129"/>
        <v>15091.090000000026</v>
      </c>
      <c r="V304" s="827">
        <f>STDEV(D$2:D304)*SQRT(252)</f>
        <v>0.16125311992836353</v>
      </c>
      <c r="W304" s="827">
        <f>STDEV(L$2:L304)*SQRT(252)</f>
        <v>0.35111566598352262</v>
      </c>
      <c r="X304" s="826">
        <f t="shared" si="125"/>
        <v>-4.1786814793907036E-2</v>
      </c>
      <c r="Y304" s="826">
        <f t="shared" si="126"/>
        <v>-0.21669404370203071</v>
      </c>
      <c r="Z304" s="832">
        <f t="shared" si="127"/>
        <v>-8.4487766048495866E-2</v>
      </c>
    </row>
    <row r="305" spans="1:26" ht="20.100000000000001" customHeight="1" x14ac:dyDescent="0.2">
      <c r="A305" s="801">
        <f t="shared" si="141"/>
        <v>468</v>
      </c>
      <c r="B305" s="849">
        <v>42701</v>
      </c>
      <c r="C305" s="850">
        <v>2213.35</v>
      </c>
      <c r="D305" s="817">
        <f t="shared" si="139"/>
        <v>6.1467115548777602E-2</v>
      </c>
      <c r="E305" s="851">
        <f t="shared" si="134"/>
        <v>5.2752991761952708E-2</v>
      </c>
      <c r="F305" s="852">
        <v>5398.92</v>
      </c>
      <c r="G305" s="817">
        <f t="shared" si="138"/>
        <v>6.9862098894849206E-2</v>
      </c>
      <c r="H305" s="853">
        <f t="shared" si="135"/>
        <v>6.0337411866370816E-2</v>
      </c>
      <c r="I305" s="862">
        <v>407026.88</v>
      </c>
      <c r="J305" s="855">
        <v>400000</v>
      </c>
      <c r="K305" s="855">
        <f t="shared" si="136"/>
        <v>44105.789999999979</v>
      </c>
      <c r="L305" s="817">
        <f t="shared" si="140"/>
        <v>0.12152997225925882</v>
      </c>
      <c r="M305" s="856">
        <f t="shared" si="124"/>
        <v>7026.8800000000047</v>
      </c>
      <c r="N305" s="857">
        <f t="shared" si="133"/>
        <v>1.7567200000000012E-2</v>
      </c>
      <c r="O305" s="811">
        <f t="shared" si="116"/>
        <v>1.3710298717948729E-2</v>
      </c>
      <c r="P305" s="856" t="b">
        <f t="shared" si="137"/>
        <v>1</v>
      </c>
      <c r="Q305" s="857">
        <f>COUNTIF(P$2:P305, TRUE)/(COUNTIF(P$2:P305,FALSE) + COUNTIF(P$2:P305, TRUE))</f>
        <v>0.49671052631578949</v>
      </c>
      <c r="R305" s="855">
        <v>282065.34000000003</v>
      </c>
      <c r="S305" s="855">
        <f t="shared" si="128"/>
        <v>124961.53999999998</v>
      </c>
      <c r="T305" s="855">
        <v>-28519</v>
      </c>
      <c r="U305" s="855">
        <f t="shared" si="129"/>
        <v>35545.880000000005</v>
      </c>
      <c r="V305" s="857">
        <f>STDEV(D$2:D305)*SQRT(252)</f>
        <v>0.17045897478056438</v>
      </c>
      <c r="W305" s="857">
        <f>STDEV(L$2:L305)*SQRT(252)</f>
        <v>0.36757496684562585</v>
      </c>
      <c r="X305" s="826">
        <f t="shared" si="125"/>
        <v>0.24153028517023301</v>
      </c>
      <c r="Y305" s="826">
        <f t="shared" si="126"/>
        <v>3.7299326544472711E-2</v>
      </c>
      <c r="Z305" s="832">
        <f t="shared" si="127"/>
        <v>-3.5185791761952696E-2</v>
      </c>
    </row>
    <row r="306" spans="1:26" ht="20.100000000000001" customHeight="1" x14ac:dyDescent="0.2">
      <c r="A306" s="801">
        <f t="shared" si="141"/>
        <v>469</v>
      </c>
      <c r="B306" s="820">
        <v>42702</v>
      </c>
      <c r="C306" s="845">
        <v>2201.7199999999998</v>
      </c>
      <c r="D306" s="817">
        <f t="shared" si="139"/>
        <v>-5.2544785054329905E-3</v>
      </c>
      <c r="E306" s="844">
        <f t="shared" si="134"/>
        <v>4.7221323795209255E-2</v>
      </c>
      <c r="F306" s="841">
        <v>5368.81</v>
      </c>
      <c r="G306" s="817">
        <f t="shared" si="138"/>
        <v>-5.5770413341927035E-3</v>
      </c>
      <c r="H306" s="822">
        <f t="shared" si="135"/>
        <v>5.4423866292201147E-2</v>
      </c>
      <c r="I306" s="824">
        <v>401105.48</v>
      </c>
      <c r="J306" s="825">
        <v>400000</v>
      </c>
      <c r="K306" s="825">
        <f t="shared" si="136"/>
        <v>-5921.4000000000233</v>
      </c>
      <c r="L306" s="817">
        <f t="shared" si="140"/>
        <v>-1.4547933541883089E-2</v>
      </c>
      <c r="M306" s="842">
        <f t="shared" si="124"/>
        <v>1105.4799999999814</v>
      </c>
      <c r="N306" s="827">
        <f t="shared" si="133"/>
        <v>2.7636999999999536E-3</v>
      </c>
      <c r="O306" s="811">
        <f t="shared" si="116"/>
        <v>2.1523271321961259E-3</v>
      </c>
      <c r="P306" s="842" t="b">
        <f t="shared" si="137"/>
        <v>0</v>
      </c>
      <c r="Q306" s="827">
        <f>COUNTIF(P$2:P306, TRUE)/(COUNTIF(P$2:P306,FALSE) + COUNTIF(P$2:P306, TRUE))</f>
        <v>0.49508196721311476</v>
      </c>
      <c r="R306" s="825">
        <v>286740.21999999997</v>
      </c>
      <c r="S306" s="825">
        <f t="shared" si="128"/>
        <v>114365.26000000001</v>
      </c>
      <c r="T306" s="825">
        <v>-27948</v>
      </c>
      <c r="U306" s="825">
        <f t="shared" si="129"/>
        <v>29053.479999999981</v>
      </c>
      <c r="V306" s="827">
        <f>STDEV(D$2:D306)*SQRT(252)</f>
        <v>0.17025062089045567</v>
      </c>
      <c r="W306" s="827">
        <f>STDEV(L$2:L306)*SQRT(252)</f>
        <v>0.36722797653623318</v>
      </c>
      <c r="X306" s="826">
        <f t="shared" si="125"/>
        <v>0.21600650762071899</v>
      </c>
      <c r="Y306" s="826">
        <f t="shared" si="126"/>
        <v>5.8610107881684305E-3</v>
      </c>
      <c r="Z306" s="832">
        <f t="shared" si="127"/>
        <v>-4.4457623795209303E-2</v>
      </c>
    </row>
    <row r="307" spans="1:26" ht="20.100000000000001" customHeight="1" x14ac:dyDescent="0.2">
      <c r="A307" s="801">
        <f t="shared" si="141"/>
        <v>470</v>
      </c>
      <c r="B307" s="820">
        <v>42703</v>
      </c>
      <c r="C307" s="845">
        <v>2204.66</v>
      </c>
      <c r="D307" s="817">
        <f t="shared" ref="D307:D316" si="142">(C307-C306)/C306</f>
        <v>1.3353196591755787E-3</v>
      </c>
      <c r="E307" s="844">
        <f t="shared" si="134"/>
        <v>4.8619699016380871E-2</v>
      </c>
      <c r="F307" s="841">
        <v>5379.91</v>
      </c>
      <c r="G307" s="817">
        <f t="shared" ref="G307:G321" si="143">(F307-F306)/F306</f>
        <v>2.0674972666195031E-3</v>
      </c>
      <c r="H307" s="822">
        <f t="shared" si="135"/>
        <v>5.6603884753618647E-2</v>
      </c>
      <c r="I307" s="824">
        <v>393567.36</v>
      </c>
      <c r="J307" s="825">
        <v>400000</v>
      </c>
      <c r="K307" s="825">
        <f t="shared" si="136"/>
        <v>-7538.1199999999953</v>
      </c>
      <c r="L307" s="817">
        <f t="shared" ref="L307:L321" si="144">K307/I306</f>
        <v>-1.8793360788788016E-2</v>
      </c>
      <c r="M307" s="842">
        <f t="shared" si="124"/>
        <v>-6432.640000000014</v>
      </c>
      <c r="N307" s="827">
        <f t="shared" si="133"/>
        <v>-1.6081600000000036E-2</v>
      </c>
      <c r="O307" s="811">
        <f t="shared" si="116"/>
        <v>-1.2497456170212794E-2</v>
      </c>
      <c r="P307" s="842" t="b">
        <f t="shared" si="137"/>
        <v>0</v>
      </c>
      <c r="Q307" s="827">
        <f>COUNTIF(P$2:P307, TRUE)/(COUNTIF(P$2:P307,FALSE) + COUNTIF(P$2:P307, TRUE))</f>
        <v>0.49346405228758172</v>
      </c>
      <c r="R307" s="825">
        <v>283628.3</v>
      </c>
      <c r="S307" s="825">
        <f t="shared" si="128"/>
        <v>109939.06</v>
      </c>
      <c r="T307" s="825">
        <v>-33267</v>
      </c>
      <c r="U307" s="825">
        <f t="shared" si="129"/>
        <v>26834.359999999986</v>
      </c>
      <c r="V307" s="827">
        <f>STDEV(D$2:D307)*SQRT(252)</f>
        <v>0.16997345622567742</v>
      </c>
      <c r="W307" s="827">
        <f>STDEV(L$2:L307)*SQRT(252)</f>
        <v>0.36704612962809202</v>
      </c>
      <c r="X307" s="826">
        <f t="shared" si="125"/>
        <v>0.22229184335493471</v>
      </c>
      <c r="Y307" s="826">
        <f t="shared" si="126"/>
        <v>-3.4048734372640818E-2</v>
      </c>
      <c r="Z307" s="832">
        <f t="shared" si="127"/>
        <v>-6.4701299016380914E-2</v>
      </c>
    </row>
    <row r="308" spans="1:26" ht="20.100000000000001" customHeight="1" x14ac:dyDescent="0.2">
      <c r="A308" s="801">
        <f t="shared" si="141"/>
        <v>471</v>
      </c>
      <c r="B308" s="820">
        <v>42704</v>
      </c>
      <c r="C308" s="845">
        <v>2198.81</v>
      </c>
      <c r="D308" s="817">
        <f t="shared" si="142"/>
        <v>-2.6534703763845262E-3</v>
      </c>
      <c r="E308" s="844">
        <f t="shared" si="134"/>
        <v>4.5837217708947643E-2</v>
      </c>
      <c r="F308" s="841">
        <v>5323.68</v>
      </c>
      <c r="G308" s="817">
        <f t="shared" si="143"/>
        <v>-1.0451847707489449E-2</v>
      </c>
      <c r="H308" s="822">
        <f t="shared" si="135"/>
        <v>4.5560421863032087E-2</v>
      </c>
      <c r="I308" s="847">
        <v>366163.6</v>
      </c>
      <c r="J308" s="825">
        <v>350000</v>
      </c>
      <c r="K308" s="825">
        <f t="shared" si="136"/>
        <v>22596.239999999991</v>
      </c>
      <c r="L308" s="817">
        <f t="shared" si="144"/>
        <v>5.7413907494767838E-2</v>
      </c>
      <c r="M308" s="847">
        <f t="shared" si="124"/>
        <v>16163.599999999977</v>
      </c>
      <c r="N308" s="827">
        <f t="shared" si="133"/>
        <v>4.6181714285714222E-2</v>
      </c>
      <c r="O308" s="811">
        <f t="shared" si="116"/>
        <v>3.581288989990896E-2</v>
      </c>
      <c r="P308" s="842" t="b">
        <f t="shared" si="137"/>
        <v>1</v>
      </c>
      <c r="Q308" s="827">
        <f>COUNTIF(P$2:P308, TRUE)/(COUNTIF(P$2:P308,FALSE) + COUNTIF(P$2:P308, TRUE))</f>
        <v>0.49511400651465798</v>
      </c>
      <c r="R308" s="825">
        <v>248009.28</v>
      </c>
      <c r="S308" s="825">
        <f t="shared" si="128"/>
        <v>118154.31999999998</v>
      </c>
      <c r="T308" s="825">
        <v>-30474</v>
      </c>
      <c r="U308" s="825">
        <f t="shared" si="129"/>
        <v>46637.599999999977</v>
      </c>
      <c r="V308" s="827">
        <f>STDEV(D$2:D308)*SQRT(252)</f>
        <v>0.16971451435778193</v>
      </c>
      <c r="W308" s="827">
        <f>STDEV(L$2:L308)*SQRT(252)</f>
        <v>0.37006384127225039</v>
      </c>
      <c r="X308" s="826">
        <f t="shared" si="125"/>
        <v>0.20944431664548785</v>
      </c>
      <c r="Y308" s="826">
        <f t="shared" si="126"/>
        <v>9.677489639838105E-2</v>
      </c>
      <c r="Z308" s="832">
        <f t="shared" si="127"/>
        <v>3.4449657676657863E-4</v>
      </c>
    </row>
    <row r="309" spans="1:26" ht="20.100000000000001" customHeight="1" x14ac:dyDescent="0.2">
      <c r="A309" s="801">
        <f t="shared" si="141"/>
        <v>472</v>
      </c>
      <c r="B309" s="820">
        <v>42705</v>
      </c>
      <c r="C309" s="845">
        <v>2191.08</v>
      </c>
      <c r="D309" s="817">
        <f t="shared" si="142"/>
        <v>-3.5155379500730025E-3</v>
      </c>
      <c r="E309" s="844">
        <f t="shared" si="134"/>
        <v>4.2160537280493078E-2</v>
      </c>
      <c r="F309" s="841">
        <v>5251.1</v>
      </c>
      <c r="G309" s="817">
        <f t="shared" si="143"/>
        <v>-1.3633426501968549E-2</v>
      </c>
      <c r="H309" s="822">
        <f t="shared" si="135"/>
        <v>3.1305850698195213E-2</v>
      </c>
      <c r="I309" s="824">
        <v>361692.5</v>
      </c>
      <c r="J309" s="825">
        <v>350000</v>
      </c>
      <c r="K309" s="825">
        <f t="shared" si="136"/>
        <v>-4471.0999999999767</v>
      </c>
      <c r="L309" s="817">
        <f t="shared" si="144"/>
        <v>-1.2210662119336758E-2</v>
      </c>
      <c r="M309" s="842">
        <f t="shared" si="124"/>
        <v>11692.5</v>
      </c>
      <c r="N309" s="827">
        <f t="shared" si="133"/>
        <v>3.3407142857142857E-2</v>
      </c>
      <c r="O309" s="811">
        <f t="shared" si="116"/>
        <v>2.5851607899515738E-2</v>
      </c>
      <c r="P309" s="842" t="b">
        <f t="shared" si="137"/>
        <v>0</v>
      </c>
      <c r="Q309" s="827">
        <f>COUNTIF(P$2:P309, TRUE)/(COUNTIF(P$2:P309,FALSE) + COUNTIF(P$2:P309, TRUE))</f>
        <v>0.4935064935064935</v>
      </c>
      <c r="R309" s="825">
        <v>254063.2</v>
      </c>
      <c r="S309" s="825">
        <f t="shared" si="128"/>
        <v>107629.29999999999</v>
      </c>
      <c r="T309" s="825">
        <v>-33426</v>
      </c>
      <c r="U309" s="825">
        <f t="shared" si="129"/>
        <v>45118.5</v>
      </c>
      <c r="V309" s="827">
        <f>STDEV(D$2:D309)*SQRT(252)</f>
        <v>0.16947047230211157</v>
      </c>
      <c r="W309" s="827">
        <f>STDEV(L$2:L309)*SQRT(252)</f>
        <v>0.36964383438211174</v>
      </c>
      <c r="X309" s="826">
        <f t="shared" si="125"/>
        <v>0.19251311573327806</v>
      </c>
      <c r="Y309" s="826">
        <f t="shared" si="126"/>
        <v>6.9936532128903758E-2</v>
      </c>
      <c r="Z309" s="832">
        <f t="shared" si="127"/>
        <v>-8.7533944233502206E-3</v>
      </c>
    </row>
    <row r="310" spans="1:26" ht="20.100000000000001" customHeight="1" x14ac:dyDescent="0.2">
      <c r="A310" s="801">
        <f t="shared" si="141"/>
        <v>473</v>
      </c>
      <c r="B310" s="820">
        <v>42706</v>
      </c>
      <c r="C310" s="845">
        <v>2191.9499999999998</v>
      </c>
      <c r="D310" s="817">
        <f t="shared" si="142"/>
        <v>3.9706446136147054E-4</v>
      </c>
      <c r="E310" s="844">
        <f t="shared" si="134"/>
        <v>4.2574342192880539E-2</v>
      </c>
      <c r="F310" s="841">
        <v>5255.65</v>
      </c>
      <c r="G310" s="817">
        <f t="shared" si="143"/>
        <v>8.664851174038339E-4</v>
      </c>
      <c r="H310" s="822">
        <f t="shared" si="135"/>
        <v>3.2199461869316694E-2</v>
      </c>
      <c r="I310" s="824">
        <v>313669.12</v>
      </c>
      <c r="J310" s="825">
        <v>300000</v>
      </c>
      <c r="K310" s="825">
        <f t="shared" si="136"/>
        <v>1976.6199999999953</v>
      </c>
      <c r="L310" s="817">
        <f t="shared" si="144"/>
        <v>5.4649184044457521E-3</v>
      </c>
      <c r="M310" s="842">
        <f t="shared" si="124"/>
        <v>13669.119999999995</v>
      </c>
      <c r="N310" s="827">
        <f t="shared" si="133"/>
        <v>4.5563733333333314E-2</v>
      </c>
      <c r="O310" s="811">
        <f t="shared" si="116"/>
        <v>3.5184257082452416E-2</v>
      </c>
      <c r="P310" s="842" t="b">
        <f t="shared" si="137"/>
        <v>1</v>
      </c>
      <c r="Q310" s="827">
        <f>COUNTIF(P$2:P310, TRUE)/(COUNTIF(P$2:P310,FALSE) + COUNTIF(P$2:P310, TRUE))</f>
        <v>0.49514563106796117</v>
      </c>
      <c r="R310" s="825">
        <v>254064.2</v>
      </c>
      <c r="S310" s="825">
        <f t="shared" si="128"/>
        <v>59604.919999999984</v>
      </c>
      <c r="T310" s="825">
        <v>-33097</v>
      </c>
      <c r="U310" s="825">
        <f t="shared" si="129"/>
        <v>46766.119999999995</v>
      </c>
      <c r="V310" s="827">
        <f>STDEV(D$2:D310)*SQRT(252)</f>
        <v>0.16919433911473156</v>
      </c>
      <c r="W310" s="827">
        <f>STDEV(L$2:L310)*SQRT(252)</f>
        <v>0.36906691391637653</v>
      </c>
      <c r="X310" s="826">
        <f t="shared" si="125"/>
        <v>0.19430823281588042</v>
      </c>
      <c r="Y310" s="826">
        <f t="shared" si="126"/>
        <v>9.5333002650095297E-2</v>
      </c>
      <c r="Z310" s="832">
        <f t="shared" si="127"/>
        <v>2.9893911404527754E-3</v>
      </c>
    </row>
    <row r="311" spans="1:26" ht="20.100000000000001" customHeight="1" x14ac:dyDescent="0.2">
      <c r="A311" s="801">
        <f t="shared" si="141"/>
        <v>476</v>
      </c>
      <c r="B311" s="849">
        <v>42709</v>
      </c>
      <c r="C311" s="850">
        <v>2204.71</v>
      </c>
      <c r="D311" s="817">
        <f t="shared" si="142"/>
        <v>5.821300668354761E-3</v>
      </c>
      <c r="E311" s="851">
        <f t="shared" si="134"/>
        <v>4.8643480907897482E-2</v>
      </c>
      <c r="F311" s="852">
        <v>5308.89</v>
      </c>
      <c r="G311" s="817">
        <f t="shared" si="143"/>
        <v>1.0130050517062722E-2</v>
      </c>
      <c r="H311" s="853">
        <f t="shared" si="135"/>
        <v>4.2655694561737831E-2</v>
      </c>
      <c r="I311" s="862">
        <v>315749.27</v>
      </c>
      <c r="J311" s="855">
        <v>300000</v>
      </c>
      <c r="K311" s="855">
        <f t="shared" si="136"/>
        <v>2080.1500000000233</v>
      </c>
      <c r="L311" s="817">
        <f t="shared" si="144"/>
        <v>6.6316697034123837E-3</v>
      </c>
      <c r="M311" s="856">
        <f t="shared" si="124"/>
        <v>15749.270000000019</v>
      </c>
      <c r="N311" s="857">
        <f t="shared" si="133"/>
        <v>5.2497566666666731E-2</v>
      </c>
      <c r="O311" s="811">
        <f t="shared" si="116"/>
        <v>4.0283059296218532E-2</v>
      </c>
      <c r="P311" s="856" t="b">
        <f t="shared" si="137"/>
        <v>1</v>
      </c>
      <c r="Q311" s="857">
        <f>COUNTIF(P$2:P311, TRUE)/(COUNTIF(P$2:P311,FALSE) + COUNTIF(P$2:P311, TRUE))</f>
        <v>0.49677419354838709</v>
      </c>
      <c r="R311" s="855">
        <v>256362.35</v>
      </c>
      <c r="S311" s="855">
        <f t="shared" si="128"/>
        <v>59386.920000000013</v>
      </c>
      <c r="T311" s="855">
        <v>-31763</v>
      </c>
      <c r="U311" s="855">
        <f t="shared" si="129"/>
        <v>47512.270000000019</v>
      </c>
      <c r="V311" s="857">
        <f>STDEV(D$2:D311)*SQRT(252)</f>
        <v>0.16899593279406544</v>
      </c>
      <c r="W311" s="857">
        <f>STDEV(L$2:L311)*SQRT(252)</f>
        <v>0.3685065540926854</v>
      </c>
      <c r="X311" s="826">
        <f t="shared" si="125"/>
        <v>0.22086742328499143</v>
      </c>
      <c r="Y311" s="826">
        <f t="shared" si="126"/>
        <v>0.10931436320149325</v>
      </c>
      <c r="Z311" s="832">
        <f t="shared" si="127"/>
        <v>3.854085758769249E-3</v>
      </c>
    </row>
    <row r="312" spans="1:26" ht="20.100000000000001" customHeight="1" x14ac:dyDescent="0.2">
      <c r="A312" s="801">
        <f t="shared" si="141"/>
        <v>477</v>
      </c>
      <c r="B312" s="849">
        <v>42710</v>
      </c>
      <c r="C312" s="850">
        <v>2212.23</v>
      </c>
      <c r="D312" s="817">
        <f t="shared" si="142"/>
        <v>3.4108794353905872E-3</v>
      </c>
      <c r="E312" s="851">
        <f t="shared" si="134"/>
        <v>5.2220277391982629E-2</v>
      </c>
      <c r="F312" s="852">
        <v>5333</v>
      </c>
      <c r="G312" s="817">
        <f t="shared" si="143"/>
        <v>4.5414389825367768E-3</v>
      </c>
      <c r="H312" s="853">
        <f t="shared" si="135"/>
        <v>4.7390851778384466E-2</v>
      </c>
      <c r="I312" s="862">
        <v>317812.25</v>
      </c>
      <c r="J312" s="855">
        <v>300000</v>
      </c>
      <c r="K312" s="855">
        <f t="shared" si="136"/>
        <v>2062.9799999999814</v>
      </c>
      <c r="L312" s="817">
        <f t="shared" si="144"/>
        <v>6.5336018037349102E-3</v>
      </c>
      <c r="M312" s="856">
        <f t="shared" ref="M312:M343" si="145">I312-J312</f>
        <v>17812.25</v>
      </c>
      <c r="N312" s="857">
        <f t="shared" si="133"/>
        <v>5.9374166666666665E-2</v>
      </c>
      <c r="O312" s="811">
        <f t="shared" si="116"/>
        <v>4.5464181079664566E-2</v>
      </c>
      <c r="P312" s="856" t="b">
        <f t="shared" si="137"/>
        <v>1</v>
      </c>
      <c r="Q312" s="857">
        <f>COUNTIF(P$2:P312, TRUE)/(COUNTIF(P$2:P312,FALSE) + COUNTIF(P$2:P312, TRUE))</f>
        <v>0.49839228295819937</v>
      </c>
      <c r="R312" s="855">
        <v>247476.7</v>
      </c>
      <c r="S312" s="855">
        <f t="shared" si="128"/>
        <v>70335.549999999988</v>
      </c>
      <c r="T312" s="855">
        <v>-30573</v>
      </c>
      <c r="U312" s="855">
        <f t="shared" si="129"/>
        <v>48385.25</v>
      </c>
      <c r="V312" s="857">
        <f>STDEV(D$2:D312)*SQRT(252)</f>
        <v>0.1687469337814691</v>
      </c>
      <c r="W312" s="857">
        <f>STDEV(L$2:L312)*SQRT(252)</f>
        <v>0.36794744748761488</v>
      </c>
      <c r="X312" s="826">
        <f t="shared" si="125"/>
        <v>0.23696004835068094</v>
      </c>
      <c r="Y312" s="826">
        <f t="shared" si="126"/>
        <v>0.1235616156331534</v>
      </c>
      <c r="Z312" s="832">
        <f t="shared" si="127"/>
        <v>7.153889274684036E-3</v>
      </c>
    </row>
    <row r="313" spans="1:26" ht="20.100000000000001" customHeight="1" x14ac:dyDescent="0.2">
      <c r="A313" s="801">
        <f t="shared" si="141"/>
        <v>478</v>
      </c>
      <c r="B313" s="849">
        <v>42711</v>
      </c>
      <c r="C313" s="850">
        <v>2241.35</v>
      </c>
      <c r="D313" s="817">
        <f t="shared" si="142"/>
        <v>1.316318827608336E-2</v>
      </c>
      <c r="E313" s="851">
        <f t="shared" si="134"/>
        <v>6.6070851011205953E-2</v>
      </c>
      <c r="F313" s="852">
        <v>5393.76</v>
      </c>
      <c r="G313" s="817">
        <f t="shared" si="143"/>
        <v>1.1393212075754776E-2</v>
      </c>
      <c r="H313" s="853">
        <f t="shared" si="135"/>
        <v>5.9323997878901039E-2</v>
      </c>
      <c r="I313" s="862">
        <v>321172.03999999998</v>
      </c>
      <c r="J313" s="855">
        <v>300000</v>
      </c>
      <c r="K313" s="855">
        <f t="shared" si="136"/>
        <v>3359.789999999979</v>
      </c>
      <c r="L313" s="817">
        <f t="shared" si="144"/>
        <v>1.0571618935393394E-2</v>
      </c>
      <c r="M313" s="856">
        <f t="shared" si="145"/>
        <v>21172.039999999979</v>
      </c>
      <c r="N313" s="857">
        <f t="shared" si="133"/>
        <v>7.0573466666666598E-2</v>
      </c>
      <c r="O313" s="811">
        <f t="shared" si="116"/>
        <v>5.3926691841004133E-2</v>
      </c>
      <c r="P313" s="856" t="b">
        <f t="shared" si="137"/>
        <v>0</v>
      </c>
      <c r="Q313" s="857">
        <f>COUNTIF(P$2:P313, TRUE)/(COUNTIF(P$2:P313,FALSE) + COUNTIF(P$2:P313, TRUE))</f>
        <v>0.49679487179487181</v>
      </c>
      <c r="R313" s="855">
        <v>220777.60000000001</v>
      </c>
      <c r="S313" s="855">
        <f t="shared" si="128"/>
        <v>100394.43999999997</v>
      </c>
      <c r="T313" s="855">
        <v>-30508</v>
      </c>
      <c r="U313" s="855">
        <f t="shared" si="129"/>
        <v>51680.039999999979</v>
      </c>
      <c r="V313" s="857">
        <f>STDEV(D$2:D313)*SQRT(252)</f>
        <v>0.16887690023643279</v>
      </c>
      <c r="W313" s="857">
        <f>STDEV(L$2:L313)*SQRT(252)</f>
        <v>0.36746067349044381</v>
      </c>
      <c r="X313" s="826">
        <f t="shared" si="125"/>
        <v>0.29895235563339134</v>
      </c>
      <c r="Y313" s="826">
        <f t="shared" si="126"/>
        <v>0.146755001912896</v>
      </c>
      <c r="Z313" s="832">
        <f t="shared" si="127"/>
        <v>4.5026156554606456E-3</v>
      </c>
    </row>
    <row r="314" spans="1:26" ht="20.100000000000001" customHeight="1" x14ac:dyDescent="0.2">
      <c r="A314" s="801">
        <f t="shared" si="141"/>
        <v>479</v>
      </c>
      <c r="B314" s="849">
        <v>42712</v>
      </c>
      <c r="C314" s="850">
        <v>2246.19</v>
      </c>
      <c r="D314" s="817">
        <f t="shared" si="142"/>
        <v>2.1594128538604618E-3</v>
      </c>
      <c r="E314" s="851">
        <f t="shared" si="134"/>
        <v>6.8372938110005513E-2</v>
      </c>
      <c r="F314" s="852">
        <v>5417.35</v>
      </c>
      <c r="G314" s="817">
        <f t="shared" si="143"/>
        <v>4.3735724244312211E-3</v>
      </c>
      <c r="H314" s="853">
        <f t="shared" si="135"/>
        <v>6.3957028104562441E-2</v>
      </c>
      <c r="I314" s="862">
        <v>322327.21999999997</v>
      </c>
      <c r="J314" s="855">
        <v>300000</v>
      </c>
      <c r="K314" s="855">
        <f t="shared" si="136"/>
        <v>1155.179999999993</v>
      </c>
      <c r="L314" s="817">
        <f t="shared" si="144"/>
        <v>3.596763902611177E-3</v>
      </c>
      <c r="M314" s="856">
        <f t="shared" si="145"/>
        <v>22327.219999999972</v>
      </c>
      <c r="N314" s="857">
        <f t="shared" si="133"/>
        <v>7.442406666666658E-2</v>
      </c>
      <c r="O314" s="811">
        <f t="shared" si="116"/>
        <v>5.6750293006262983E-2</v>
      </c>
      <c r="P314" s="856" t="b">
        <f t="shared" si="137"/>
        <v>1</v>
      </c>
      <c r="Q314" s="857">
        <f>COUNTIF(P$2:P314, TRUE)/(COUNTIF(P$2:P314,FALSE) + COUNTIF(P$2:P314, TRUE))</f>
        <v>0.49840255591054311</v>
      </c>
      <c r="R314" s="855">
        <v>216214.39999999999</v>
      </c>
      <c r="S314" s="855">
        <f t="shared" si="128"/>
        <v>106112.81999999998</v>
      </c>
      <c r="T314" s="855">
        <v>-30163</v>
      </c>
      <c r="U314" s="855">
        <f t="shared" si="129"/>
        <v>52490.219999999972</v>
      </c>
      <c r="V314" s="857">
        <f>STDEV(D$2:D314)*SQRT(252)</f>
        <v>0.16861379822258454</v>
      </c>
      <c r="W314" s="857">
        <f>STDEV(L$2:L314)*SQRT(252)</f>
        <v>0.36687837723498989</v>
      </c>
      <c r="X314" s="826">
        <f t="shared" si="125"/>
        <v>0.30920452608826132</v>
      </c>
      <c r="Y314" s="826">
        <f t="shared" si="126"/>
        <v>0.15468421288266263</v>
      </c>
      <c r="Z314" s="832">
        <f t="shared" si="127"/>
        <v>6.0511285566610673E-3</v>
      </c>
    </row>
    <row r="315" spans="1:26" ht="20.100000000000001" customHeight="1" x14ac:dyDescent="0.2">
      <c r="A315" s="801">
        <f t="shared" si="141"/>
        <v>480</v>
      </c>
      <c r="B315" s="849">
        <v>42713</v>
      </c>
      <c r="C315" s="850">
        <v>2259.5300000000002</v>
      </c>
      <c r="D315" s="817">
        <f t="shared" si="142"/>
        <v>5.9389455032744986E-3</v>
      </c>
      <c r="E315" s="851">
        <f t="shared" si="134"/>
        <v>7.4717946766614099E-2</v>
      </c>
      <c r="F315" s="852">
        <v>5444.49</v>
      </c>
      <c r="G315" s="817">
        <f t="shared" si="143"/>
        <v>5.0098295291977476E-3</v>
      </c>
      <c r="H315" s="853">
        <f t="shared" si="135"/>
        <v>6.9287271441758155E-2</v>
      </c>
      <c r="I315" s="862">
        <v>323626.28000000003</v>
      </c>
      <c r="J315" s="855">
        <v>300000</v>
      </c>
      <c r="K315" s="855">
        <f t="shared" si="136"/>
        <v>1299.0600000000559</v>
      </c>
      <c r="L315" s="817">
        <f t="shared" si="144"/>
        <v>4.0302522387034396E-3</v>
      </c>
      <c r="M315" s="856">
        <f t="shared" si="145"/>
        <v>23626.280000000028</v>
      </c>
      <c r="N315" s="857">
        <f t="shared" si="133"/>
        <v>7.8754266666666753E-2</v>
      </c>
      <c r="O315" s="811">
        <f t="shared" si="116"/>
        <v>5.9927074791666736E-2</v>
      </c>
      <c r="P315" s="856" t="b">
        <f t="shared" si="137"/>
        <v>0</v>
      </c>
      <c r="Q315" s="857">
        <f>COUNTIF(P$2:P315, TRUE)/(COUNTIF(P$2:P315,FALSE) + COUNTIF(P$2:P315, TRUE))</f>
        <v>0.49681528662420382</v>
      </c>
      <c r="R315" s="855">
        <v>204478.8</v>
      </c>
      <c r="S315" s="855">
        <f t="shared" si="128"/>
        <v>119147.48000000004</v>
      </c>
      <c r="T315" s="855">
        <v>-28680</v>
      </c>
      <c r="U315" s="855">
        <f t="shared" si="129"/>
        <v>52306.280000000028</v>
      </c>
      <c r="V315" s="857">
        <f>STDEV(D$2:D315)*SQRT(252)</f>
        <v>0.16842024942459102</v>
      </c>
      <c r="W315" s="857">
        <f>STDEV(L$2:L315)*SQRT(252)</f>
        <v>0.36630175469945664</v>
      </c>
      <c r="X315" s="826">
        <f t="shared" si="125"/>
        <v>0.33758225517399648</v>
      </c>
      <c r="Y315" s="826">
        <f t="shared" si="126"/>
        <v>0.16360029408222659</v>
      </c>
      <c r="Z315" s="832">
        <f t="shared" si="127"/>
        <v>4.036319900052654E-3</v>
      </c>
    </row>
    <row r="316" spans="1:26" ht="20.100000000000001" customHeight="1" x14ac:dyDescent="0.2">
      <c r="A316" s="801">
        <f t="shared" si="141"/>
        <v>483</v>
      </c>
      <c r="B316" s="820">
        <v>42716</v>
      </c>
      <c r="C316" s="845">
        <v>2256.96</v>
      </c>
      <c r="D316" s="817">
        <f t="shared" si="142"/>
        <v>-1.137404681504633E-3</v>
      </c>
      <c r="E316" s="844">
        <f t="shared" si="134"/>
        <v>7.3495557542664708E-2</v>
      </c>
      <c r="F316" s="841">
        <v>5412.54</v>
      </c>
      <c r="G316" s="817">
        <f t="shared" si="143"/>
        <v>-5.8683182446840421E-3</v>
      </c>
      <c r="H316" s="822">
        <f t="shared" si="135"/>
        <v>6.301235343794806E-2</v>
      </c>
      <c r="I316" s="824">
        <v>324351.42</v>
      </c>
      <c r="J316" s="825">
        <v>300000</v>
      </c>
      <c r="K316" s="825">
        <f t="shared" si="136"/>
        <v>725.13999999995576</v>
      </c>
      <c r="L316" s="817">
        <f t="shared" si="144"/>
        <v>2.2406709368595025E-3</v>
      </c>
      <c r="M316" s="842">
        <f t="shared" si="145"/>
        <v>24351.419999999984</v>
      </c>
      <c r="N316" s="827">
        <f t="shared" si="133"/>
        <v>8.1171399999999949E-2</v>
      </c>
      <c r="O316" s="811">
        <f t="shared" si="116"/>
        <v>6.1382720186335366E-2</v>
      </c>
      <c r="P316" s="842" t="b">
        <f t="shared" si="137"/>
        <v>1</v>
      </c>
      <c r="Q316" s="827">
        <f>COUNTIF(P$2:P316, TRUE)/(COUNTIF(P$2:P316,FALSE) + COUNTIF(P$2:P316, TRUE))</f>
        <v>0.49841269841269842</v>
      </c>
      <c r="R316" s="825">
        <v>230456.1</v>
      </c>
      <c r="S316" s="825">
        <f t="shared" si="128"/>
        <v>93895.319999999978</v>
      </c>
      <c r="T316" s="825">
        <v>-29165</v>
      </c>
      <c r="U316" s="825">
        <f t="shared" si="129"/>
        <v>53516.419999999984</v>
      </c>
      <c r="V316" s="827">
        <f>STDEV(D$2:D316)*SQRT(252)</f>
        <v>0.16815582865464937</v>
      </c>
      <c r="W316" s="827">
        <f>STDEV(L$2:L316)*SQRT(252)</f>
        <v>0.36571853063602927</v>
      </c>
      <c r="X316" s="826">
        <f t="shared" si="125"/>
        <v>0.33051582420833064</v>
      </c>
      <c r="Y316" s="826">
        <f t="shared" si="126"/>
        <v>0.16784142733917065</v>
      </c>
      <c r="Z316" s="832">
        <f t="shared" si="127"/>
        <v>7.6758424573352413E-3</v>
      </c>
    </row>
    <row r="317" spans="1:26" ht="20.100000000000001" customHeight="1" x14ac:dyDescent="0.2">
      <c r="A317" s="801">
        <f t="shared" si="141"/>
        <v>484</v>
      </c>
      <c r="B317" s="820">
        <v>42717</v>
      </c>
      <c r="C317" s="845">
        <v>2271.7199999999998</v>
      </c>
      <c r="D317" s="817">
        <f t="shared" ref="D317:D324" si="146">(C317-C316)/C316</f>
        <v>6.539770310506063E-3</v>
      </c>
      <c r="E317" s="844">
        <f t="shared" si="134"/>
        <v>8.051597191834238E-2</v>
      </c>
      <c r="F317" s="841">
        <v>5463.82</v>
      </c>
      <c r="G317" s="817">
        <f t="shared" si="143"/>
        <v>9.47429487819023E-3</v>
      </c>
      <c r="H317" s="822">
        <f t="shared" si="135"/>
        <v>7.3083645933578162E-2</v>
      </c>
      <c r="I317" s="824">
        <v>326932.27</v>
      </c>
      <c r="J317" s="825">
        <v>300000</v>
      </c>
      <c r="K317" s="825">
        <f t="shared" si="136"/>
        <v>2580.8500000000349</v>
      </c>
      <c r="L317" s="817">
        <f t="shared" si="144"/>
        <v>7.9569560694386209E-3</v>
      </c>
      <c r="M317" s="842">
        <f t="shared" si="145"/>
        <v>26932.270000000019</v>
      </c>
      <c r="N317" s="827">
        <f t="shared" si="133"/>
        <v>8.9774233333333397E-2</v>
      </c>
      <c r="O317" s="811">
        <f t="shared" si="116"/>
        <v>6.7748013894628145E-2</v>
      </c>
      <c r="P317" s="842" t="b">
        <f t="shared" si="137"/>
        <v>1</v>
      </c>
      <c r="Q317" s="827">
        <f>COUNTIF(P$2:P317, TRUE)/(COUNTIF(P$2:P317,FALSE) + COUNTIF(P$2:P317, TRUE))</f>
        <v>0.5</v>
      </c>
      <c r="R317" s="825">
        <v>227241.15</v>
      </c>
      <c r="S317" s="825">
        <f t="shared" ref="S317:S325" si="147">I317-R317</f>
        <v>99691.120000000024</v>
      </c>
      <c r="T317" s="825">
        <v>-28375</v>
      </c>
      <c r="U317" s="825">
        <f t="shared" ref="U317:U348" si="148">M317-T317</f>
        <v>55307.270000000019</v>
      </c>
      <c r="V317" s="827">
        <f>STDEV(D$2:D317)*SQRT(252)</f>
        <v>0.16798113436370918</v>
      </c>
      <c r="W317" s="827">
        <f>STDEV(L$2:L317)*SQRT(252)</f>
        <v>0.36519230283112208</v>
      </c>
      <c r="X317" s="826">
        <f t="shared" si="125"/>
        <v>0.36171489509905153</v>
      </c>
      <c r="Y317" s="826">
        <f t="shared" si="126"/>
        <v>0.18551325799973731</v>
      </c>
      <c r="Z317" s="832">
        <f t="shared" si="127"/>
        <v>9.2582614149910175E-3</v>
      </c>
    </row>
    <row r="318" spans="1:26" ht="20.100000000000001" customHeight="1" x14ac:dyDescent="0.2">
      <c r="A318" s="801">
        <f t="shared" si="141"/>
        <v>485</v>
      </c>
      <c r="B318" s="820">
        <v>42718</v>
      </c>
      <c r="C318" s="845">
        <v>2253.2800000000002</v>
      </c>
      <c r="D318" s="817">
        <f t="shared" si="146"/>
        <v>-8.1171975419504164E-3</v>
      </c>
      <c r="E318" s="844">
        <f t="shared" si="134"/>
        <v>7.1745210327048642E-2</v>
      </c>
      <c r="F318" s="841">
        <v>5436.67</v>
      </c>
      <c r="G318" s="817">
        <f t="shared" si="143"/>
        <v>-4.9690509570226764E-3</v>
      </c>
      <c r="H318" s="822">
        <f t="shared" si="135"/>
        <v>6.775143861578653E-2</v>
      </c>
      <c r="I318" s="824">
        <v>323187.58</v>
      </c>
      <c r="J318" s="825">
        <v>300000</v>
      </c>
      <c r="K318" s="825">
        <f t="shared" si="136"/>
        <v>-3744.6900000000023</v>
      </c>
      <c r="L318" s="817">
        <f t="shared" si="144"/>
        <v>-1.1454023795203827E-2</v>
      </c>
      <c r="M318" s="842">
        <f t="shared" si="145"/>
        <v>23187.580000000016</v>
      </c>
      <c r="N318" s="827">
        <f t="shared" ref="N318:N349" si="149">M318/J318</f>
        <v>7.7291933333333382E-2</v>
      </c>
      <c r="O318" s="811">
        <f t="shared" si="116"/>
        <v>5.8207997216494882E-2</v>
      </c>
      <c r="P318" s="842" t="b">
        <f t="shared" si="137"/>
        <v>0</v>
      </c>
      <c r="Q318" s="827">
        <f>COUNTIF(P$2:P318, TRUE)/(COUNTIF(P$2:P318,FALSE) + COUNTIF(P$2:P318, TRUE))</f>
        <v>0.49842271293375395</v>
      </c>
      <c r="R318" s="825">
        <v>227414.39999999999</v>
      </c>
      <c r="S318" s="825">
        <f t="shared" si="147"/>
        <v>95773.180000000022</v>
      </c>
      <c r="T318" s="825">
        <v>-28896</v>
      </c>
      <c r="U318" s="825">
        <f t="shared" si="148"/>
        <v>52083.580000000016</v>
      </c>
      <c r="V318" s="827">
        <f>STDEV(D$2:D318)*SQRT(252)</f>
        <v>0.1678827042507858</v>
      </c>
      <c r="W318" s="827">
        <f>STDEV(L$2:L318)*SQRT(252)</f>
        <v>0.36477613743457138</v>
      </c>
      <c r="X318" s="826">
        <f t="shared" si="125"/>
        <v>0.32183660841945799</v>
      </c>
      <c r="Y318" s="826">
        <f t="shared" si="126"/>
        <v>0.15957183390850352</v>
      </c>
      <c r="Z318" s="832">
        <f t="shared" si="127"/>
        <v>5.54672300628474E-3</v>
      </c>
    </row>
    <row r="319" spans="1:26" ht="20.100000000000001" customHeight="1" x14ac:dyDescent="0.2">
      <c r="A319" s="801">
        <f t="shared" si="141"/>
        <v>486</v>
      </c>
      <c r="B319" s="820">
        <v>42719</v>
      </c>
      <c r="C319" s="845">
        <v>2262.0300000000002</v>
      </c>
      <c r="D319" s="817">
        <f t="shared" si="146"/>
        <v>3.8832280053965771E-3</v>
      </c>
      <c r="E319" s="844">
        <f t="shared" si="134"/>
        <v>7.5907041342440279E-2</v>
      </c>
      <c r="F319" s="841">
        <v>5456.85</v>
      </c>
      <c r="G319" s="817">
        <f t="shared" si="143"/>
        <v>3.7118309553458811E-3</v>
      </c>
      <c r="H319" s="822">
        <f t="shared" si="135"/>
        <v>7.1714751458255704E-2</v>
      </c>
      <c r="I319" s="824">
        <v>324820.98</v>
      </c>
      <c r="J319" s="825">
        <v>300000</v>
      </c>
      <c r="K319" s="825">
        <f t="shared" si="136"/>
        <v>1633.3999999999651</v>
      </c>
      <c r="L319" s="817">
        <f t="shared" si="144"/>
        <v>5.0540308510616805E-3</v>
      </c>
      <c r="M319" s="842">
        <f t="shared" si="145"/>
        <v>24820.979999999981</v>
      </c>
      <c r="N319" s="827">
        <f t="shared" si="149"/>
        <v>8.2736599999999938E-2</v>
      </c>
      <c r="O319" s="811">
        <f t="shared" si="116"/>
        <v>6.2180129938271558E-2</v>
      </c>
      <c r="P319" s="842" t="b">
        <f t="shared" si="137"/>
        <v>1</v>
      </c>
      <c r="Q319" s="827">
        <f>COUNTIF(P$2:P319, TRUE)/(COUNTIF(P$2:P319,FALSE) + COUNTIF(P$2:P319, TRUE))</f>
        <v>0.5</v>
      </c>
      <c r="R319" s="825">
        <v>232165.8</v>
      </c>
      <c r="S319" s="825">
        <f t="shared" si="147"/>
        <v>92655.18</v>
      </c>
      <c r="T319" s="825">
        <v>-28562</v>
      </c>
      <c r="U319" s="825">
        <f t="shared" si="148"/>
        <v>53382.979999999981</v>
      </c>
      <c r="V319" s="827">
        <f>STDEV(D$2:D319)*SQRT(252)</f>
        <v>0.16764772855773447</v>
      </c>
      <c r="W319" s="827">
        <f>STDEV(L$2:L319)*SQRT(252)</f>
        <v>0.36421868785433931</v>
      </c>
      <c r="X319" s="826">
        <f t="shared" si="125"/>
        <v>0.34028150571144222</v>
      </c>
      <c r="Y319" s="826">
        <f t="shared" si="126"/>
        <v>0.17072196461028116</v>
      </c>
      <c r="Z319" s="832">
        <f t="shared" si="127"/>
        <v>6.829558657559659E-3</v>
      </c>
    </row>
    <row r="320" spans="1:26" ht="20.100000000000001" customHeight="1" x14ac:dyDescent="0.2">
      <c r="A320" s="801">
        <f>B320-$B$2</f>
        <v>487</v>
      </c>
      <c r="B320" s="820">
        <v>42720</v>
      </c>
      <c r="C320" s="845">
        <v>2258.0700000000002</v>
      </c>
      <c r="D320" s="817">
        <f t="shared" si="146"/>
        <v>-1.7506399119375233E-3</v>
      </c>
      <c r="E320" s="844">
        <f t="shared" ref="E320:E351" si="150">(C320-$C$2)/$C$2</f>
        <v>7.4023515534331591E-2</v>
      </c>
      <c r="F320" s="841">
        <v>5437.16</v>
      </c>
      <c r="G320" s="817">
        <f t="shared" si="143"/>
        <v>-3.6083088228557698E-3</v>
      </c>
      <c r="H320" s="822">
        <f t="shared" ref="H320:H351" si="151">(F320-F$2)/F$2</f>
        <v>6.7847673664984204E-2</v>
      </c>
      <c r="I320" s="824">
        <v>327045.52</v>
      </c>
      <c r="J320" s="825">
        <v>300000</v>
      </c>
      <c r="K320" s="825">
        <f t="shared" ref="K320:K351" si="152">I320-I319-J320+J319</f>
        <v>2224.5400000000373</v>
      </c>
      <c r="L320" s="817">
        <f t="shared" si="144"/>
        <v>6.8485108320282678E-3</v>
      </c>
      <c r="M320" s="842">
        <f t="shared" si="145"/>
        <v>27045.520000000019</v>
      </c>
      <c r="N320" s="827">
        <f t="shared" si="149"/>
        <v>9.01517333333334E-2</v>
      </c>
      <c r="O320" s="811">
        <f t="shared" si="116"/>
        <v>6.7613800000000057E-2</v>
      </c>
      <c r="P320" s="842" t="b">
        <f t="shared" ref="P320:P351" si="153">L320&gt;D320</f>
        <v>1</v>
      </c>
      <c r="Q320" s="827">
        <f>COUNTIF(P$2:P320, TRUE)/(COUNTIF(P$2:P320,FALSE) + COUNTIF(P$2:P320, TRUE))</f>
        <v>0.50156739811912221</v>
      </c>
      <c r="R320" s="825">
        <v>231412.84</v>
      </c>
      <c r="S320" s="825">
        <f t="shared" si="147"/>
        <v>95632.680000000022</v>
      </c>
      <c r="T320" s="825">
        <v>-28561</v>
      </c>
      <c r="U320" s="825">
        <f t="shared" si="148"/>
        <v>55606.520000000019</v>
      </c>
      <c r="V320" s="827">
        <f>STDEV(D$2:D320)*SQRT(252)</f>
        <v>0.16739291241779608</v>
      </c>
      <c r="W320" s="827">
        <f>STDEV(L$2:L320)*SQRT(252)</f>
        <v>0.36368405399671344</v>
      </c>
      <c r="X320" s="826">
        <f t="shared" si="125"/>
        <v>0.33166061722005402</v>
      </c>
      <c r="Y320" s="826">
        <f t="shared" si="126"/>
        <v>0.18591356771614484</v>
      </c>
      <c r="Z320" s="832">
        <f t="shared" si="127"/>
        <v>1.6128217799001809E-2</v>
      </c>
    </row>
    <row r="321" spans="1:26" ht="20.100000000000001" customHeight="1" x14ac:dyDescent="0.2">
      <c r="A321" s="801">
        <f t="shared" ref="A321:A384" si="154">B321-$B$2</f>
        <v>490</v>
      </c>
      <c r="B321" s="849">
        <v>42723</v>
      </c>
      <c r="C321" s="850">
        <v>2262.5300000000002</v>
      </c>
      <c r="D321" s="817">
        <f t="shared" si="146"/>
        <v>1.9751380603790121E-3</v>
      </c>
      <c r="E321" s="851">
        <f t="shared" si="150"/>
        <v>7.6144860257605515E-2</v>
      </c>
      <c r="F321" s="852">
        <v>5457.44</v>
      </c>
      <c r="G321" s="817">
        <f t="shared" si="143"/>
        <v>3.7298883976192988E-3</v>
      </c>
      <c r="H321" s="853">
        <f t="shared" si="151"/>
        <v>7.1830626313411985E-2</v>
      </c>
      <c r="I321" s="862">
        <v>327054.27</v>
      </c>
      <c r="J321" s="855">
        <v>300000</v>
      </c>
      <c r="K321" s="855">
        <f t="shared" si="152"/>
        <v>8.75</v>
      </c>
      <c r="L321" s="817">
        <f t="shared" si="144"/>
        <v>2.6754685402814872E-5</v>
      </c>
      <c r="M321" s="856">
        <f t="shared" si="145"/>
        <v>27054.270000000019</v>
      </c>
      <c r="N321" s="857">
        <f t="shared" si="149"/>
        <v>9.0180900000000064E-2</v>
      </c>
      <c r="O321" s="811">
        <f t="shared" si="116"/>
        <v>6.7221579030612294E-2</v>
      </c>
      <c r="P321" s="856" t="b">
        <f t="shared" si="153"/>
        <v>0</v>
      </c>
      <c r="Q321" s="857">
        <f>COUNTIF(P$2:P321, TRUE)/(COUNTIF(P$2:P321,FALSE) + COUNTIF(P$2:P321, TRUE))</f>
        <v>0.5</v>
      </c>
      <c r="R321" s="855">
        <v>231413.84</v>
      </c>
      <c r="S321" s="855">
        <f t="shared" si="147"/>
        <v>95640.430000000022</v>
      </c>
      <c r="T321" s="855">
        <v>-28148</v>
      </c>
      <c r="U321" s="855">
        <f t="shared" si="148"/>
        <v>55202.270000000019</v>
      </c>
      <c r="V321" s="857">
        <f>STDEV(D$2:D321)*SQRT(252)</f>
        <v>0.16713630063292181</v>
      </c>
      <c r="W321" s="857">
        <f>STDEV(L$2:L321)*SQRT(252)</f>
        <v>0.36311240060215538</v>
      </c>
      <c r="X321" s="826">
        <f t="shared" si="125"/>
        <v>0.33959708460565857</v>
      </c>
      <c r="Y321" s="826">
        <f t="shared" si="126"/>
        <v>0.18512609021101351</v>
      </c>
      <c r="Z321" s="832">
        <f t="shared" si="127"/>
        <v>1.4036039742394549E-2</v>
      </c>
    </row>
    <row r="322" spans="1:26" ht="20.100000000000001" customHeight="1" x14ac:dyDescent="0.2">
      <c r="A322" s="801">
        <f t="shared" si="154"/>
        <v>491</v>
      </c>
      <c r="B322" s="849">
        <v>42724</v>
      </c>
      <c r="C322" s="850">
        <v>2270.7600000000002</v>
      </c>
      <c r="D322" s="817">
        <f t="shared" si="146"/>
        <v>3.6375208284531112E-3</v>
      </c>
      <c r="E322" s="851">
        <f t="shared" si="150"/>
        <v>8.0059359601225316E-2</v>
      </c>
      <c r="F322" s="852">
        <v>5483.94</v>
      </c>
      <c r="G322" s="817">
        <f>(F322-F321)/F321</f>
        <v>4.8557565451933507E-3</v>
      </c>
      <c r="H322" s="853">
        <f t="shared" si="151"/>
        <v>7.7035174892472025E-2</v>
      </c>
      <c r="I322" s="862">
        <v>325810.98</v>
      </c>
      <c r="J322" s="855">
        <v>300000</v>
      </c>
      <c r="K322" s="855">
        <f t="shared" si="152"/>
        <v>-1243.2900000000373</v>
      </c>
      <c r="L322" s="817">
        <f>K322/I321</f>
        <v>-3.8014791857022296E-3</v>
      </c>
      <c r="M322" s="856">
        <f t="shared" si="145"/>
        <v>25810.979999999981</v>
      </c>
      <c r="N322" s="857">
        <f t="shared" si="149"/>
        <v>8.6036599999999935E-2</v>
      </c>
      <c r="O322" s="811">
        <f t="shared" si="116"/>
        <v>6.4001768126272868E-2</v>
      </c>
      <c r="P322" s="856" t="b">
        <f t="shared" si="153"/>
        <v>0</v>
      </c>
      <c r="Q322" s="857">
        <f>COUNTIF(P$2:P322, TRUE)/(COUNTIF(P$2:P322,FALSE) + COUNTIF(P$2:P322, TRUE))</f>
        <v>0.49844236760124611</v>
      </c>
      <c r="R322" s="855">
        <v>230633.3</v>
      </c>
      <c r="S322" s="855">
        <f t="shared" si="147"/>
        <v>95177.68</v>
      </c>
      <c r="T322" s="855">
        <v>-28828</v>
      </c>
      <c r="U322" s="855">
        <f t="shared" si="148"/>
        <v>54638.979999999981</v>
      </c>
      <c r="V322" s="857">
        <f>STDEV(D$2:D322)*SQRT(252)</f>
        <v>0.16690064073830019</v>
      </c>
      <c r="W322" s="857">
        <f>STDEV(L$2:L322)*SQRT(252)</f>
        <v>0.36256564475592484</v>
      </c>
      <c r="X322" s="826">
        <f t="shared" si="125"/>
        <v>0.35683121635030163</v>
      </c>
      <c r="Y322" s="826">
        <f t="shared" si="126"/>
        <v>0.17652463506121255</v>
      </c>
      <c r="Z322" s="832">
        <f t="shared" si="127"/>
        <v>5.9772403987746192E-3</v>
      </c>
    </row>
    <row r="323" spans="1:26" ht="20.100000000000001" customHeight="1" x14ac:dyDescent="0.2">
      <c r="A323" s="801">
        <f t="shared" si="154"/>
        <v>492</v>
      </c>
      <c r="B323" s="849">
        <v>42725</v>
      </c>
      <c r="C323" s="850">
        <v>2265.1799999999998</v>
      </c>
      <c r="D323" s="817">
        <f t="shared" si="146"/>
        <v>-2.4573270623052994E-3</v>
      </c>
      <c r="E323" s="851">
        <f t="shared" si="150"/>
        <v>7.7405300507981098E-2</v>
      </c>
      <c r="F323" s="852">
        <v>5471.43</v>
      </c>
      <c r="G323" s="817">
        <f>(F323-F322)/F322</f>
        <v>-2.2812065777523659E-3</v>
      </c>
      <c r="H323" s="853">
        <f t="shared" si="151"/>
        <v>7.4578235167036641E-2</v>
      </c>
      <c r="I323" s="862">
        <v>324443.28000000003</v>
      </c>
      <c r="J323" s="855">
        <v>300000</v>
      </c>
      <c r="K323" s="855">
        <f t="shared" si="152"/>
        <v>-1367.6999999999534</v>
      </c>
      <c r="L323" s="817">
        <f t="shared" ref="L323:L386" si="155">K323/I322</f>
        <v>-4.1978327433899055E-3</v>
      </c>
      <c r="M323" s="856">
        <f t="shared" si="145"/>
        <v>24443.280000000028</v>
      </c>
      <c r="N323" s="857">
        <f t="shared" si="149"/>
        <v>8.1477600000000094E-2</v>
      </c>
      <c r="O323" s="811">
        <f t="shared" si="116"/>
        <v>6.0487181707317143E-2</v>
      </c>
      <c r="P323" s="856" t="b">
        <f t="shared" si="153"/>
        <v>0</v>
      </c>
      <c r="Q323" s="857">
        <f>COUNTIF(P$2:P323, TRUE)/(COUNTIF(P$2:P323,FALSE) + COUNTIF(P$2:P323, TRUE))</f>
        <v>0.49689440993788819</v>
      </c>
      <c r="R323" s="855">
        <v>231596.6</v>
      </c>
      <c r="S323" s="855">
        <f t="shared" si="147"/>
        <v>92846.680000000022</v>
      </c>
      <c r="T323" s="855">
        <v>-28725</v>
      </c>
      <c r="U323" s="855">
        <f t="shared" si="148"/>
        <v>53168.280000000028</v>
      </c>
      <c r="V323" s="857">
        <f>STDEV(D$2:D323)*SQRT(252)</f>
        <v>0.16665750598477963</v>
      </c>
      <c r="W323" s="857">
        <f>STDEV(L$2:L323)*SQRT(252)</f>
        <v>0.36202544499478717</v>
      </c>
      <c r="X323" s="826">
        <f t="shared" si="125"/>
        <v>0.3448029275178901</v>
      </c>
      <c r="Y323" s="826">
        <f t="shared" si="126"/>
        <v>0.16707991812063958</v>
      </c>
      <c r="Z323" s="832">
        <f t="shared" si="127"/>
        <v>4.0722994920189964E-3</v>
      </c>
    </row>
    <row r="324" spans="1:26" ht="20.100000000000001" customHeight="1" x14ac:dyDescent="0.2">
      <c r="A324" s="801">
        <f t="shared" si="154"/>
        <v>493</v>
      </c>
      <c r="B324" s="849">
        <v>42726</v>
      </c>
      <c r="C324" s="850">
        <v>2260.96</v>
      </c>
      <c r="D324" s="817">
        <f t="shared" si="146"/>
        <v>-1.8629866059208541E-3</v>
      </c>
      <c r="E324" s="851">
        <f t="shared" si="150"/>
        <v>7.5398108863986596E-2</v>
      </c>
      <c r="F324" s="852">
        <v>5447.42</v>
      </c>
      <c r="G324" s="817">
        <f t="shared" ref="G324:G334" si="156">(F324-F323)/F323</f>
        <v>-4.3882495069845024E-3</v>
      </c>
      <c r="H324" s="853">
        <f t="shared" si="151"/>
        <v>6.9862717756348613E-2</v>
      </c>
      <c r="I324" s="862">
        <v>328249.78000000003</v>
      </c>
      <c r="J324" s="855">
        <v>300000</v>
      </c>
      <c r="K324" s="855">
        <f t="shared" si="152"/>
        <v>3806.5</v>
      </c>
      <c r="L324" s="817">
        <f t="shared" si="155"/>
        <v>1.1732405121782764E-2</v>
      </c>
      <c r="M324" s="856">
        <f t="shared" si="145"/>
        <v>28249.780000000028</v>
      </c>
      <c r="N324" s="857">
        <f t="shared" si="149"/>
        <v>9.4165933333333424E-2</v>
      </c>
      <c r="O324" s="811">
        <f t="shared" si="116"/>
        <v>6.9764923225152195E-2</v>
      </c>
      <c r="P324" s="856" t="b">
        <f t="shared" si="153"/>
        <v>1</v>
      </c>
      <c r="Q324" s="857">
        <f>COUNTIF(P$2:P324, TRUE)/(COUNTIF(P$2:P324,FALSE) + COUNTIF(P$2:P324, TRUE))</f>
        <v>0.49845201238390091</v>
      </c>
      <c r="R324" s="855">
        <v>235403.1</v>
      </c>
      <c r="S324" s="855">
        <f t="shared" si="147"/>
        <v>92846.680000000022</v>
      </c>
      <c r="T324" s="855">
        <v>-28852</v>
      </c>
      <c r="U324" s="855">
        <f t="shared" si="148"/>
        <v>57101.780000000028</v>
      </c>
      <c r="V324" s="857">
        <f>STDEV(D$2:D324)*SQRT(252)</f>
        <v>0.16640858320872839</v>
      </c>
      <c r="W324" s="857">
        <f>STDEV(L$2:L324)*SQRT(252)</f>
        <v>0.36159155840983148</v>
      </c>
      <c r="X324" s="826">
        <f t="shared" si="125"/>
        <v>0.33568198550009004</v>
      </c>
      <c r="Y324" s="826">
        <f t="shared" si="126"/>
        <v>0.19293847326513064</v>
      </c>
      <c r="Z324" s="832">
        <f t="shared" si="127"/>
        <v>1.8767824469346828E-2</v>
      </c>
    </row>
    <row r="325" spans="1:26" ht="20.100000000000001" customHeight="1" x14ac:dyDescent="0.2">
      <c r="A325" s="801">
        <f t="shared" si="154"/>
        <v>494</v>
      </c>
      <c r="B325" s="849">
        <v>42727</v>
      </c>
      <c r="C325" s="850">
        <v>2263.79</v>
      </c>
      <c r="D325" s="817">
        <f t="shared" ref="D325:D334" si="157">(C325-C324)/C324</f>
        <v>1.251680702002657E-3</v>
      </c>
      <c r="E325" s="851">
        <f t="shared" si="150"/>
        <v>7.6744163923821801E-2</v>
      </c>
      <c r="F325" s="852">
        <v>5462.68</v>
      </c>
      <c r="G325" s="817">
        <f t="shared" si="156"/>
        <v>2.8013261323709604E-3</v>
      </c>
      <c r="H325" s="853">
        <f t="shared" si="151"/>
        <v>7.2859752145648896E-2</v>
      </c>
      <c r="I325" s="862">
        <v>329298.48</v>
      </c>
      <c r="J325" s="855">
        <v>300000</v>
      </c>
      <c r="K325" s="855">
        <f t="shared" si="152"/>
        <v>1048.6999999999534</v>
      </c>
      <c r="L325" s="817">
        <f t="shared" si="155"/>
        <v>3.1948231618006062E-3</v>
      </c>
      <c r="M325" s="856">
        <f t="shared" si="145"/>
        <v>29298.479999999981</v>
      </c>
      <c r="N325" s="857">
        <f t="shared" si="149"/>
        <v>9.7661599999999932E-2</v>
      </c>
      <c r="O325" s="811">
        <f t="shared" si="116"/>
        <v>7.2208298380566749E-2</v>
      </c>
      <c r="P325" s="856" t="b">
        <f t="shared" si="153"/>
        <v>1</v>
      </c>
      <c r="Q325" s="857">
        <f>COUNTIF(P$2:P325, TRUE)/(COUNTIF(P$2:P325,FALSE) + COUNTIF(P$2:P325, TRUE))</f>
        <v>0.5</v>
      </c>
      <c r="R325" s="855">
        <v>236451.8</v>
      </c>
      <c r="S325" s="855">
        <f t="shared" si="147"/>
        <v>92846.68</v>
      </c>
      <c r="T325" s="855">
        <v>-28456</v>
      </c>
      <c r="U325" s="855">
        <f t="shared" si="148"/>
        <v>57754.479999999981</v>
      </c>
      <c r="V325" s="857">
        <f>STDEV(D$2:D325)*SQRT(252)</f>
        <v>0.16615219867312236</v>
      </c>
      <c r="W325" s="857">
        <f>STDEV(L$2:L325)*SQRT(252)</f>
        <v>0.36103590347828884</v>
      </c>
      <c r="X325" s="826">
        <f t="shared" si="125"/>
        <v>0.34150930570656673</v>
      </c>
      <c r="Y325" s="826">
        <f t="shared" si="126"/>
        <v>0.20000309577218833</v>
      </c>
      <c r="Z325" s="832">
        <f t="shared" si="127"/>
        <v>2.0917436076178131E-2</v>
      </c>
    </row>
    <row r="326" spans="1:26" ht="20.100000000000001" customHeight="1" x14ac:dyDescent="0.2">
      <c r="A326" s="801">
        <f t="shared" si="154"/>
        <v>498</v>
      </c>
      <c r="B326" s="820">
        <v>42731</v>
      </c>
      <c r="C326" s="845">
        <v>2268.88</v>
      </c>
      <c r="D326" s="817">
        <f t="shared" si="157"/>
        <v>2.2484417724259521E-3</v>
      </c>
      <c r="E326" s="844">
        <f t="shared" si="150"/>
        <v>7.9165160480203972E-2</v>
      </c>
      <c r="F326" s="841">
        <v>5487.44</v>
      </c>
      <c r="G326" s="817">
        <f t="shared" si="156"/>
        <v>4.5325737550065736E-3</v>
      </c>
      <c r="H326" s="822">
        <f t="shared" si="151"/>
        <v>7.7722568101027123E-2</v>
      </c>
      <c r="I326" s="824">
        <v>330109.08</v>
      </c>
      <c r="J326" s="825">
        <v>300000</v>
      </c>
      <c r="K326" s="825">
        <f t="shared" si="152"/>
        <v>810.60000000003492</v>
      </c>
      <c r="L326" s="817">
        <f t="shared" si="155"/>
        <v>2.4615965430512614E-3</v>
      </c>
      <c r="M326" s="842">
        <f t="shared" si="145"/>
        <v>30109.080000000016</v>
      </c>
      <c r="N326" s="827">
        <f t="shared" si="149"/>
        <v>0.10036360000000005</v>
      </c>
      <c r="O326" s="811">
        <f t="shared" si="116"/>
        <v>7.3610050000000038E-2</v>
      </c>
      <c r="P326" s="842" t="b">
        <f t="shared" si="153"/>
        <v>1</v>
      </c>
      <c r="Q326" s="827">
        <f>COUNTIF(P$2:P326, TRUE)/(COUNTIF(P$2:P326,FALSE) + COUNTIF(P$2:P326, TRUE))</f>
        <v>0.50153846153846149</v>
      </c>
      <c r="R326" s="825">
        <v>237262.4</v>
      </c>
      <c r="S326" s="825">
        <f t="shared" ref="S326:S331" si="158">I326-R326</f>
        <v>92846.680000000022</v>
      </c>
      <c r="T326" s="825">
        <v>-28216</v>
      </c>
      <c r="U326" s="825">
        <f t="shared" si="148"/>
        <v>58325.080000000016</v>
      </c>
      <c r="V326" s="827">
        <f>STDEV(D$2:D326)*SQRT(252)</f>
        <v>0.16590384909473915</v>
      </c>
      <c r="W326" s="827">
        <f>STDEV(L$2:L326)*SQRT(252)</f>
        <v>0.36047958608732461</v>
      </c>
      <c r="X326" s="826">
        <f t="shared" si="125"/>
        <v>0.34997620395741968</v>
      </c>
      <c r="Y326" s="826">
        <f t="shared" si="126"/>
        <v>0.20420032878690758</v>
      </c>
      <c r="Z326" s="832">
        <f t="shared" si="127"/>
        <v>2.1198439519796081E-2</v>
      </c>
    </row>
    <row r="327" spans="1:26" ht="20.100000000000001" customHeight="1" x14ac:dyDescent="0.2">
      <c r="A327" s="801">
        <f t="shared" si="154"/>
        <v>499</v>
      </c>
      <c r="B327" s="820">
        <v>42732</v>
      </c>
      <c r="C327" s="845">
        <v>2249.92</v>
      </c>
      <c r="D327" s="817">
        <f t="shared" si="157"/>
        <v>-8.3565459610028016E-3</v>
      </c>
      <c r="E327" s="844">
        <f t="shared" si="150"/>
        <v>7.014706721713819E-2</v>
      </c>
      <c r="F327" s="841">
        <v>5438.55</v>
      </c>
      <c r="G327" s="817">
        <f t="shared" si="156"/>
        <v>-8.9094368229993264E-3</v>
      </c>
      <c r="H327" s="822">
        <f t="shared" si="151"/>
        <v>6.8120666967810425E-2</v>
      </c>
      <c r="I327" s="824">
        <v>326202.98</v>
      </c>
      <c r="J327" s="825">
        <v>300000</v>
      </c>
      <c r="K327" s="825">
        <f t="shared" si="152"/>
        <v>-3906.1000000000349</v>
      </c>
      <c r="L327" s="817">
        <f t="shared" si="155"/>
        <v>-1.1832755403153511E-2</v>
      </c>
      <c r="M327" s="842">
        <f t="shared" si="145"/>
        <v>26202.979999999981</v>
      </c>
      <c r="N327" s="827">
        <f t="shared" si="149"/>
        <v>8.73432666666666E-2</v>
      </c>
      <c r="O327" s="811">
        <f t="shared" ref="O327:O390" si="159">N327/(A327/365.25)</f>
        <v>6.3932120541082119E-2</v>
      </c>
      <c r="P327" s="842" t="b">
        <f t="shared" si="153"/>
        <v>0</v>
      </c>
      <c r="Q327" s="827">
        <f>COUNTIF(P$2:P327, TRUE)/(COUNTIF(P$2:P327,FALSE) + COUNTIF(P$2:P327, TRUE))</f>
        <v>0.5</v>
      </c>
      <c r="R327" s="825">
        <v>235463.51</v>
      </c>
      <c r="S327" s="825">
        <f t="shared" si="158"/>
        <v>90739.469999999972</v>
      </c>
      <c r="T327" s="825">
        <v>-29179</v>
      </c>
      <c r="U327" s="825">
        <f t="shared" si="148"/>
        <v>55381.979999999981</v>
      </c>
      <c r="V327" s="827">
        <f>STDEV(D$2:D327)*SQRT(252)</f>
        <v>0.16582249339031452</v>
      </c>
      <c r="W327" s="827">
        <f>STDEV(L$2:L327)*SQRT(252)</f>
        <v>0.36009473393131058</v>
      </c>
      <c r="X327" s="826">
        <f t="shared" si="125"/>
        <v>0.30963907126253648</v>
      </c>
      <c r="Y327" s="826">
        <f t="shared" si="126"/>
        <v>0.17754250344932124</v>
      </c>
      <c r="Z327" s="832">
        <f t="shared" si="127"/>
        <v>1.719619944952841E-2</v>
      </c>
    </row>
    <row r="328" spans="1:26" ht="20.100000000000001" customHeight="1" x14ac:dyDescent="0.2">
      <c r="A328" s="801">
        <f t="shared" si="154"/>
        <v>500</v>
      </c>
      <c r="B328" s="820">
        <v>42733</v>
      </c>
      <c r="C328" s="845">
        <v>2249.2600000000002</v>
      </c>
      <c r="D328" s="817">
        <f t="shared" si="157"/>
        <v>-2.9334376333374273E-4</v>
      </c>
      <c r="E328" s="844">
        <f t="shared" si="150"/>
        <v>6.983314624912014E-2</v>
      </c>
      <c r="F328" s="841">
        <v>5432.09</v>
      </c>
      <c r="G328" s="817">
        <f t="shared" si="156"/>
        <v>-1.1878166055290539E-3</v>
      </c>
      <c r="H328" s="822">
        <f t="shared" si="151"/>
        <v>6.6851935502877297E-2</v>
      </c>
      <c r="I328" s="824">
        <v>324645.53000000003</v>
      </c>
      <c r="J328" s="825">
        <v>300000</v>
      </c>
      <c r="K328" s="825">
        <f t="shared" si="152"/>
        <v>-1557.4499999999534</v>
      </c>
      <c r="L328" s="817">
        <f t="shared" si="155"/>
        <v>-4.774481214119974E-3</v>
      </c>
      <c r="M328" s="842">
        <f t="shared" si="145"/>
        <v>24645.530000000028</v>
      </c>
      <c r="N328" s="827">
        <f t="shared" si="149"/>
        <v>8.2151766666666765E-2</v>
      </c>
      <c r="O328" s="811">
        <f t="shared" si="159"/>
        <v>6.0011865550000078E-2</v>
      </c>
      <c r="P328" s="842" t="b">
        <f t="shared" si="153"/>
        <v>0</v>
      </c>
      <c r="Q328" s="827">
        <f>COUNTIF(P$2:P328, TRUE)/(COUNTIF(P$2:P328,FALSE) + COUNTIF(P$2:P328, TRUE))</f>
        <v>0.49847094801223241</v>
      </c>
      <c r="R328" s="825">
        <v>245575.8</v>
      </c>
      <c r="S328" s="825">
        <f t="shared" si="158"/>
        <v>79069.73000000004</v>
      </c>
      <c r="T328" s="825">
        <v>-28777</v>
      </c>
      <c r="U328" s="825">
        <f t="shared" si="148"/>
        <v>53422.530000000028</v>
      </c>
      <c r="V328" s="827">
        <f>STDEV(D$2:D328)*SQRT(252)</f>
        <v>0.16556790757023543</v>
      </c>
      <c r="W328" s="827">
        <f>STDEV(L$2:L328)*SQRT(252)</f>
        <v>0.35957326133174794</v>
      </c>
      <c r="X328" s="826">
        <f t="shared" si="125"/>
        <v>0.30810991141711463</v>
      </c>
      <c r="Y328" s="826">
        <f t="shared" si="126"/>
        <v>0.16689746431015121</v>
      </c>
      <c r="Z328" s="832">
        <f t="shared" si="127"/>
        <v>1.2318620417546625E-2</v>
      </c>
    </row>
    <row r="329" spans="1:26" ht="20.100000000000001" customHeight="1" x14ac:dyDescent="0.2">
      <c r="A329" s="801">
        <f t="shared" si="154"/>
        <v>501</v>
      </c>
      <c r="B329" s="820">
        <v>42734</v>
      </c>
      <c r="C329" s="845">
        <v>2238.83</v>
      </c>
      <c r="D329" s="817">
        <f t="shared" si="157"/>
        <v>-4.6370806398550145E-3</v>
      </c>
      <c r="E329" s="844">
        <f t="shared" si="150"/>
        <v>6.4872243678773173E-2</v>
      </c>
      <c r="F329" s="841">
        <v>5383.11</v>
      </c>
      <c r="G329" s="817">
        <f t="shared" si="156"/>
        <v>-9.0167872770886472E-3</v>
      </c>
      <c r="H329" s="822">
        <f t="shared" si="151"/>
        <v>5.7232358544297555E-2</v>
      </c>
      <c r="I329" s="847">
        <v>322309.38</v>
      </c>
      <c r="J329" s="825">
        <v>300000</v>
      </c>
      <c r="K329" s="825">
        <f t="shared" si="152"/>
        <v>-2336.1500000000233</v>
      </c>
      <c r="L329" s="817">
        <f t="shared" si="155"/>
        <v>-7.1960023598662305E-3</v>
      </c>
      <c r="M329" s="847">
        <f t="shared" si="145"/>
        <v>22309.380000000005</v>
      </c>
      <c r="N329" s="827">
        <f t="shared" si="149"/>
        <v>7.4364600000000017E-2</v>
      </c>
      <c r="O329" s="811">
        <f t="shared" si="159"/>
        <v>5.4214910479041929E-2</v>
      </c>
      <c r="P329" s="842" t="b">
        <f t="shared" si="153"/>
        <v>0</v>
      </c>
      <c r="Q329" s="827">
        <f>COUNTIF(P$2:P329, TRUE)/(COUNTIF(P$2:P329,FALSE) + COUNTIF(P$2:P329, TRUE))</f>
        <v>0.49695121951219512</v>
      </c>
      <c r="R329" s="825">
        <v>244515.65</v>
      </c>
      <c r="S329" s="825">
        <f t="shared" si="158"/>
        <v>77793.73000000001</v>
      </c>
      <c r="T329" s="825">
        <v>-29211</v>
      </c>
      <c r="U329" s="825">
        <f t="shared" si="148"/>
        <v>51520.380000000005</v>
      </c>
      <c r="V329" s="827">
        <f>STDEV(D$2:D329)*SQRT(252)</f>
        <v>0.16536968849667288</v>
      </c>
      <c r="W329" s="827">
        <f>STDEV(L$2:L329)*SQRT(252)</f>
        <v>0.35908901250550984</v>
      </c>
      <c r="X329" s="826">
        <f t="shared" si="125"/>
        <v>0.28599306963452376</v>
      </c>
      <c r="Y329" s="826">
        <f t="shared" si="126"/>
        <v>0.15097902912919137</v>
      </c>
      <c r="Z329" s="832">
        <f t="shared" si="127"/>
        <v>9.4923563212268441E-3</v>
      </c>
    </row>
    <row r="330" spans="1:26" ht="20.100000000000001" customHeight="1" x14ac:dyDescent="0.2">
      <c r="A330" s="801">
        <f t="shared" si="154"/>
        <v>505</v>
      </c>
      <c r="B330" s="849">
        <v>42738</v>
      </c>
      <c r="C330" s="850">
        <v>2257.83</v>
      </c>
      <c r="D330" s="817">
        <f t="shared" si="157"/>
        <v>8.4865755774221358E-3</v>
      </c>
      <c r="E330" s="851">
        <f t="shared" si="150"/>
        <v>7.3909362455052169E-2</v>
      </c>
      <c r="F330" s="852">
        <v>5429.08</v>
      </c>
      <c r="G330" s="817">
        <f t="shared" si="156"/>
        <v>8.5396731629114511E-3</v>
      </c>
      <c r="H330" s="853">
        <f t="shared" si="151"/>
        <v>6.6260777343519872E-2</v>
      </c>
      <c r="I330" s="862">
        <v>327489.65000000002</v>
      </c>
      <c r="J330" s="855">
        <v>300000</v>
      </c>
      <c r="K330" s="855">
        <f t="shared" si="152"/>
        <v>5180.2700000000186</v>
      </c>
      <c r="L330" s="817">
        <f t="shared" si="155"/>
        <v>1.6072352594888855E-2</v>
      </c>
      <c r="M330" s="856">
        <f t="shared" si="145"/>
        <v>27489.650000000023</v>
      </c>
      <c r="N330" s="857">
        <f t="shared" si="149"/>
        <v>9.1632166666666751E-2</v>
      </c>
      <c r="O330" s="811">
        <f t="shared" si="159"/>
        <v>6.6274552227722827E-2</v>
      </c>
      <c r="P330" s="856" t="b">
        <f t="shared" si="153"/>
        <v>1</v>
      </c>
      <c r="Q330" s="857">
        <f>COUNTIF(P$2:P330, TRUE)/(COUNTIF(P$2:P330,FALSE) + COUNTIF(P$2:P330, TRUE))</f>
        <v>0.49848024316109424</v>
      </c>
      <c r="R330" s="855">
        <v>246849.1</v>
      </c>
      <c r="S330" s="855">
        <f t="shared" si="158"/>
        <v>80640.550000000017</v>
      </c>
      <c r="T330" s="855">
        <v>-28453</v>
      </c>
      <c r="U330" s="855">
        <f t="shared" si="148"/>
        <v>55942.650000000023</v>
      </c>
      <c r="V330" s="857">
        <f>STDEV(D$2:D330)*SQRT(252)</f>
        <v>0.16527453966612005</v>
      </c>
      <c r="W330" s="857">
        <f>STDEV(L$2:L330)*SQRT(252)</f>
        <v>0.35879195158503097</v>
      </c>
      <c r="X330" s="826">
        <f t="shared" si="125"/>
        <v>0.32343897076568223</v>
      </c>
      <c r="Y330" s="826">
        <f t="shared" si="126"/>
        <v>0.18471582747311505</v>
      </c>
      <c r="Z330" s="832">
        <f t="shared" si="127"/>
        <v>1.7722804211614582E-2</v>
      </c>
    </row>
    <row r="331" spans="1:26" ht="20.100000000000001" customHeight="1" x14ac:dyDescent="0.2">
      <c r="A331" s="801">
        <f t="shared" si="154"/>
        <v>506</v>
      </c>
      <c r="B331" s="849">
        <v>42739</v>
      </c>
      <c r="C331" s="850">
        <v>2270.75</v>
      </c>
      <c r="D331" s="817">
        <f t="shared" si="157"/>
        <v>5.7223085883348493E-3</v>
      </c>
      <c r="E331" s="851">
        <f t="shared" si="150"/>
        <v>8.0054603222921905E-2</v>
      </c>
      <c r="F331" s="852">
        <v>5477</v>
      </c>
      <c r="G331" s="817">
        <f t="shared" si="156"/>
        <v>8.8265415134792767E-3</v>
      </c>
      <c r="H331" s="853">
        <f t="shared" si="151"/>
        <v>7.5672172358937126E-2</v>
      </c>
      <c r="I331" s="862">
        <v>330177.02</v>
      </c>
      <c r="J331" s="855">
        <v>300000</v>
      </c>
      <c r="K331" s="855">
        <f t="shared" si="152"/>
        <v>2687.3699999999953</v>
      </c>
      <c r="L331" s="817">
        <f t="shared" si="155"/>
        <v>8.2059692573490349E-3</v>
      </c>
      <c r="M331" s="856">
        <f t="shared" si="145"/>
        <v>30177.020000000019</v>
      </c>
      <c r="N331" s="857">
        <f t="shared" si="149"/>
        <v>0.10059006666666673</v>
      </c>
      <c r="O331" s="811">
        <f t="shared" si="159"/>
        <v>7.2609726976284636E-2</v>
      </c>
      <c r="P331" s="856" t="b">
        <f t="shared" si="153"/>
        <v>1</v>
      </c>
      <c r="Q331" s="857">
        <f>COUNTIF(P$2:P331, TRUE)/(COUNTIF(P$2:P331,FALSE) + COUNTIF(P$2:P331, TRUE))</f>
        <v>0.5</v>
      </c>
      <c r="R331" s="855">
        <v>236646.05</v>
      </c>
      <c r="S331" s="855">
        <f t="shared" si="158"/>
        <v>93530.97000000003</v>
      </c>
      <c r="T331" s="855">
        <v>-27557</v>
      </c>
      <c r="U331" s="855">
        <f t="shared" si="148"/>
        <v>57734.020000000019</v>
      </c>
      <c r="V331" s="857">
        <f>STDEV(D$2:D331)*SQRT(252)</f>
        <v>0.1650913475554088</v>
      </c>
      <c r="W331" s="857">
        <f>STDEV(L$2:L331)*SQRT(252)</f>
        <v>0.3583037455998867</v>
      </c>
      <c r="X331" s="826">
        <f t="shared" si="125"/>
        <v>0.35002712805366087</v>
      </c>
      <c r="Y331" s="826">
        <f t="shared" si="126"/>
        <v>0.20264852898681948</v>
      </c>
      <c r="Z331" s="832">
        <f t="shared" si="127"/>
        <v>2.0535463443744822E-2</v>
      </c>
    </row>
    <row r="332" spans="1:26" ht="20.100000000000001" customHeight="1" x14ac:dyDescent="0.2">
      <c r="A332" s="801">
        <f t="shared" si="154"/>
        <v>507</v>
      </c>
      <c r="B332" s="849">
        <v>42740</v>
      </c>
      <c r="C332" s="860">
        <v>2269</v>
      </c>
      <c r="D332" s="817">
        <f t="shared" si="157"/>
        <v>-7.7067048332048887E-4</v>
      </c>
      <c r="E332" s="851">
        <f t="shared" si="150"/>
        <v>7.9222237019843586E-2</v>
      </c>
      <c r="F332" s="852">
        <v>5487.93</v>
      </c>
      <c r="G332" s="817">
        <f t="shared" si="156"/>
        <v>1.995618039072538E-3</v>
      </c>
      <c r="H332" s="853">
        <f t="shared" si="151"/>
        <v>7.7818803150224977E-2</v>
      </c>
      <c r="I332" s="862">
        <v>330571.57</v>
      </c>
      <c r="J332" s="855">
        <v>300000</v>
      </c>
      <c r="K332" s="855">
        <f t="shared" si="152"/>
        <v>394.54999999998836</v>
      </c>
      <c r="L332" s="817">
        <f t="shared" si="155"/>
        <v>1.1949650523830771E-3</v>
      </c>
      <c r="M332" s="856">
        <f t="shared" si="145"/>
        <v>30571.570000000007</v>
      </c>
      <c r="N332" s="857">
        <f t="shared" si="149"/>
        <v>0.10190523333333336</v>
      </c>
      <c r="O332" s="811">
        <f t="shared" si="159"/>
        <v>7.3413977268244598E-2</v>
      </c>
      <c r="P332" s="856" t="b">
        <f t="shared" si="153"/>
        <v>1</v>
      </c>
      <c r="Q332" s="857">
        <f>COUNTIF(P$2:P332, TRUE)/(COUNTIF(P$2:P332,FALSE) + COUNTIF(P$2:P332, TRUE))</f>
        <v>0.50151057401812693</v>
      </c>
      <c r="R332" s="855">
        <v>239220.1</v>
      </c>
      <c r="S332" s="855">
        <f t="shared" ref="S332:S361" si="160">I332-R332</f>
        <v>91351.47</v>
      </c>
      <c r="T332" s="855">
        <v>-27577</v>
      </c>
      <c r="U332" s="855">
        <f t="shared" si="148"/>
        <v>58148.570000000007</v>
      </c>
      <c r="V332" s="857">
        <f>STDEV(D$2:D332)*SQRT(252)</f>
        <v>0.16484285342326518</v>
      </c>
      <c r="W332" s="857">
        <f>STDEV(L$2:L332)*SQRT(252)</f>
        <v>0.35775897178882049</v>
      </c>
      <c r="X332" s="826">
        <f t="shared" si="125"/>
        <v>0.34622565318054682</v>
      </c>
      <c r="Y332" s="826">
        <f t="shared" si="126"/>
        <v>0.20520513266563087</v>
      </c>
      <c r="Z332" s="832">
        <f t="shared" si="127"/>
        <v>2.2682996313489773E-2</v>
      </c>
    </row>
    <row r="333" spans="1:26" ht="20.100000000000001" customHeight="1" x14ac:dyDescent="0.2">
      <c r="A333" s="801">
        <f t="shared" si="154"/>
        <v>508</v>
      </c>
      <c r="B333" s="849">
        <v>42741</v>
      </c>
      <c r="C333" s="860">
        <v>2276.98</v>
      </c>
      <c r="D333" s="817">
        <f t="shared" si="157"/>
        <v>3.516967827236676E-3</v>
      </c>
      <c r="E333" s="851">
        <f t="shared" si="150"/>
        <v>8.3017826905880762E-2</v>
      </c>
      <c r="F333" s="852">
        <v>5521.05</v>
      </c>
      <c r="G333" s="817">
        <f t="shared" si="156"/>
        <v>6.0350624005772466E-3</v>
      </c>
      <c r="H333" s="853">
        <f t="shared" si="151"/>
        <v>8.4323506883752064E-2</v>
      </c>
      <c r="I333" s="862">
        <v>329655.77</v>
      </c>
      <c r="J333" s="855">
        <v>300000</v>
      </c>
      <c r="K333" s="855">
        <f t="shared" si="152"/>
        <v>-915.79999999998836</v>
      </c>
      <c r="L333" s="817">
        <f t="shared" si="155"/>
        <v>-2.7703531794944988E-3</v>
      </c>
      <c r="M333" s="856">
        <f t="shared" si="145"/>
        <v>29655.770000000019</v>
      </c>
      <c r="N333" s="857">
        <f t="shared" si="149"/>
        <v>9.8852566666666725E-2</v>
      </c>
      <c r="O333" s="811">
        <f t="shared" si="159"/>
        <v>7.1074606250000047E-2</v>
      </c>
      <c r="P333" s="856" t="b">
        <f t="shared" si="153"/>
        <v>0</v>
      </c>
      <c r="Q333" s="857">
        <f>COUNTIF(P$2:P333, TRUE)/(COUNTIF(P$2:P333,FALSE) + COUNTIF(P$2:P333, TRUE))</f>
        <v>0.5</v>
      </c>
      <c r="R333" s="855">
        <v>244584.65</v>
      </c>
      <c r="S333" s="855">
        <f t="shared" si="160"/>
        <v>85071.120000000024</v>
      </c>
      <c r="T333" s="855">
        <v>-26799</v>
      </c>
      <c r="U333" s="855">
        <f t="shared" si="148"/>
        <v>56454.770000000019</v>
      </c>
      <c r="V333" s="857">
        <f>STDEV(D$2:D333)*SQRT(252)</f>
        <v>0.16461706321052907</v>
      </c>
      <c r="W333" s="857">
        <f>STDEV(L$2:L333)*SQRT(252)</f>
        <v>0.35723001747832872</v>
      </c>
      <c r="X333" s="826">
        <f t="shared" si="125"/>
        <v>0.3625960124628943</v>
      </c>
      <c r="Y333" s="826">
        <f t="shared" si="126"/>
        <v>0.19896034143970495</v>
      </c>
      <c r="Z333" s="832">
        <f t="shared" si="127"/>
        <v>1.5834739760785962E-2</v>
      </c>
    </row>
    <row r="334" spans="1:26" ht="20.100000000000001" customHeight="1" x14ac:dyDescent="0.2">
      <c r="A334" s="801">
        <f t="shared" si="154"/>
        <v>511</v>
      </c>
      <c r="B334" s="820">
        <v>42744</v>
      </c>
      <c r="C334" s="845">
        <v>2268.9</v>
      </c>
      <c r="D334" s="817">
        <f t="shared" si="157"/>
        <v>-3.5485599346502506E-3</v>
      </c>
      <c r="E334" s="844">
        <f t="shared" si="150"/>
        <v>7.9174673236810572E-2</v>
      </c>
      <c r="F334" s="841">
        <v>5531.81</v>
      </c>
      <c r="G334" s="817">
        <f t="shared" si="156"/>
        <v>1.9489046467610722E-3</v>
      </c>
      <c r="H334" s="822">
        <f t="shared" si="151"/>
        <v>8.6436750004910065E-2</v>
      </c>
      <c r="I334" s="824">
        <v>326473.82</v>
      </c>
      <c r="J334" s="825">
        <v>300000</v>
      </c>
      <c r="K334" s="825">
        <f t="shared" si="152"/>
        <v>-3181.9500000000116</v>
      </c>
      <c r="L334" s="817">
        <f t="shared" si="155"/>
        <v>-9.652341289218179E-3</v>
      </c>
      <c r="M334" s="842">
        <f t="shared" si="145"/>
        <v>26473.820000000007</v>
      </c>
      <c r="N334" s="827">
        <f t="shared" si="149"/>
        <v>8.8246066666666692E-2</v>
      </c>
      <c r="O334" s="811">
        <f t="shared" si="159"/>
        <v>6.3076077984344434E-2</v>
      </c>
      <c r="P334" s="842" t="b">
        <f t="shared" si="153"/>
        <v>0</v>
      </c>
      <c r="Q334" s="827">
        <f>COUNTIF(P$2:P334, TRUE)/(COUNTIF(P$2:P334,FALSE) + COUNTIF(P$2:P334, TRUE))</f>
        <v>0.49849849849849848</v>
      </c>
      <c r="R334" s="825">
        <v>241402.7</v>
      </c>
      <c r="S334" s="825">
        <f t="shared" si="160"/>
        <v>85071.12</v>
      </c>
      <c r="T334" s="825">
        <v>-27249</v>
      </c>
      <c r="U334" s="825">
        <f t="shared" si="148"/>
        <v>53722.820000000007</v>
      </c>
      <c r="V334" s="827">
        <f>STDEV(D$2:D334)*SQRT(252)</f>
        <v>0.1644023055783676</v>
      </c>
      <c r="W334" s="827">
        <f>STDEV(L$2:L334)*SQRT(252)</f>
        <v>0.35680577395997881</v>
      </c>
      <c r="X334" s="826">
        <f t="shared" si="125"/>
        <v>0.34422919429404569</v>
      </c>
      <c r="Y334" s="826">
        <f t="shared" si="126"/>
        <v>0.17677986901473006</v>
      </c>
      <c r="Z334" s="832">
        <f t="shared" si="127"/>
        <v>9.07139342985612E-3</v>
      </c>
    </row>
    <row r="335" spans="1:26" ht="20.100000000000001" customHeight="1" x14ac:dyDescent="0.2">
      <c r="A335" s="801">
        <f t="shared" si="154"/>
        <v>512</v>
      </c>
      <c r="B335" s="820">
        <v>42745</v>
      </c>
      <c r="C335" s="845">
        <v>2268.9</v>
      </c>
      <c r="D335" s="817">
        <f>(C335-C334)/C334</f>
        <v>0</v>
      </c>
      <c r="E335" s="844">
        <f t="shared" si="150"/>
        <v>7.9174673236810572E-2</v>
      </c>
      <c r="F335" s="841">
        <v>5551.81</v>
      </c>
      <c r="G335" s="817">
        <f t="shared" ref="G335:G358" si="161">(F335-F334)/F334</f>
        <v>3.6154531699389529E-3</v>
      </c>
      <c r="H335" s="822">
        <f t="shared" si="151"/>
        <v>9.0364711196653499E-2</v>
      </c>
      <c r="I335" s="824">
        <v>326978.32</v>
      </c>
      <c r="J335" s="825">
        <v>300000</v>
      </c>
      <c r="K335" s="825">
        <f t="shared" si="152"/>
        <v>504.5</v>
      </c>
      <c r="L335" s="817">
        <f t="shared" si="155"/>
        <v>1.545300018237297E-3</v>
      </c>
      <c r="M335" s="842">
        <f t="shared" si="145"/>
        <v>26978.320000000007</v>
      </c>
      <c r="N335" s="827">
        <f t="shared" si="149"/>
        <v>8.9927733333333357E-2</v>
      </c>
      <c r="O335" s="811">
        <f t="shared" si="159"/>
        <v>6.4152548046875021E-2</v>
      </c>
      <c r="P335" s="842" t="b">
        <f t="shared" si="153"/>
        <v>1</v>
      </c>
      <c r="Q335" s="827">
        <f>COUNTIF(P$2:P335, TRUE)/(COUNTIF(P$2:P335,FALSE) + COUNTIF(P$2:P335, TRUE))</f>
        <v>0.5</v>
      </c>
      <c r="R335" s="825">
        <v>241907.20000000001</v>
      </c>
      <c r="S335" s="825">
        <f t="shared" si="160"/>
        <v>85071.12</v>
      </c>
      <c r="T335" s="825">
        <v>-27297</v>
      </c>
      <c r="U335" s="825">
        <f t="shared" si="148"/>
        <v>54275.320000000007</v>
      </c>
      <c r="V335" s="827">
        <f>STDEV(D$2:D335)*SQRT(252)</f>
        <v>0.16415470946518282</v>
      </c>
      <c r="W335" s="827">
        <f>STDEV(L$2:L335)*SQRT(252)</f>
        <v>0.35626868426595099</v>
      </c>
      <c r="X335" s="826">
        <f t="shared" si="125"/>
        <v>0.34407506175360014</v>
      </c>
      <c r="Y335" s="826">
        <f t="shared" si="126"/>
        <v>0.18006788381935301</v>
      </c>
      <c r="Z335" s="832">
        <f t="shared" si="127"/>
        <v>1.0753060096522785E-2</v>
      </c>
    </row>
    <row r="336" spans="1:26" ht="20.100000000000001" customHeight="1" x14ac:dyDescent="0.2">
      <c r="A336" s="801">
        <f t="shared" si="154"/>
        <v>513</v>
      </c>
      <c r="B336" s="820">
        <v>42746</v>
      </c>
      <c r="C336" s="845">
        <v>2275.3200000000002</v>
      </c>
      <c r="D336" s="817">
        <f>(C336-C335)/C335</f>
        <v>2.8295649874388791E-3</v>
      </c>
      <c r="E336" s="844">
        <f t="shared" si="150"/>
        <v>8.2228268107532254E-2</v>
      </c>
      <c r="F336" s="841">
        <v>5563.64</v>
      </c>
      <c r="G336" s="817">
        <f t="shared" si="161"/>
        <v>2.1308366100424776E-3</v>
      </c>
      <c r="H336" s="822">
        <f t="shared" si="151"/>
        <v>9.2688100241569718E-2</v>
      </c>
      <c r="I336" s="824">
        <v>329085.82</v>
      </c>
      <c r="J336" s="825">
        <v>300000</v>
      </c>
      <c r="K336" s="825">
        <f t="shared" si="152"/>
        <v>2107.5</v>
      </c>
      <c r="L336" s="817">
        <f t="shared" si="155"/>
        <v>6.4453814552597856E-3</v>
      </c>
      <c r="M336" s="842">
        <f t="shared" si="145"/>
        <v>29085.820000000007</v>
      </c>
      <c r="N336" s="827">
        <f t="shared" si="149"/>
        <v>9.695273333333336E-2</v>
      </c>
      <c r="O336" s="811">
        <f t="shared" si="159"/>
        <v>6.9029212183235891E-2</v>
      </c>
      <c r="P336" s="842" t="b">
        <f t="shared" si="153"/>
        <v>1</v>
      </c>
      <c r="Q336" s="827">
        <f>COUNTIF(P$2:P336, TRUE)/(COUNTIF(P$2:P336,FALSE) + COUNTIF(P$2:P336, TRUE))</f>
        <v>0.5014925373134328</v>
      </c>
      <c r="R336" s="825">
        <v>251208.6</v>
      </c>
      <c r="S336" s="825">
        <f t="shared" si="160"/>
        <v>77877.22</v>
      </c>
      <c r="T336" s="825">
        <v>-26997</v>
      </c>
      <c r="U336" s="825">
        <f t="shared" si="148"/>
        <v>56082.820000000007</v>
      </c>
      <c r="V336" s="827">
        <f>STDEV(D$2:D336)*SQRT(252)</f>
        <v>0.16392298199837227</v>
      </c>
      <c r="W336" s="827">
        <f>STDEV(L$2:L336)*SQRT(252)</f>
        <v>0.35576772600589157</v>
      </c>
      <c r="X336" s="826">
        <f t="shared" si="125"/>
        <v>0.3571528802411269</v>
      </c>
      <c r="Y336" s="826">
        <f t="shared" si="126"/>
        <v>0.19402887653191103</v>
      </c>
      <c r="Z336" s="832">
        <f t="shared" si="127"/>
        <v>1.4724465225801106E-2</v>
      </c>
    </row>
    <row r="337" spans="1:26" ht="20.100000000000001" customHeight="1" x14ac:dyDescent="0.2">
      <c r="A337" s="801">
        <f t="shared" si="154"/>
        <v>514</v>
      </c>
      <c r="B337" s="820">
        <v>42747</v>
      </c>
      <c r="C337" s="845">
        <v>2270.44</v>
      </c>
      <c r="D337" s="817">
        <f>(C337-C336)/C336</f>
        <v>-2.1447532654747942E-3</v>
      </c>
      <c r="E337" s="844">
        <f t="shared" si="150"/>
        <v>7.9907155495519494E-2</v>
      </c>
      <c r="F337" s="841">
        <v>5547.48</v>
      </c>
      <c r="G337" s="817">
        <f t="shared" si="161"/>
        <v>-2.9045732649849313E-3</v>
      </c>
      <c r="H337" s="822">
        <f t="shared" si="151"/>
        <v>8.9514307598640874E-2</v>
      </c>
      <c r="I337" s="824">
        <v>326943.46999999997</v>
      </c>
      <c r="J337" s="825">
        <v>300000</v>
      </c>
      <c r="K337" s="825">
        <f t="shared" si="152"/>
        <v>-2142.3500000000349</v>
      </c>
      <c r="L337" s="817">
        <f t="shared" si="155"/>
        <v>-6.5100039861943453E-3</v>
      </c>
      <c r="M337" s="842">
        <f t="shared" si="145"/>
        <v>26943.469999999972</v>
      </c>
      <c r="N337" s="827">
        <f t="shared" si="149"/>
        <v>8.9811566666666579E-2</v>
      </c>
      <c r="O337" s="811">
        <f t="shared" si="159"/>
        <v>6.3820378842412387E-2</v>
      </c>
      <c r="P337" s="842" t="b">
        <f t="shared" si="153"/>
        <v>0</v>
      </c>
      <c r="Q337" s="827">
        <f>COUNTIF(P$2:P337, TRUE)/(COUNTIF(P$2:P337,FALSE) + COUNTIF(P$2:P337, TRUE))</f>
        <v>0.5</v>
      </c>
      <c r="R337" s="825">
        <v>249037.25</v>
      </c>
      <c r="S337" s="825">
        <f t="shared" si="160"/>
        <v>77906.219999999972</v>
      </c>
      <c r="T337" s="825">
        <v>-27073</v>
      </c>
      <c r="U337" s="825">
        <f t="shared" si="148"/>
        <v>54016.469999999972</v>
      </c>
      <c r="V337" s="827">
        <f>STDEV(D$2:D337)*SQRT(252)</f>
        <v>0.1636910220978732</v>
      </c>
      <c r="W337" s="827">
        <f>STDEV(L$2:L337)*SQRT(252)</f>
        <v>0.35529082433819081</v>
      </c>
      <c r="X337" s="826">
        <f t="shared" si="125"/>
        <v>0.34688691356201834</v>
      </c>
      <c r="Y337" s="826">
        <f t="shared" si="126"/>
        <v>0.17962855911433181</v>
      </c>
      <c r="Z337" s="832">
        <f t="shared" si="127"/>
        <v>9.9044111711470845E-3</v>
      </c>
    </row>
    <row r="338" spans="1:26" ht="20.100000000000001" customHeight="1" x14ac:dyDescent="0.2">
      <c r="A338" s="801">
        <f t="shared" si="154"/>
        <v>515</v>
      </c>
      <c r="B338" s="820">
        <v>42748</v>
      </c>
      <c r="C338" s="845">
        <v>2274.64</v>
      </c>
      <c r="D338" s="817">
        <f>(C338-C337)/C337</f>
        <v>1.8498617008156208E-3</v>
      </c>
      <c r="E338" s="844">
        <f t="shared" si="150"/>
        <v>8.1904834382907396E-2</v>
      </c>
      <c r="F338" s="841">
        <v>5574.12</v>
      </c>
      <c r="G338" s="817">
        <f t="shared" si="161"/>
        <v>4.8021804495014548E-3</v>
      </c>
      <c r="H338" s="822">
        <f t="shared" si="151"/>
        <v>9.4746351906043191E-2</v>
      </c>
      <c r="I338" s="824">
        <v>327247.34999999998</v>
      </c>
      <c r="J338" s="825">
        <v>300000</v>
      </c>
      <c r="K338" s="825">
        <f t="shared" si="152"/>
        <v>303.88000000000466</v>
      </c>
      <c r="L338" s="817">
        <f t="shared" si="155"/>
        <v>9.2945731566378945E-4</v>
      </c>
      <c r="M338" s="842">
        <f t="shared" si="145"/>
        <v>27247.349999999977</v>
      </c>
      <c r="N338" s="827">
        <f t="shared" si="149"/>
        <v>9.0824499999999919E-2</v>
      </c>
      <c r="O338" s="811">
        <f t="shared" si="159"/>
        <v>6.4414851699029066E-2</v>
      </c>
      <c r="P338" s="842" t="b">
        <f t="shared" si="153"/>
        <v>0</v>
      </c>
      <c r="Q338" s="827">
        <f>COUNTIF(P$2:P338, TRUE)/(COUNTIF(P$2:P338,FALSE) + COUNTIF(P$2:P338, TRUE))</f>
        <v>0.49851632047477745</v>
      </c>
      <c r="R338" s="825">
        <v>250832.3</v>
      </c>
      <c r="S338" s="825">
        <f t="shared" si="160"/>
        <v>76415.049999999988</v>
      </c>
      <c r="T338" s="825">
        <v>-26980</v>
      </c>
      <c r="U338" s="825">
        <f t="shared" si="148"/>
        <v>54227.349999999977</v>
      </c>
      <c r="V338" s="827">
        <f>STDEV(D$2:D338)*SQRT(252)</f>
        <v>0.1634521615646928</v>
      </c>
      <c r="W338" s="827">
        <f>STDEV(L$2:L338)*SQRT(252)</f>
        <v>0.35476017854562014</v>
      </c>
      <c r="X338" s="826">
        <f t="shared" si="125"/>
        <v>0.35538726713948843</v>
      </c>
      <c r="Y338" s="826">
        <f t="shared" si="126"/>
        <v>0.18157294869763879</v>
      </c>
      <c r="Z338" s="832">
        <f t="shared" si="127"/>
        <v>8.9196656170925231E-3</v>
      </c>
    </row>
    <row r="339" spans="1:26" ht="20.100000000000001" customHeight="1" x14ac:dyDescent="0.2">
      <c r="A339" s="801">
        <f t="shared" si="154"/>
        <v>519</v>
      </c>
      <c r="B339" s="849">
        <v>42752</v>
      </c>
      <c r="C339" s="860">
        <v>2267.89</v>
      </c>
      <c r="D339" s="817">
        <f>(C339-C338)/C338</f>
        <v>-2.9675025498540428E-3</v>
      </c>
      <c r="E339" s="851">
        <f t="shared" si="150"/>
        <v>7.8694279028176703E-2</v>
      </c>
      <c r="F339" s="852">
        <v>5538.72</v>
      </c>
      <c r="G339" s="817">
        <f t="shared" si="161"/>
        <v>-6.3507782394350383E-3</v>
      </c>
      <c r="H339" s="853">
        <f t="shared" si="151"/>
        <v>8.7793860596657392E-2</v>
      </c>
      <c r="I339" s="862">
        <v>326901.49</v>
      </c>
      <c r="J339" s="855">
        <v>300000</v>
      </c>
      <c r="K339" s="855">
        <f t="shared" si="152"/>
        <v>-345.85999999998603</v>
      </c>
      <c r="L339" s="817">
        <f t="shared" si="155"/>
        <v>-1.0568763964016394E-3</v>
      </c>
      <c r="M339" s="856">
        <f t="shared" si="145"/>
        <v>26901.489999999991</v>
      </c>
      <c r="N339" s="857">
        <f t="shared" si="149"/>
        <v>8.9671633333333306E-2</v>
      </c>
      <c r="O339" s="811">
        <f t="shared" si="159"/>
        <v>6.3107059874759133E-2</v>
      </c>
      <c r="P339" s="856" t="b">
        <f t="shared" si="153"/>
        <v>1</v>
      </c>
      <c r="Q339" s="857">
        <f>COUNTIF(P$2:P339, TRUE)/(COUNTIF(P$2:P339,FALSE) + COUNTIF(P$2:P339, TRUE))</f>
        <v>0.5</v>
      </c>
      <c r="R339" s="855">
        <v>246815.4</v>
      </c>
      <c r="S339" s="855">
        <f t="shared" si="160"/>
        <v>80086.09</v>
      </c>
      <c r="T339" s="855">
        <v>-26747</v>
      </c>
      <c r="U339" s="855">
        <f t="shared" si="148"/>
        <v>53648.489999999991</v>
      </c>
      <c r="V339" s="857">
        <f>STDEV(D$2:D339)*SQRT(252)</f>
        <v>0.16323301111868488</v>
      </c>
      <c r="W339" s="857">
        <f>STDEV(L$2:L339)*SQRT(252)</f>
        <v>0.35423530326809799</v>
      </c>
      <c r="X339" s="826">
        <f t="shared" si="125"/>
        <v>0.33927982512124322</v>
      </c>
      <c r="Y339" s="826">
        <f t="shared" si="126"/>
        <v>0.17815011460615895</v>
      </c>
      <c r="Z339" s="832">
        <f t="shared" si="127"/>
        <v>1.0977354305156603E-2</v>
      </c>
    </row>
    <row r="340" spans="1:26" ht="20.100000000000001" customHeight="1" x14ac:dyDescent="0.2">
      <c r="A340" s="801">
        <f t="shared" si="154"/>
        <v>520</v>
      </c>
      <c r="B340" s="849">
        <v>42753</v>
      </c>
      <c r="C340" s="860">
        <v>2271.89</v>
      </c>
      <c r="D340" s="817">
        <f t="shared" ref="D340:D348" si="162">(C340-C339)/C339</f>
        <v>1.7637539739581726E-3</v>
      </c>
      <c r="E340" s="851">
        <f t="shared" si="150"/>
        <v>8.0596830349498591E-2</v>
      </c>
      <c r="F340" s="852">
        <v>5555.65</v>
      </c>
      <c r="G340" s="817">
        <f t="shared" si="161"/>
        <v>3.0566629112862504E-3</v>
      </c>
      <c r="H340" s="853">
        <f t="shared" si="151"/>
        <v>9.1118879745468076E-2</v>
      </c>
      <c r="I340" s="862">
        <v>326777.7</v>
      </c>
      <c r="J340" s="855">
        <v>300000</v>
      </c>
      <c r="K340" s="855">
        <f t="shared" si="152"/>
        <v>-123.78999999997905</v>
      </c>
      <c r="L340" s="817">
        <f t="shared" si="155"/>
        <v>-3.7867676895562345E-4</v>
      </c>
      <c r="M340" s="856">
        <f t="shared" si="145"/>
        <v>26777.700000000012</v>
      </c>
      <c r="N340" s="857">
        <f t="shared" si="149"/>
        <v>8.9259000000000033E-2</v>
      </c>
      <c r="O340" s="811">
        <f t="shared" si="159"/>
        <v>6.2695864903846182E-2</v>
      </c>
      <c r="P340" s="856" t="b">
        <f t="shared" si="153"/>
        <v>0</v>
      </c>
      <c r="Q340" s="857">
        <f>COUNTIF(P$2:P340, TRUE)/(COUNTIF(P$2:P340,FALSE) + COUNTIF(P$2:P340, TRUE))</f>
        <v>0.49852507374631266</v>
      </c>
      <c r="R340" s="855">
        <v>244625.7</v>
      </c>
      <c r="S340" s="855">
        <f t="shared" si="160"/>
        <v>82152</v>
      </c>
      <c r="T340" s="855">
        <v>-26746</v>
      </c>
      <c r="U340" s="855">
        <f t="shared" si="148"/>
        <v>53523.700000000012</v>
      </c>
      <c r="V340" s="857">
        <f>STDEV(D$2:D340)*SQRT(252)</f>
        <v>0.16299569851885642</v>
      </c>
      <c r="W340" s="857">
        <f>STDEV(L$2:L340)*SQRT(252)</f>
        <v>0.35371066425752529</v>
      </c>
      <c r="X340" s="826">
        <f t="shared" si="125"/>
        <v>0.34731912645380425</v>
      </c>
      <c r="Y340" s="826">
        <f t="shared" si="126"/>
        <v>0.17725183671080766</v>
      </c>
      <c r="Z340" s="832">
        <f t="shared" si="127"/>
        <v>8.6621696505014417E-3</v>
      </c>
    </row>
    <row r="341" spans="1:26" ht="20.100000000000001" customHeight="1" x14ac:dyDescent="0.2">
      <c r="A341" s="801">
        <f t="shared" si="154"/>
        <v>521</v>
      </c>
      <c r="B341" s="849">
        <v>42754</v>
      </c>
      <c r="C341" s="860">
        <v>2263.69</v>
      </c>
      <c r="D341" s="817">
        <f t="shared" si="162"/>
        <v>-3.6093296770529464E-3</v>
      </c>
      <c r="E341" s="851">
        <f t="shared" si="150"/>
        <v>7.6696600140788801E-2</v>
      </c>
      <c r="F341" s="852">
        <v>5540.08</v>
      </c>
      <c r="G341" s="817">
        <f t="shared" si="161"/>
        <v>-2.8025523566098855E-3</v>
      </c>
      <c r="H341" s="853">
        <f t="shared" si="151"/>
        <v>8.8060961957695888E-2</v>
      </c>
      <c r="I341" s="862">
        <v>324862.34999999998</v>
      </c>
      <c r="J341" s="855">
        <v>300000</v>
      </c>
      <c r="K341" s="855">
        <f t="shared" si="152"/>
        <v>-1915.3500000000349</v>
      </c>
      <c r="L341" s="817">
        <f t="shared" si="155"/>
        <v>-5.8613240744397029E-3</v>
      </c>
      <c r="M341" s="856">
        <f t="shared" si="145"/>
        <v>24862.349999999977</v>
      </c>
      <c r="N341" s="857">
        <f t="shared" si="149"/>
        <v>8.287449999999992E-2</v>
      </c>
      <c r="O341" s="811">
        <f t="shared" si="159"/>
        <v>5.8099637476007625E-2</v>
      </c>
      <c r="P341" s="856" t="b">
        <f t="shared" si="153"/>
        <v>0</v>
      </c>
      <c r="Q341" s="857">
        <f>COUNTIF(P$2:P341, TRUE)/(COUNTIF(P$2:P341,FALSE) + COUNTIF(P$2:P341, TRUE))</f>
        <v>0.49705882352941178</v>
      </c>
      <c r="R341" s="855">
        <v>251939.75</v>
      </c>
      <c r="S341" s="855">
        <f t="shared" si="160"/>
        <v>72922.599999999977</v>
      </c>
      <c r="T341" s="855">
        <v>-27278</v>
      </c>
      <c r="U341" s="855">
        <f t="shared" si="148"/>
        <v>52140.349999999977</v>
      </c>
      <c r="V341" s="857">
        <f>STDEV(D$2:D341)*SQRT(252)</f>
        <v>0.16278897536112508</v>
      </c>
      <c r="W341" s="857">
        <f>STDEV(L$2:L341)*SQRT(252)</f>
        <v>0.35323287120524727</v>
      </c>
      <c r="X341" s="826">
        <f t="shared" si="125"/>
        <v>0.33029623584765705</v>
      </c>
      <c r="Y341" s="826">
        <f t="shared" si="126"/>
        <v>0.16447970223656963</v>
      </c>
      <c r="Z341" s="832">
        <f t="shared" si="127"/>
        <v>6.1778998592111195E-3</v>
      </c>
    </row>
    <row r="342" spans="1:26" ht="20.100000000000001" customHeight="1" x14ac:dyDescent="0.2">
      <c r="A342" s="801">
        <f t="shared" si="154"/>
        <v>522</v>
      </c>
      <c r="B342" s="849">
        <v>42755</v>
      </c>
      <c r="C342" s="860">
        <v>2271.31</v>
      </c>
      <c r="D342" s="817">
        <f t="shared" si="162"/>
        <v>3.3661852992237853E-3</v>
      </c>
      <c r="E342" s="851">
        <f t="shared" si="150"/>
        <v>8.0320960407906955E-2</v>
      </c>
      <c r="F342" s="852">
        <v>5555.33</v>
      </c>
      <c r="G342" s="817">
        <f t="shared" si="161"/>
        <v>2.7526678315114585E-3</v>
      </c>
      <c r="H342" s="853">
        <f t="shared" si="151"/>
        <v>9.1056032366400239E-2</v>
      </c>
      <c r="I342" s="862">
        <v>326822.08</v>
      </c>
      <c r="J342" s="855">
        <v>300000</v>
      </c>
      <c r="K342" s="855">
        <f t="shared" si="152"/>
        <v>1959.7300000000396</v>
      </c>
      <c r="L342" s="817">
        <f t="shared" si="155"/>
        <v>6.0324934545355584E-3</v>
      </c>
      <c r="M342" s="856">
        <f t="shared" si="145"/>
        <v>26822.080000000016</v>
      </c>
      <c r="N342" s="857">
        <f t="shared" si="149"/>
        <v>8.9406933333333383E-2</v>
      </c>
      <c r="O342" s="811">
        <f t="shared" si="159"/>
        <v>6.2559161685823789E-2</v>
      </c>
      <c r="P342" s="856" t="b">
        <f t="shared" si="153"/>
        <v>1</v>
      </c>
      <c r="Q342" s="857">
        <f>COUNTIF(P$2:P342, TRUE)/(COUNTIF(P$2:P342,FALSE) + COUNTIF(P$2:P342, TRUE))</f>
        <v>0.49853372434017595</v>
      </c>
      <c r="R342" s="855">
        <v>263368.55</v>
      </c>
      <c r="S342" s="855">
        <f t="shared" si="160"/>
        <v>63453.530000000028</v>
      </c>
      <c r="T342" s="855">
        <v>-27778</v>
      </c>
      <c r="U342" s="855">
        <f t="shared" si="148"/>
        <v>54600.080000000016</v>
      </c>
      <c r="V342" s="857">
        <f>STDEV(D$2:D342)*SQRT(252)</f>
        <v>0.16257054597852011</v>
      </c>
      <c r="W342" s="857">
        <f>STDEV(L$2:L342)*SQRT(252)</f>
        <v>0.35274115689547414</v>
      </c>
      <c r="X342" s="826">
        <f t="shared" si="125"/>
        <v>0.34570586702225381</v>
      </c>
      <c r="Y342" s="826">
        <f t="shared" si="126"/>
        <v>0.17735146711094335</v>
      </c>
      <c r="Z342" s="832">
        <f t="shared" si="127"/>
        <v>9.0859729254264276E-3</v>
      </c>
    </row>
    <row r="343" spans="1:26" ht="20.100000000000001" customHeight="1" x14ac:dyDescent="0.2">
      <c r="A343" s="801">
        <f t="shared" si="154"/>
        <v>525</v>
      </c>
      <c r="B343" s="820">
        <v>42758</v>
      </c>
      <c r="C343" s="845">
        <v>2265.1999999999998</v>
      </c>
      <c r="D343" s="817">
        <f t="shared" si="162"/>
        <v>-2.6900775323492289E-3</v>
      </c>
      <c r="E343" s="844">
        <f t="shared" si="150"/>
        <v>7.7414813264587698E-2</v>
      </c>
      <c r="F343" s="841">
        <v>5552.94</v>
      </c>
      <c r="G343" s="817">
        <f t="shared" si="161"/>
        <v>-4.3021746682921221E-4</v>
      </c>
      <c r="H343" s="822">
        <f t="shared" si="151"/>
        <v>9.0586641003986834E-2</v>
      </c>
      <c r="I343" s="824">
        <v>324687.64</v>
      </c>
      <c r="J343" s="825">
        <v>300000</v>
      </c>
      <c r="K343" s="825">
        <f t="shared" si="152"/>
        <v>-2134.4400000000023</v>
      </c>
      <c r="L343" s="817">
        <f t="shared" si="155"/>
        <v>-6.530892894384621E-3</v>
      </c>
      <c r="M343" s="842">
        <f t="shared" si="145"/>
        <v>24687.640000000014</v>
      </c>
      <c r="N343" s="827">
        <f t="shared" si="149"/>
        <v>8.2292133333333378E-2</v>
      </c>
      <c r="O343" s="811">
        <f t="shared" si="159"/>
        <v>5.7251812761904795E-2</v>
      </c>
      <c r="P343" s="842" t="b">
        <f t="shared" si="153"/>
        <v>0</v>
      </c>
      <c r="Q343" s="827">
        <f>COUNTIF(P$2:P343, TRUE)/(COUNTIF(P$2:P343,FALSE) + COUNTIF(P$2:P343, TRUE))</f>
        <v>0.49707602339181284</v>
      </c>
      <c r="R343" s="825">
        <v>262468.09999999998</v>
      </c>
      <c r="S343" s="825">
        <f t="shared" si="160"/>
        <v>62219.540000000037</v>
      </c>
      <c r="T343" s="825">
        <v>-28619</v>
      </c>
      <c r="U343" s="825">
        <f t="shared" si="148"/>
        <v>53306.640000000014</v>
      </c>
      <c r="V343" s="827">
        <f>STDEV(D$2:D343)*SQRT(252)</f>
        <v>0.16235136583576509</v>
      </c>
      <c r="W343" s="827">
        <f>STDEV(L$2:L343)*SQRT(252)</f>
        <v>0.3522774110686045</v>
      </c>
      <c r="X343" s="826">
        <f t="shared" si="125"/>
        <v>0.33174092029851404</v>
      </c>
      <c r="Y343" s="826">
        <f t="shared" si="126"/>
        <v>0.16251911409316919</v>
      </c>
      <c r="Z343" s="832">
        <f t="shared" si="127"/>
        <v>4.8773200687456802E-3</v>
      </c>
    </row>
    <row r="344" spans="1:26" ht="20.100000000000001" customHeight="1" x14ac:dyDescent="0.2">
      <c r="A344" s="801">
        <f t="shared" si="154"/>
        <v>526</v>
      </c>
      <c r="B344" s="820">
        <v>42759</v>
      </c>
      <c r="C344" s="845">
        <v>2280.0700000000002</v>
      </c>
      <c r="D344" s="817">
        <f t="shared" si="162"/>
        <v>6.5645417623169467E-3</v>
      </c>
      <c r="E344" s="844">
        <f t="shared" si="150"/>
        <v>8.4487547801602003E-2</v>
      </c>
      <c r="F344" s="841">
        <v>5600.95</v>
      </c>
      <c r="G344" s="817">
        <f t="shared" si="161"/>
        <v>8.6458704758200552E-3</v>
      </c>
      <c r="H344" s="822">
        <f t="shared" si="151"/>
        <v>0.10001571184476697</v>
      </c>
      <c r="I344" s="824">
        <v>328611.7</v>
      </c>
      <c r="J344" s="825">
        <v>300000</v>
      </c>
      <c r="K344" s="825">
        <f t="shared" si="152"/>
        <v>3924.0599999999977</v>
      </c>
      <c r="L344" s="817">
        <f t="shared" si="155"/>
        <v>1.208564637693014E-2</v>
      </c>
      <c r="M344" s="842">
        <f t="shared" ref="M344:M361" si="163">I344-J344</f>
        <v>28611.700000000012</v>
      </c>
      <c r="N344" s="827">
        <f t="shared" si="149"/>
        <v>9.5372333333333378E-2</v>
      </c>
      <c r="O344" s="811">
        <f t="shared" si="159"/>
        <v>6.62257504752852E-2</v>
      </c>
      <c r="P344" s="842" t="b">
        <f t="shared" si="153"/>
        <v>1</v>
      </c>
      <c r="Q344" s="827">
        <f>COUNTIF(P$2:P344, TRUE)/(COUNTIF(P$2:P344,FALSE) + COUNTIF(P$2:P344, TRUE))</f>
        <v>0.49854227405247814</v>
      </c>
      <c r="R344" s="825">
        <v>264117.25</v>
      </c>
      <c r="S344" s="825">
        <f t="shared" si="160"/>
        <v>64494.450000000012</v>
      </c>
      <c r="T344" s="825">
        <v>-28448</v>
      </c>
      <c r="U344" s="825">
        <f t="shared" si="148"/>
        <v>57059.700000000012</v>
      </c>
      <c r="V344" s="827">
        <f>STDEV(D$2:D344)*SQRT(252)</f>
        <v>0.16220313783315865</v>
      </c>
      <c r="W344" s="827">
        <f>STDEV(L$2:L344)*SQRT(252)</f>
        <v>0.35189592517189633</v>
      </c>
      <c r="X344" s="826">
        <f t="shared" si="125"/>
        <v>0.36169119313729858</v>
      </c>
      <c r="Y344" s="826">
        <f t="shared" si="126"/>
        <v>0.18819698023765075</v>
      </c>
      <c r="Z344" s="832">
        <f t="shared" si="127"/>
        <v>1.0884785531731375E-2</v>
      </c>
    </row>
    <row r="345" spans="1:26" ht="20.100000000000001" customHeight="1" x14ac:dyDescent="0.2">
      <c r="A345" s="801">
        <f t="shared" si="154"/>
        <v>527</v>
      </c>
      <c r="B345" s="820">
        <v>42760</v>
      </c>
      <c r="C345" s="845">
        <v>2298.37</v>
      </c>
      <c r="D345" s="817">
        <f t="shared" si="162"/>
        <v>8.0260693750629254E-3</v>
      </c>
      <c r="E345" s="844">
        <f t="shared" si="150"/>
        <v>9.3191720096649527E-2</v>
      </c>
      <c r="F345" s="841">
        <v>5656.33</v>
      </c>
      <c r="G345" s="817">
        <f t="shared" si="161"/>
        <v>9.887608352154565E-3</v>
      </c>
      <c r="H345" s="822">
        <f t="shared" si="151"/>
        <v>0.11089223638470455</v>
      </c>
      <c r="I345" s="824">
        <v>331080.08</v>
      </c>
      <c r="J345" s="825">
        <v>300000</v>
      </c>
      <c r="K345" s="825">
        <f t="shared" si="152"/>
        <v>2468.3800000000047</v>
      </c>
      <c r="L345" s="817">
        <f t="shared" si="155"/>
        <v>7.511540216005713E-3</v>
      </c>
      <c r="M345" s="842">
        <f t="shared" si="163"/>
        <v>31080.080000000016</v>
      </c>
      <c r="N345" s="827">
        <f t="shared" si="149"/>
        <v>0.10360026666666672</v>
      </c>
      <c r="O345" s="811">
        <f t="shared" si="159"/>
        <v>7.1802651612903265E-2</v>
      </c>
      <c r="P345" s="842" t="b">
        <f t="shared" si="153"/>
        <v>0</v>
      </c>
      <c r="Q345" s="827">
        <f>COUNTIF(P$2:P345, TRUE)/(COUNTIF(P$2:P345,FALSE) + COUNTIF(P$2:P345, TRUE))</f>
        <v>0.49709302325581395</v>
      </c>
      <c r="R345" s="825">
        <v>259620.35</v>
      </c>
      <c r="S345" s="825">
        <f t="shared" si="160"/>
        <v>71459.73000000001</v>
      </c>
      <c r="T345" s="825">
        <v>-28211</v>
      </c>
      <c r="U345" s="825">
        <f t="shared" si="148"/>
        <v>59291.080000000016</v>
      </c>
      <c r="V345" s="827">
        <f>STDEV(D$2:D345)*SQRT(252)</f>
        <v>0.16210153500122582</v>
      </c>
      <c r="W345" s="827">
        <f>STDEV(L$2:L345)*SQRT(252)</f>
        <v>0.35142892173835949</v>
      </c>
      <c r="X345" s="826">
        <f t="shared" si="125"/>
        <v>0.39844631062528568</v>
      </c>
      <c r="Y345" s="826">
        <f t="shared" si="126"/>
        <v>0.20431628466356189</v>
      </c>
      <c r="Z345" s="832">
        <f t="shared" si="127"/>
        <v>1.0408546570017191E-2</v>
      </c>
    </row>
    <row r="346" spans="1:26" ht="20.100000000000001" customHeight="1" x14ac:dyDescent="0.2">
      <c r="A346" s="801">
        <f t="shared" si="154"/>
        <v>528</v>
      </c>
      <c r="B346" s="820">
        <v>42761</v>
      </c>
      <c r="C346" s="845">
        <v>2296.6799999999998</v>
      </c>
      <c r="D346" s="817">
        <f t="shared" si="162"/>
        <v>-7.3530371524169506E-4</v>
      </c>
      <c r="E346" s="844">
        <f t="shared" si="150"/>
        <v>9.2387892163390994E-2</v>
      </c>
      <c r="F346" s="841">
        <v>5655.17</v>
      </c>
      <c r="G346" s="817">
        <f t="shared" si="161"/>
        <v>-2.0507997234953663E-4</v>
      </c>
      <c r="H346" s="822">
        <f t="shared" si="151"/>
        <v>0.11066441463558345</v>
      </c>
      <c r="I346" s="824">
        <v>330371.86</v>
      </c>
      <c r="J346" s="825">
        <v>300000</v>
      </c>
      <c r="K346" s="825">
        <f t="shared" si="152"/>
        <v>-708.22000000003027</v>
      </c>
      <c r="L346" s="817">
        <f t="shared" si="155"/>
        <v>-2.1391199373880488E-3</v>
      </c>
      <c r="M346" s="842">
        <f t="shared" si="163"/>
        <v>30371.859999999986</v>
      </c>
      <c r="N346" s="827">
        <f t="shared" si="149"/>
        <v>0.10123953333333328</v>
      </c>
      <c r="O346" s="811">
        <f t="shared" si="159"/>
        <v>7.0033597632575717E-2</v>
      </c>
      <c r="P346" s="842" t="b">
        <f t="shared" si="153"/>
        <v>0</v>
      </c>
      <c r="Q346" s="827">
        <f>COUNTIF(P$2:P346, TRUE)/(COUNTIF(P$2:P346,FALSE) + COUNTIF(P$2:P346, TRUE))</f>
        <v>0.4956521739130435</v>
      </c>
      <c r="R346" s="825">
        <v>261550.96</v>
      </c>
      <c r="S346" s="825">
        <f t="shared" si="160"/>
        <v>68820.899999999994</v>
      </c>
      <c r="T346" s="825">
        <v>-28489</v>
      </c>
      <c r="U346" s="825">
        <f t="shared" si="148"/>
        <v>58860.859999999986</v>
      </c>
      <c r="V346" s="827">
        <f>STDEV(D$2:D346)*SQRT(252)</f>
        <v>0.16186754333702152</v>
      </c>
      <c r="W346" s="827">
        <f>STDEV(L$2:L346)*SQRT(252)</f>
        <v>0.35092507165589804</v>
      </c>
      <c r="X346" s="826">
        <f t="shared" si="125"/>
        <v>0.39483131052017023</v>
      </c>
      <c r="Y346" s="826">
        <f t="shared" si="126"/>
        <v>0.19956852128606997</v>
      </c>
      <c r="Z346" s="832">
        <f t="shared" si="127"/>
        <v>8.8516411699422898E-3</v>
      </c>
    </row>
    <row r="347" spans="1:26" ht="20.100000000000001" customHeight="1" x14ac:dyDescent="0.2">
      <c r="A347" s="801">
        <f t="shared" si="154"/>
        <v>529</v>
      </c>
      <c r="B347" s="820">
        <v>42762</v>
      </c>
      <c r="C347" s="845">
        <v>2294.69</v>
      </c>
      <c r="D347" s="817">
        <f t="shared" si="162"/>
        <v>-8.6646811919805194E-4</v>
      </c>
      <c r="E347" s="844">
        <f t="shared" si="150"/>
        <v>9.1441372881033461E-2</v>
      </c>
      <c r="F347" s="841">
        <v>5660.78</v>
      </c>
      <c r="G347" s="817">
        <f t="shared" si="161"/>
        <v>9.9201261854191345E-4</v>
      </c>
      <c r="H347" s="822">
        <f t="shared" si="151"/>
        <v>0.11176620774986742</v>
      </c>
      <c r="I347" s="824">
        <v>328778.71999999997</v>
      </c>
      <c r="J347" s="825">
        <v>300000</v>
      </c>
      <c r="K347" s="825">
        <f t="shared" si="152"/>
        <v>-1593.140000000014</v>
      </c>
      <c r="L347" s="817">
        <f t="shared" si="155"/>
        <v>-4.822263009930731E-3</v>
      </c>
      <c r="M347" s="842">
        <f t="shared" si="163"/>
        <v>28778.719999999972</v>
      </c>
      <c r="N347" s="827">
        <f t="shared" si="149"/>
        <v>9.5929066666666576E-2</v>
      </c>
      <c r="O347" s="811">
        <f t="shared" si="159"/>
        <v>6.6234577693761745E-2</v>
      </c>
      <c r="P347" s="842" t="b">
        <f t="shared" si="153"/>
        <v>0</v>
      </c>
      <c r="Q347" s="827">
        <f>COUNTIF(P$2:P347, TRUE)/(COUNTIF(P$2:P347,FALSE) + COUNTIF(P$2:P347, TRUE))</f>
        <v>0.49421965317919075</v>
      </c>
      <c r="R347" s="825">
        <v>258478.8</v>
      </c>
      <c r="S347" s="825">
        <f t="shared" si="160"/>
        <v>70299.919999999984</v>
      </c>
      <c r="T347" s="825">
        <v>-28586</v>
      </c>
      <c r="U347" s="825">
        <f t="shared" si="148"/>
        <v>57364.719999999972</v>
      </c>
      <c r="V347" s="827">
        <f>STDEV(D$2:D347)*SQRT(252)</f>
        <v>0.16163521958957874</v>
      </c>
      <c r="W347" s="827">
        <f>STDEV(L$2:L347)*SQRT(252)</f>
        <v>0.35044708647568024</v>
      </c>
      <c r="X347" s="826">
        <f t="shared" ref="X347:X410" si="164">E347/(A347/365.25)/V347</f>
        <v>0.39060814305970393</v>
      </c>
      <c r="Y347" s="826">
        <f t="shared" ref="Y347:Y410" si="165">O347/W347</f>
        <v>0.18900022357115012</v>
      </c>
      <c r="Z347" s="832">
        <f t="shared" ref="Z347:Z410" si="166">-(E347-N347)</f>
        <v>4.4876937856331151E-3</v>
      </c>
    </row>
    <row r="348" spans="1:26" ht="20.100000000000001" customHeight="1" x14ac:dyDescent="0.2">
      <c r="A348" s="801">
        <f t="shared" si="154"/>
        <v>532</v>
      </c>
      <c r="B348" s="849">
        <v>42765</v>
      </c>
      <c r="C348" s="860">
        <v>2280.9</v>
      </c>
      <c r="D348" s="817">
        <f t="shared" si="162"/>
        <v>-6.0095263412486928E-3</v>
      </c>
      <c r="E348" s="851">
        <f t="shared" si="150"/>
        <v>8.488232720077625E-2</v>
      </c>
      <c r="F348" s="852">
        <v>5613.71</v>
      </c>
      <c r="G348" s="817">
        <f t="shared" si="161"/>
        <v>-8.3151085186139919E-3</v>
      </c>
      <c r="H348" s="853">
        <f t="shared" si="151"/>
        <v>0.10252175108509932</v>
      </c>
      <c r="I348" s="862">
        <v>323091.52</v>
      </c>
      <c r="J348" s="855">
        <v>300000</v>
      </c>
      <c r="K348" s="855">
        <f t="shared" si="152"/>
        <v>-5687.1999999999534</v>
      </c>
      <c r="L348" s="817">
        <f t="shared" si="155"/>
        <v>-1.7297956510080561E-2</v>
      </c>
      <c r="M348" s="856">
        <f t="shared" si="163"/>
        <v>23091.520000000019</v>
      </c>
      <c r="N348" s="857">
        <f t="shared" si="149"/>
        <v>7.6971733333333389E-2</v>
      </c>
      <c r="O348" s="811">
        <f t="shared" si="159"/>
        <v>5.2845724812030113E-2</v>
      </c>
      <c r="P348" s="856" t="b">
        <f t="shared" si="153"/>
        <v>0</v>
      </c>
      <c r="Q348" s="857">
        <f>COUNTIF(P$2:P348, TRUE)/(COUNTIF(P$2:P348,FALSE) + COUNTIF(P$2:P348, TRUE))</f>
        <v>0.49279538904899134</v>
      </c>
      <c r="R348" s="855">
        <v>273132.59999999998</v>
      </c>
      <c r="S348" s="855">
        <f t="shared" si="160"/>
        <v>49958.920000000042</v>
      </c>
      <c r="T348" s="855">
        <v>-28819</v>
      </c>
      <c r="U348" s="855">
        <f t="shared" si="148"/>
        <v>51910.520000000019</v>
      </c>
      <c r="V348" s="857">
        <f>STDEV(D$2:D348)*SQRT(252)</f>
        <v>0.16149074119515683</v>
      </c>
      <c r="W348" s="857">
        <f>STDEV(L$2:L348)*SQRT(252)</f>
        <v>0.35027731512032595</v>
      </c>
      <c r="X348" s="826">
        <f t="shared" si="164"/>
        <v>0.36086789184278273</v>
      </c>
      <c r="Y348" s="826">
        <f t="shared" si="165"/>
        <v>0.15086824790202799</v>
      </c>
      <c r="Z348" s="832">
        <f t="shared" si="166"/>
        <v>-7.9105938674428611E-3</v>
      </c>
    </row>
    <row r="349" spans="1:26" ht="20.100000000000001" customHeight="1" x14ac:dyDescent="0.2">
      <c r="A349" s="801">
        <f t="shared" si="154"/>
        <v>533</v>
      </c>
      <c r="B349" s="849">
        <v>42766</v>
      </c>
      <c r="C349" s="860">
        <v>2278.87</v>
      </c>
      <c r="D349" s="817">
        <f t="shared" ref="D349:D363" si="167">(C349-C348)/C348</f>
        <v>-8.8999956157665837E-4</v>
      </c>
      <c r="E349" s="851">
        <f t="shared" si="150"/>
        <v>8.3916782405205295E-2</v>
      </c>
      <c r="F349" s="852">
        <v>5614.78</v>
      </c>
      <c r="G349" s="817">
        <f t="shared" si="161"/>
        <v>1.9060478720840743E-4</v>
      </c>
      <c r="H349" s="853">
        <f t="shared" si="151"/>
        <v>0.10273189700885754</v>
      </c>
      <c r="I349" s="863">
        <v>326440.17</v>
      </c>
      <c r="J349" s="855">
        <v>300000</v>
      </c>
      <c r="K349" s="855">
        <f t="shared" si="152"/>
        <v>3348.6499999999651</v>
      </c>
      <c r="L349" s="817">
        <f t="shared" si="155"/>
        <v>1.0364400774121107E-2</v>
      </c>
      <c r="M349" s="861">
        <f t="shared" si="163"/>
        <v>26440.169999999984</v>
      </c>
      <c r="N349" s="857">
        <f t="shared" si="149"/>
        <v>8.8133899999999946E-2</v>
      </c>
      <c r="O349" s="811">
        <f t="shared" si="159"/>
        <v>6.039569788930578E-2</v>
      </c>
      <c r="P349" s="856" t="b">
        <f t="shared" si="153"/>
        <v>1</v>
      </c>
      <c r="Q349" s="857">
        <f>COUNTIF(P$2:P349, TRUE)/(COUNTIF(P$2:P349,FALSE) + COUNTIF(P$2:P349, TRUE))</f>
        <v>0.4942528735632184</v>
      </c>
      <c r="R349" s="855">
        <v>269996.05</v>
      </c>
      <c r="S349" s="855">
        <f t="shared" si="160"/>
        <v>56444.119999999995</v>
      </c>
      <c r="T349" s="855">
        <v>-28046</v>
      </c>
      <c r="U349" s="855">
        <f t="shared" ref="U349:U361" si="168">M349-T349</f>
        <v>54486.169999999984</v>
      </c>
      <c r="V349" s="857">
        <f>STDEV(D$2:D349)*SQRT(252)</f>
        <v>0.16126032344317026</v>
      </c>
      <c r="W349" s="857">
        <f>STDEV(L$2:L349)*SQRT(252)</f>
        <v>0.34986792755966306</v>
      </c>
      <c r="X349" s="826">
        <f t="shared" si="164"/>
        <v>0.35660244171135069</v>
      </c>
      <c r="Y349" s="826">
        <f t="shared" si="165"/>
        <v>0.17262427656792431</v>
      </c>
      <c r="Z349" s="832">
        <f t="shared" si="166"/>
        <v>4.2171175947946504E-3</v>
      </c>
    </row>
    <row r="350" spans="1:26" ht="20.100000000000001" customHeight="1" x14ac:dyDescent="0.2">
      <c r="A350" s="801">
        <f t="shared" si="154"/>
        <v>534</v>
      </c>
      <c r="B350" s="849">
        <v>42767</v>
      </c>
      <c r="C350" s="860">
        <v>2279.5500000000002</v>
      </c>
      <c r="D350" s="817">
        <f t="shared" si="167"/>
        <v>2.9839350204280678E-4</v>
      </c>
      <c r="E350" s="851">
        <f t="shared" si="150"/>
        <v>8.4240216129830167E-2</v>
      </c>
      <c r="F350" s="852">
        <v>5642.65</v>
      </c>
      <c r="G350" s="817">
        <f t="shared" si="161"/>
        <v>4.9636851310291569E-3</v>
      </c>
      <c r="H350" s="853">
        <f t="shared" si="151"/>
        <v>0.10820551092955198</v>
      </c>
      <c r="I350" s="862">
        <v>325798.71999999997</v>
      </c>
      <c r="J350" s="855">
        <v>300000</v>
      </c>
      <c r="K350" s="855">
        <f t="shared" si="152"/>
        <v>-641.45000000001164</v>
      </c>
      <c r="L350" s="817">
        <f t="shared" si="155"/>
        <v>-1.9649848852854464E-3</v>
      </c>
      <c r="M350" s="864">
        <f t="shared" si="163"/>
        <v>25798.719999999972</v>
      </c>
      <c r="N350" s="857">
        <f t="shared" ref="N350:N361" si="169">M350/J350</f>
        <v>8.5995733333333241E-2</v>
      </c>
      <c r="O350" s="811">
        <f t="shared" si="159"/>
        <v>5.8820115355805183E-2</v>
      </c>
      <c r="P350" s="856" t="b">
        <f t="shared" si="153"/>
        <v>0</v>
      </c>
      <c r="Q350" s="857">
        <f>COUNTIF(P$2:P350, TRUE)/(COUNTIF(P$2:P350,FALSE) + COUNTIF(P$2:P350, TRUE))</f>
        <v>0.49283667621776506</v>
      </c>
      <c r="R350" s="855">
        <v>267944.34999999998</v>
      </c>
      <c r="S350" s="855">
        <f t="shared" si="160"/>
        <v>57854.369999999995</v>
      </c>
      <c r="T350" s="855">
        <v>-28725</v>
      </c>
      <c r="U350" s="855">
        <f t="shared" si="168"/>
        <v>54523.719999999972</v>
      </c>
      <c r="V350" s="857">
        <f>STDEV(D$2:D350)*SQRT(252)</f>
        <v>0.1610277927077004</v>
      </c>
      <c r="W350" s="857">
        <f>STDEV(L$2:L350)*SQRT(252)</f>
        <v>0.34937088827322704</v>
      </c>
      <c r="X350" s="826">
        <f t="shared" si="164"/>
        <v>0.35782246247461669</v>
      </c>
      <c r="Y350" s="826">
        <f t="shared" si="165"/>
        <v>0.16836009332810997</v>
      </c>
      <c r="Z350" s="832">
        <f t="shared" si="166"/>
        <v>1.7555172035030736E-3</v>
      </c>
    </row>
    <row r="351" spans="1:26" ht="20.100000000000001" customHeight="1" x14ac:dyDescent="0.2">
      <c r="A351" s="801">
        <f t="shared" si="154"/>
        <v>535</v>
      </c>
      <c r="B351" s="849">
        <v>42768</v>
      </c>
      <c r="C351" s="860">
        <v>2280.85</v>
      </c>
      <c r="D351" s="817">
        <f t="shared" si="167"/>
        <v>5.7028799543757628E-4</v>
      </c>
      <c r="E351" s="851">
        <f t="shared" si="150"/>
        <v>8.4858545309259639E-2</v>
      </c>
      <c r="F351" s="852">
        <v>5636.19</v>
      </c>
      <c r="G351" s="817">
        <f t="shared" si="161"/>
        <v>-1.1448521528005524E-3</v>
      </c>
      <c r="H351" s="853">
        <f t="shared" si="151"/>
        <v>0.10693677946461885</v>
      </c>
      <c r="I351" s="862">
        <v>326587.24</v>
      </c>
      <c r="J351" s="855">
        <v>300000</v>
      </c>
      <c r="K351" s="855">
        <f t="shared" si="152"/>
        <v>788.52000000001863</v>
      </c>
      <c r="L351" s="817">
        <f t="shared" si="155"/>
        <v>2.4202673356114434E-3</v>
      </c>
      <c r="M351" s="864">
        <f t="shared" si="163"/>
        <v>26587.239999999991</v>
      </c>
      <c r="N351" s="857">
        <f t="shared" si="169"/>
        <v>8.8624133333333299E-2</v>
      </c>
      <c r="O351" s="811">
        <f t="shared" si="159"/>
        <v>6.0504606915887826E-2</v>
      </c>
      <c r="P351" s="856" t="b">
        <f t="shared" si="153"/>
        <v>1</v>
      </c>
      <c r="Q351" s="857">
        <f>COUNTIF(P$2:P351, TRUE)/(COUNTIF(P$2:P351,FALSE) + COUNTIF(P$2:P351, TRUE))</f>
        <v>0.49428571428571427</v>
      </c>
      <c r="R351" s="855">
        <v>272398.15000000002</v>
      </c>
      <c r="S351" s="855">
        <f t="shared" si="160"/>
        <v>54189.089999999967</v>
      </c>
      <c r="T351" s="855">
        <v>-29233</v>
      </c>
      <c r="U351" s="855">
        <f t="shared" si="168"/>
        <v>55820.239999999991</v>
      </c>
      <c r="V351" s="857">
        <f>STDEV(D$2:D351)*SQRT(252)</f>
        <v>0.16079644900185747</v>
      </c>
      <c r="W351" s="857">
        <f>STDEV(L$2:L351)*SQRT(252)</f>
        <v>0.34887158546682562</v>
      </c>
      <c r="X351" s="826">
        <f t="shared" si="164"/>
        <v>0.36029279016933341</v>
      </c>
      <c r="Y351" s="826">
        <f t="shared" si="165"/>
        <v>0.17342944921962195</v>
      </c>
      <c r="Z351" s="832">
        <f t="shared" si="166"/>
        <v>3.76558802407366E-3</v>
      </c>
    </row>
    <row r="352" spans="1:26" ht="20.100000000000001" customHeight="1" x14ac:dyDescent="0.2">
      <c r="A352" s="801">
        <f t="shared" si="154"/>
        <v>536</v>
      </c>
      <c r="B352" s="849">
        <v>42769</v>
      </c>
      <c r="C352" s="860">
        <v>2297.42</v>
      </c>
      <c r="D352" s="817">
        <f t="shared" si="167"/>
        <v>7.2648354780016945E-3</v>
      </c>
      <c r="E352" s="851">
        <f t="shared" ref="E352:E361" si="170">(C352-$C$2)/$C$2</f>
        <v>9.2739864157835666E-2</v>
      </c>
      <c r="F352" s="852">
        <v>5666.76</v>
      </c>
      <c r="G352" s="817">
        <f t="shared" si="161"/>
        <v>5.4238767678166672E-3</v>
      </c>
      <c r="H352" s="853">
        <f t="shared" ref="H352:H361" si="171">(F352-F$2)/F$2</f>
        <v>0.1129406681461988</v>
      </c>
      <c r="I352" s="862">
        <v>330217.57</v>
      </c>
      <c r="J352" s="855">
        <v>300000</v>
      </c>
      <c r="K352" s="855">
        <f t="shared" ref="K352:K361" si="172">I352-I351-J352+J351</f>
        <v>3630.3300000000163</v>
      </c>
      <c r="L352" s="817">
        <f t="shared" si="155"/>
        <v>1.1115957867796723E-2</v>
      </c>
      <c r="M352" s="864">
        <f t="shared" si="163"/>
        <v>30217.570000000007</v>
      </c>
      <c r="N352" s="857">
        <f t="shared" si="169"/>
        <v>0.10072523333333336</v>
      </c>
      <c r="O352" s="811">
        <f t="shared" si="159"/>
        <v>6.8637857229477628E-2</v>
      </c>
      <c r="P352" s="856" t="b">
        <f t="shared" ref="P352:P361" si="173">L352&gt;D352</f>
        <v>1</v>
      </c>
      <c r="Q352" s="857">
        <f>COUNTIF(P$2:P352, TRUE)/(COUNTIF(P$2:P352,FALSE) + COUNTIF(P$2:P352, TRUE))</f>
        <v>0.49572649572649574</v>
      </c>
      <c r="R352" s="855">
        <v>260496.3</v>
      </c>
      <c r="S352" s="855">
        <f t="shared" si="160"/>
        <v>69721.270000000019</v>
      </c>
      <c r="T352" s="855">
        <v>-28712</v>
      </c>
      <c r="U352" s="855">
        <f t="shared" si="168"/>
        <v>58929.570000000007</v>
      </c>
      <c r="V352" s="857">
        <f>STDEV(D$2:D352)*SQRT(252)</f>
        <v>0.16067512606366424</v>
      </c>
      <c r="W352" s="857">
        <f>STDEV(L$2:L352)*SQRT(252)</f>
        <v>0.34848319217701207</v>
      </c>
      <c r="X352" s="826">
        <f t="shared" si="164"/>
        <v>0.3933174737074584</v>
      </c>
      <c r="Y352" s="826">
        <f t="shared" si="165"/>
        <v>0.19696174383817347</v>
      </c>
      <c r="Z352" s="832">
        <f t="shared" si="166"/>
        <v>7.9853691754976919E-3</v>
      </c>
    </row>
    <row r="353" spans="1:26" ht="20.100000000000001" customHeight="1" x14ac:dyDescent="0.2">
      <c r="A353" s="801">
        <f t="shared" si="154"/>
        <v>539</v>
      </c>
      <c r="B353" s="820">
        <v>42772</v>
      </c>
      <c r="C353" s="845">
        <v>2292.56</v>
      </c>
      <c r="D353" s="817">
        <f t="shared" si="167"/>
        <v>-2.115416423640487E-3</v>
      </c>
      <c r="E353" s="844">
        <f t="shared" si="170"/>
        <v>9.0428264302429506E-2</v>
      </c>
      <c r="F353" s="841">
        <v>5663.55</v>
      </c>
      <c r="G353" s="817">
        <f t="shared" si="161"/>
        <v>-5.6646125828516407E-4</v>
      </c>
      <c r="H353" s="822">
        <f t="shared" si="171"/>
        <v>0.11231023037492398</v>
      </c>
      <c r="I353" s="824">
        <v>324431.87</v>
      </c>
      <c r="J353" s="825">
        <v>300000</v>
      </c>
      <c r="K353" s="825">
        <f t="shared" si="172"/>
        <v>-5785.7000000000116</v>
      </c>
      <c r="L353" s="817">
        <f t="shared" si="155"/>
        <v>-1.7520872677974135E-2</v>
      </c>
      <c r="M353" s="842">
        <f t="shared" si="163"/>
        <v>24431.869999999995</v>
      </c>
      <c r="N353" s="827">
        <f t="shared" si="169"/>
        <v>8.1439566666666657E-2</v>
      </c>
      <c r="O353" s="811">
        <f t="shared" si="159"/>
        <v>5.5187016187384037E-2</v>
      </c>
      <c r="P353" s="842" t="b">
        <f t="shared" si="173"/>
        <v>0</v>
      </c>
      <c r="Q353" s="827">
        <f>COUNTIF(P$2:P353, TRUE)/(COUNTIF(P$2:P353,FALSE) + COUNTIF(P$2:P353, TRUE))</f>
        <v>0.49431818181818182</v>
      </c>
      <c r="R353" s="825">
        <v>275813.84999999998</v>
      </c>
      <c r="S353" s="825">
        <f t="shared" si="160"/>
        <v>48618.020000000019</v>
      </c>
      <c r="T353" s="825">
        <v>-29700</v>
      </c>
      <c r="U353" s="825">
        <f t="shared" si="168"/>
        <v>54131.869999999995</v>
      </c>
      <c r="V353" s="827">
        <f>STDEV(D$2:D353)*SQRT(252)</f>
        <v>0.16045852618505879</v>
      </c>
      <c r="W353" s="827">
        <f>STDEV(L$2:L353)*SQRT(252)</f>
        <v>0.34832898633424447</v>
      </c>
      <c r="X353" s="826">
        <f t="shared" si="164"/>
        <v>0.38189401791533517</v>
      </c>
      <c r="Y353" s="826">
        <f t="shared" si="165"/>
        <v>0.15843360257830646</v>
      </c>
      <c r="Z353" s="832">
        <f t="shared" si="166"/>
        <v>-8.988697635762849E-3</v>
      </c>
    </row>
    <row r="354" spans="1:26" ht="20.100000000000001" customHeight="1" x14ac:dyDescent="0.2">
      <c r="A354" s="801">
        <f t="shared" si="154"/>
        <v>540</v>
      </c>
      <c r="B354" s="820">
        <v>42773</v>
      </c>
      <c r="C354" s="845">
        <v>2293.08</v>
      </c>
      <c r="D354" s="817">
        <f t="shared" si="167"/>
        <v>2.2682067208709122E-4</v>
      </c>
      <c r="E354" s="844">
        <f t="shared" si="170"/>
        <v>9.0675595974201342E-2</v>
      </c>
      <c r="F354" s="841">
        <v>5674.21</v>
      </c>
      <c r="G354" s="817">
        <f t="shared" si="161"/>
        <v>1.8822116870160683E-3</v>
      </c>
      <c r="H354" s="822">
        <f t="shared" si="171"/>
        <v>0.11440383369012319</v>
      </c>
      <c r="I354" s="824">
        <v>321983.64</v>
      </c>
      <c r="J354" s="825">
        <v>300000</v>
      </c>
      <c r="K354" s="825">
        <f t="shared" si="172"/>
        <v>-2448.2299999999814</v>
      </c>
      <c r="L354" s="817">
        <f t="shared" si="155"/>
        <v>-7.5462068507634022E-3</v>
      </c>
      <c r="M354" s="842">
        <f t="shared" si="163"/>
        <v>21983.640000000014</v>
      </c>
      <c r="N354" s="827">
        <f t="shared" si="169"/>
        <v>7.3278800000000047E-2</v>
      </c>
      <c r="O354" s="811">
        <f t="shared" si="159"/>
        <v>4.9564966111111143E-2</v>
      </c>
      <c r="P354" s="842" t="b">
        <f t="shared" si="173"/>
        <v>0</v>
      </c>
      <c r="Q354" s="827">
        <f>COUNTIF(P$2:P354, TRUE)/(COUNTIF(P$2:P354,FALSE) + COUNTIF(P$2:P354, TRUE))</f>
        <v>0.49291784702549574</v>
      </c>
      <c r="R354" s="825">
        <v>303519</v>
      </c>
      <c r="S354" s="825">
        <f t="shared" si="160"/>
        <v>18464.640000000014</v>
      </c>
      <c r="T354" s="825">
        <v>-29290</v>
      </c>
      <c r="U354" s="825">
        <f t="shared" si="168"/>
        <v>51273.640000000014</v>
      </c>
      <c r="V354" s="827">
        <f>STDEV(D$2:D354)*SQRT(252)</f>
        <v>0.16022980090956176</v>
      </c>
      <c r="W354" s="827">
        <f>STDEV(L$2:L354)*SQRT(252)</f>
        <v>0.34790227833602405</v>
      </c>
      <c r="X354" s="826">
        <f t="shared" si="164"/>
        <v>0.38277502226283955</v>
      </c>
      <c r="Y354" s="826">
        <f t="shared" si="165"/>
        <v>0.14246806990794825</v>
      </c>
      <c r="Z354" s="832">
        <f t="shared" si="166"/>
        <v>-1.7396795974201296E-2</v>
      </c>
    </row>
    <row r="355" spans="1:26" ht="20.100000000000001" customHeight="1" x14ac:dyDescent="0.2">
      <c r="A355" s="801">
        <f t="shared" si="154"/>
        <v>541</v>
      </c>
      <c r="B355" s="820">
        <v>42774</v>
      </c>
      <c r="C355" s="845">
        <v>2294.67</v>
      </c>
      <c r="D355" s="817">
        <f t="shared" si="167"/>
        <v>6.9339054895605282E-4</v>
      </c>
      <c r="E355" s="844">
        <f t="shared" si="170"/>
        <v>9.1431860124426861E-2</v>
      </c>
      <c r="F355" s="841">
        <v>5682.45</v>
      </c>
      <c r="G355" s="817">
        <f t="shared" si="161"/>
        <v>1.4521845331772673E-3</v>
      </c>
      <c r="H355" s="822">
        <f t="shared" si="171"/>
        <v>0.11602215370112144</v>
      </c>
      <c r="I355" s="824">
        <v>320220.33</v>
      </c>
      <c r="J355" s="825">
        <v>300000</v>
      </c>
      <c r="K355" s="825">
        <f t="shared" si="172"/>
        <v>-1763.3099999999977</v>
      </c>
      <c r="L355" s="817">
        <f t="shared" si="155"/>
        <v>-5.4763962541699253E-3</v>
      </c>
      <c r="M355" s="842">
        <f t="shared" si="163"/>
        <v>20220.330000000016</v>
      </c>
      <c r="N355" s="827">
        <f t="shared" si="169"/>
        <v>6.7401100000000061E-2</v>
      </c>
      <c r="O355" s="811">
        <f t="shared" si="159"/>
        <v>4.5505086460258824E-2</v>
      </c>
      <c r="P355" s="842" t="b">
        <f t="shared" si="173"/>
        <v>0</v>
      </c>
      <c r="Q355" s="827">
        <f>COUNTIF(P$2:P355, TRUE)/(COUNTIF(P$2:P355,FALSE) + COUNTIF(P$2:P355, TRUE))</f>
        <v>0.49152542372881358</v>
      </c>
      <c r="R355" s="825">
        <v>292567</v>
      </c>
      <c r="S355" s="825">
        <f t="shared" si="160"/>
        <v>27653.330000000016</v>
      </c>
      <c r="T355" s="825">
        <v>-30165</v>
      </c>
      <c r="U355" s="825">
        <f t="shared" si="168"/>
        <v>50385.330000000016</v>
      </c>
      <c r="V355" s="827">
        <f>STDEV(D$2:D355)*SQRT(252)</f>
        <v>0.16000238989195567</v>
      </c>
      <c r="W355" s="827">
        <f>STDEV(L$2:L355)*SQRT(252)</f>
        <v>0.34744654612529025</v>
      </c>
      <c r="X355" s="826">
        <f t="shared" si="164"/>
        <v>0.38580161847693056</v>
      </c>
      <c r="Y355" s="826">
        <f t="shared" si="165"/>
        <v>0.13097003544208369</v>
      </c>
      <c r="Z355" s="832">
        <f t="shared" si="166"/>
        <v>-2.40307601244268E-2</v>
      </c>
    </row>
    <row r="356" spans="1:26" ht="20.100000000000001" customHeight="1" x14ac:dyDescent="0.2">
      <c r="A356" s="801">
        <f t="shared" si="154"/>
        <v>542</v>
      </c>
      <c r="B356" s="820">
        <v>42775</v>
      </c>
      <c r="C356" s="845">
        <v>2307.87</v>
      </c>
      <c r="D356" s="817">
        <f t="shared" si="167"/>
        <v>5.7524611382027994E-3</v>
      </c>
      <c r="E356" s="844">
        <f t="shared" si="170"/>
        <v>9.7710279484789025E-2</v>
      </c>
      <c r="F356" s="841">
        <v>5715.18</v>
      </c>
      <c r="G356" s="817">
        <f t="shared" si="161"/>
        <v>5.7598395058470336E-3</v>
      </c>
      <c r="H356" s="822">
        <f t="shared" si="171"/>
        <v>0.12245026219140964</v>
      </c>
      <c r="I356" s="824">
        <v>320817.13</v>
      </c>
      <c r="J356" s="825">
        <v>300000</v>
      </c>
      <c r="K356" s="825">
        <f t="shared" si="172"/>
        <v>596.79999999998836</v>
      </c>
      <c r="L356" s="817">
        <f t="shared" si="155"/>
        <v>1.8637167727607686E-3</v>
      </c>
      <c r="M356" s="842">
        <f t="shared" si="163"/>
        <v>20817.130000000005</v>
      </c>
      <c r="N356" s="827">
        <f t="shared" si="169"/>
        <v>6.9390433333333348E-2</v>
      </c>
      <c r="O356" s="811">
        <f t="shared" si="159"/>
        <v>4.676172652214023E-2</v>
      </c>
      <c r="P356" s="842" t="b">
        <f t="shared" si="173"/>
        <v>0</v>
      </c>
      <c r="Q356" s="827">
        <f>COUNTIF(P$2:P356, TRUE)/(COUNTIF(P$2:P356,FALSE) + COUNTIF(P$2:P356, TRUE))</f>
        <v>0.49014084507042255</v>
      </c>
      <c r="R356" s="825">
        <v>304352.8</v>
      </c>
      <c r="S356" s="825">
        <f t="shared" si="160"/>
        <v>16464.330000000016</v>
      </c>
      <c r="T356" s="825">
        <v>-31263</v>
      </c>
      <c r="U356" s="825">
        <f t="shared" si="168"/>
        <v>52080.130000000005</v>
      </c>
      <c r="V356" s="827">
        <f>STDEV(D$2:D356)*SQRT(252)</f>
        <v>0.15984184975435473</v>
      </c>
      <c r="W356" s="827">
        <f>STDEV(L$2:L356)*SQRT(252)</f>
        <v>0.34695557071098138</v>
      </c>
      <c r="X356" s="826">
        <f t="shared" si="164"/>
        <v>0.41194638570794817</v>
      </c>
      <c r="Y356" s="826">
        <f t="shared" si="165"/>
        <v>0.13477727544860021</v>
      </c>
      <c r="Z356" s="832">
        <f t="shared" si="166"/>
        <v>-2.8319846151455677E-2</v>
      </c>
    </row>
    <row r="357" spans="1:26" ht="20.100000000000001" customHeight="1" x14ac:dyDescent="0.2">
      <c r="A357" s="801">
        <f t="shared" si="154"/>
        <v>543</v>
      </c>
      <c r="B357" s="820">
        <v>42776</v>
      </c>
      <c r="C357" s="845">
        <v>2316.1</v>
      </c>
      <c r="D357" s="817">
        <f t="shared" si="167"/>
        <v>3.566058746809837E-3</v>
      </c>
      <c r="E357" s="844">
        <f t="shared" si="170"/>
        <v>0.10162477882840883</v>
      </c>
      <c r="F357" s="841">
        <v>5734.12</v>
      </c>
      <c r="G357" s="817">
        <f t="shared" si="161"/>
        <v>3.3139813619167896E-3</v>
      </c>
      <c r="H357" s="822">
        <f t="shared" si="171"/>
        <v>0.12617004143999058</v>
      </c>
      <c r="I357" s="824">
        <v>324003.01</v>
      </c>
      <c r="J357" s="825">
        <v>300000</v>
      </c>
      <c r="K357" s="825">
        <f t="shared" si="172"/>
        <v>3185.8800000000047</v>
      </c>
      <c r="L357" s="817">
        <f t="shared" si="155"/>
        <v>9.9305171142201939E-3</v>
      </c>
      <c r="M357" s="842">
        <f t="shared" si="163"/>
        <v>24003.010000000009</v>
      </c>
      <c r="N357" s="827">
        <f t="shared" si="169"/>
        <v>8.0010033333333369E-2</v>
      </c>
      <c r="O357" s="811">
        <f t="shared" si="159"/>
        <v>5.3818903637200759E-2</v>
      </c>
      <c r="P357" s="842" t="b">
        <f t="shared" si="173"/>
        <v>1</v>
      </c>
      <c r="Q357" s="827">
        <f>COUNTIF(P$2:P357, TRUE)/(COUNTIF(P$2:P357,FALSE) + COUNTIF(P$2:P357, TRUE))</f>
        <v>0.49157303370786515</v>
      </c>
      <c r="R357" s="825">
        <v>304805.15000000002</v>
      </c>
      <c r="S357" s="825">
        <f t="shared" si="160"/>
        <v>19197.859999999986</v>
      </c>
      <c r="T357" s="825">
        <v>-29099</v>
      </c>
      <c r="U357" s="825">
        <f t="shared" si="168"/>
        <v>53102.010000000009</v>
      </c>
      <c r="V357" s="827">
        <f>STDEV(D$2:D357)*SQRT(252)</f>
        <v>0.15963944268127239</v>
      </c>
      <c r="W357" s="827">
        <f>STDEV(L$2:L357)*SQRT(252)</f>
        <v>0.34655330158164083</v>
      </c>
      <c r="X357" s="826">
        <f t="shared" si="164"/>
        <v>0.42820309844987747</v>
      </c>
      <c r="Y357" s="826">
        <f t="shared" si="165"/>
        <v>0.15529762201536013</v>
      </c>
      <c r="Z357" s="832">
        <f t="shared" si="166"/>
        <v>-2.1614745495075458E-2</v>
      </c>
    </row>
    <row r="358" spans="1:26" ht="20.100000000000001" customHeight="1" x14ac:dyDescent="0.2">
      <c r="A358" s="801">
        <f t="shared" si="154"/>
        <v>546</v>
      </c>
      <c r="B358" s="849">
        <v>42779</v>
      </c>
      <c r="C358" s="860">
        <v>2328.25</v>
      </c>
      <c r="D358" s="817">
        <f t="shared" si="167"/>
        <v>5.2458874832693285E-3</v>
      </c>
      <c r="E358" s="851">
        <f t="shared" si="170"/>
        <v>0.10740377846692412</v>
      </c>
      <c r="F358" s="852">
        <v>5763.95</v>
      </c>
      <c r="G358" s="817">
        <f t="shared" si="161"/>
        <v>5.2021931874463613E-3</v>
      </c>
      <c r="H358" s="853">
        <f t="shared" si="171"/>
        <v>0.1320285955574759</v>
      </c>
      <c r="I358" s="862">
        <v>323021.71000000002</v>
      </c>
      <c r="J358" s="855">
        <v>300000</v>
      </c>
      <c r="K358" s="855">
        <f t="shared" si="172"/>
        <v>-981.29999999998836</v>
      </c>
      <c r="L358" s="817">
        <f t="shared" si="155"/>
        <v>-3.0286755669337402E-3</v>
      </c>
      <c r="M358" s="864">
        <f t="shared" si="163"/>
        <v>23021.710000000021</v>
      </c>
      <c r="N358" s="857">
        <f t="shared" si="169"/>
        <v>7.6739033333333401E-2</v>
      </c>
      <c r="O358" s="811">
        <f t="shared" si="159"/>
        <v>5.1335040155677705E-2</v>
      </c>
      <c r="P358" s="856" t="b">
        <f t="shared" si="173"/>
        <v>0</v>
      </c>
      <c r="Q358" s="857">
        <f>COUNTIF(P$2:P358, TRUE)/(COUNTIF(P$2:P358,FALSE) + COUNTIF(P$2:P358, TRUE))</f>
        <v>0.49019607843137253</v>
      </c>
      <c r="R358" s="855">
        <v>303829.84999999998</v>
      </c>
      <c r="S358" s="855">
        <f t="shared" si="160"/>
        <v>19191.860000000044</v>
      </c>
      <c r="T358" s="855">
        <v>-28482</v>
      </c>
      <c r="U358" s="855">
        <f t="shared" si="168"/>
        <v>51503.710000000021</v>
      </c>
      <c r="V358" s="857">
        <f>STDEV(D$2:D358)*SQRT(252)</f>
        <v>0.15946823741298166</v>
      </c>
      <c r="W358" s="857">
        <f>STDEV(L$2:L358)*SQRT(252)</f>
        <v>0.34607892866590223</v>
      </c>
      <c r="X358" s="826">
        <f t="shared" si="164"/>
        <v>0.45054995223340955</v>
      </c>
      <c r="Y358" s="826">
        <f t="shared" si="165"/>
        <v>0.14833333064676568</v>
      </c>
      <c r="Z358" s="832">
        <f t="shared" si="166"/>
        <v>-3.0664745133590715E-2</v>
      </c>
    </row>
    <row r="359" spans="1:26" ht="20.100000000000001" customHeight="1" x14ac:dyDescent="0.2">
      <c r="A359" s="801">
        <f t="shared" si="154"/>
        <v>547</v>
      </c>
      <c r="B359" s="849">
        <v>42780</v>
      </c>
      <c r="C359" s="860">
        <v>2337.58</v>
      </c>
      <c r="D359" s="817">
        <f t="shared" si="167"/>
        <v>4.0073016213894247E-3</v>
      </c>
      <c r="E359" s="851">
        <f t="shared" si="170"/>
        <v>0.1118414794239074</v>
      </c>
      <c r="F359" s="852">
        <v>5782.57</v>
      </c>
      <c r="G359" s="817">
        <f>(F359-F358)/F358</f>
        <v>3.2304235810511699E-3</v>
      </c>
      <c r="H359" s="853">
        <f t="shared" si="171"/>
        <v>0.135685527426989</v>
      </c>
      <c r="I359" s="862">
        <v>323822.24</v>
      </c>
      <c r="J359" s="855">
        <v>300000</v>
      </c>
      <c r="K359" s="855">
        <f t="shared" si="172"/>
        <v>800.52999999996973</v>
      </c>
      <c r="L359" s="817">
        <f t="shared" si="155"/>
        <v>2.4782544801709139E-3</v>
      </c>
      <c r="M359" s="864">
        <f t="shared" si="163"/>
        <v>23822.239999999991</v>
      </c>
      <c r="N359" s="857">
        <f t="shared" si="169"/>
        <v>7.9407466666666635E-2</v>
      </c>
      <c r="O359" s="811">
        <f t="shared" si="159"/>
        <v>5.3022993053016436E-2</v>
      </c>
      <c r="P359" s="856" t="b">
        <f t="shared" si="173"/>
        <v>0</v>
      </c>
      <c r="Q359" s="857">
        <f>COUNTIF(P$2:P359, TRUE)/(COUNTIF(P$2:P359,FALSE) + COUNTIF(P$2:P359, TRUE))</f>
        <v>0.48882681564245811</v>
      </c>
      <c r="R359" s="855">
        <v>305870.8</v>
      </c>
      <c r="S359" s="855">
        <f t="shared" si="160"/>
        <v>17951.440000000002</v>
      </c>
      <c r="T359" s="855">
        <v>-29398</v>
      </c>
      <c r="U359" s="855">
        <f t="shared" si="168"/>
        <v>53220.239999999991</v>
      </c>
      <c r="V359" s="857">
        <f>STDEV(D$2:D359)*SQRT(252)</f>
        <v>0.15927396470902513</v>
      </c>
      <c r="W359" s="857">
        <f>STDEV(L$2:L359)*SQRT(252)</f>
        <v>0.34559585796203202</v>
      </c>
      <c r="X359" s="826">
        <f t="shared" si="164"/>
        <v>0.46887924674508236</v>
      </c>
      <c r="Y359" s="826">
        <f t="shared" si="165"/>
        <v>0.15342485111277482</v>
      </c>
      <c r="Z359" s="832">
        <f t="shared" si="166"/>
        <v>-3.2434012757240768E-2</v>
      </c>
    </row>
    <row r="360" spans="1:26" ht="20.100000000000001" customHeight="1" x14ac:dyDescent="0.2">
      <c r="A360" s="801">
        <f t="shared" si="154"/>
        <v>548</v>
      </c>
      <c r="B360" s="849">
        <v>42781</v>
      </c>
      <c r="C360" s="860">
        <v>2349.25</v>
      </c>
      <c r="D360" s="817">
        <f t="shared" si="167"/>
        <v>4.9923425080639263E-3</v>
      </c>
      <c r="E360" s="851">
        <f t="shared" si="170"/>
        <v>0.11739217290386406</v>
      </c>
      <c r="F360" s="852">
        <v>5819.44</v>
      </c>
      <c r="G360" s="817">
        <f t="shared" ref="G360:G367" si="174">(F360-F359)/F359</f>
        <v>6.376057704446274E-3</v>
      </c>
      <c r="H360" s="853">
        <f t="shared" si="171"/>
        <v>0.14292672388396799</v>
      </c>
      <c r="I360" s="862">
        <v>324896.15000000002</v>
      </c>
      <c r="J360" s="855">
        <v>300000</v>
      </c>
      <c r="K360" s="855">
        <f t="shared" si="172"/>
        <v>1073.9100000000326</v>
      </c>
      <c r="L360" s="817">
        <f t="shared" si="155"/>
        <v>3.3163565294342741E-3</v>
      </c>
      <c r="M360" s="864">
        <f t="shared" si="163"/>
        <v>24896.150000000023</v>
      </c>
      <c r="N360" s="857">
        <f t="shared" si="169"/>
        <v>8.2987166666666751E-2</v>
      </c>
      <c r="O360" s="811">
        <f t="shared" si="159"/>
        <v>5.5312158074817569E-2</v>
      </c>
      <c r="P360" s="856" t="b">
        <f t="shared" si="173"/>
        <v>0</v>
      </c>
      <c r="Q360" s="857">
        <f>COUNTIF(P$2:P360, TRUE)/(COUNTIF(P$2:P360,FALSE) + COUNTIF(P$2:P360, TRUE))</f>
        <v>0.48746518105849584</v>
      </c>
      <c r="R360" s="855">
        <v>284558.05</v>
      </c>
      <c r="S360" s="855">
        <f t="shared" si="160"/>
        <v>40338.100000000035</v>
      </c>
      <c r="T360" s="855">
        <v>-27681</v>
      </c>
      <c r="U360" s="855">
        <f t="shared" si="168"/>
        <v>52577.150000000023</v>
      </c>
      <c r="V360" s="857">
        <f>STDEV(D$2:D360)*SQRT(252)</f>
        <v>0.15909847799191273</v>
      </c>
      <c r="W360" s="857">
        <f>STDEV(L$2:L360)*SQRT(252)</f>
        <v>0.34511860211054446</v>
      </c>
      <c r="X360" s="826">
        <f t="shared" si="164"/>
        <v>0.49179349785327053</v>
      </c>
      <c r="Y360" s="826">
        <f t="shared" si="165"/>
        <v>0.16026999917292378</v>
      </c>
      <c r="Z360" s="832">
        <f t="shared" si="166"/>
        <v>-3.4405006237197305E-2</v>
      </c>
    </row>
    <row r="361" spans="1:26" ht="20.100000000000001" customHeight="1" x14ac:dyDescent="0.2">
      <c r="A361" s="801">
        <f t="shared" si="154"/>
        <v>549</v>
      </c>
      <c r="B361" s="849">
        <v>42782</v>
      </c>
      <c r="C361" s="860">
        <v>2347.2199999999998</v>
      </c>
      <c r="D361" s="817">
        <f t="shared" si="167"/>
        <v>-8.6410556560612964E-4</v>
      </c>
      <c r="E361" s="851">
        <f t="shared" si="170"/>
        <v>0.1164266281082931</v>
      </c>
      <c r="F361" s="852">
        <v>5814.9</v>
      </c>
      <c r="G361" s="817">
        <f t="shared" si="174"/>
        <v>-7.8014379390456195E-4</v>
      </c>
      <c r="H361" s="853">
        <f t="shared" si="171"/>
        <v>0.14203507669344223</v>
      </c>
      <c r="I361" s="862">
        <v>324092.39</v>
      </c>
      <c r="J361" s="855">
        <v>300000</v>
      </c>
      <c r="K361" s="855">
        <f t="shared" si="172"/>
        <v>-803.76000000000931</v>
      </c>
      <c r="L361" s="817">
        <f t="shared" si="155"/>
        <v>-2.4738981979318909E-3</v>
      </c>
      <c r="M361" s="864">
        <f t="shared" si="163"/>
        <v>24092.390000000014</v>
      </c>
      <c r="N361" s="857">
        <f t="shared" si="169"/>
        <v>8.0307966666666716E-2</v>
      </c>
      <c r="O361" s="811">
        <f t="shared" si="159"/>
        <v>5.3428934107468157E-2</v>
      </c>
      <c r="P361" s="856" t="b">
        <f t="shared" si="173"/>
        <v>0</v>
      </c>
      <c r="Q361" s="857">
        <f>COUNTIF(P$2:P361, TRUE)/(COUNTIF(P$2:P361,FALSE) + COUNTIF(P$2:P361, TRUE))</f>
        <v>0.4861111111111111</v>
      </c>
      <c r="R361" s="855">
        <v>276682.59999999998</v>
      </c>
      <c r="S361" s="855">
        <f t="shared" si="160"/>
        <v>47409.790000000037</v>
      </c>
      <c r="T361" s="855">
        <v>-27918</v>
      </c>
      <c r="U361" s="855">
        <f t="shared" si="168"/>
        <v>52010.390000000014</v>
      </c>
      <c r="V361" s="857">
        <f>STDEV(D$2:D361)*SQRT(252)</f>
        <v>0.15887942855924012</v>
      </c>
      <c r="W361" s="857">
        <f>STDEV(L$2:L361)*SQRT(252)</f>
        <v>0.34464640532598995</v>
      </c>
      <c r="X361" s="826">
        <f t="shared" si="164"/>
        <v>0.48753133117340131</v>
      </c>
      <c r="Y361" s="826">
        <f t="shared" si="165"/>
        <v>0.15502536304399125</v>
      </c>
      <c r="Z361" s="832">
        <f t="shared" si="166"/>
        <v>-3.6118661441626385E-2</v>
      </c>
    </row>
    <row r="362" spans="1:26" ht="20.100000000000001" customHeight="1" x14ac:dyDescent="0.2">
      <c r="A362" s="801">
        <f t="shared" si="154"/>
        <v>550</v>
      </c>
      <c r="B362" s="849">
        <v>42783</v>
      </c>
      <c r="C362" s="860">
        <v>2351.16</v>
      </c>
      <c r="D362" s="817">
        <f t="shared" si="167"/>
        <v>1.6785814708463864E-3</v>
      </c>
      <c r="E362" s="851">
        <f t="shared" ref="E362:E425" si="175">(C362-$C$2)/$C$2</f>
        <v>0.11830064115979519</v>
      </c>
      <c r="F362" s="852">
        <v>5838.57</v>
      </c>
      <c r="G362" s="817">
        <f t="shared" si="174"/>
        <v>4.0705773100139422E-3</v>
      </c>
      <c r="H362" s="853">
        <f t="shared" ref="H362:H393" si="176">(F362-F$2)/F$2</f>
        <v>0.1466838187638706</v>
      </c>
      <c r="I362" s="862">
        <v>324795.14</v>
      </c>
      <c r="J362" s="855">
        <v>300000</v>
      </c>
      <c r="K362" s="855">
        <f t="shared" ref="K362:K393" si="177">I362-I361-J362+J361</f>
        <v>702.75</v>
      </c>
      <c r="L362" s="817">
        <f t="shared" si="155"/>
        <v>2.1683631633559798E-3</v>
      </c>
      <c r="M362" s="864">
        <f t="shared" ref="M362:M425" si="178">I362-J362</f>
        <v>24795.140000000014</v>
      </c>
      <c r="N362" s="857">
        <f t="shared" ref="N362:N378" si="179">M362/J362</f>
        <v>8.2650466666666714E-2</v>
      </c>
      <c r="O362" s="811">
        <f t="shared" si="159"/>
        <v>5.4887423545454575E-2</v>
      </c>
      <c r="P362" s="856" t="b">
        <f t="shared" ref="P362:P425" si="180">L362&gt;D362</f>
        <v>1</v>
      </c>
      <c r="Q362" s="857">
        <f>COUNTIF(P$2:P362, TRUE)/(COUNTIF(P$2:P362,FALSE) + COUNTIF(P$2:P362, TRUE))</f>
        <v>0.48753462603878117</v>
      </c>
      <c r="R362" s="855">
        <v>278866.34999999998</v>
      </c>
      <c r="S362" s="855">
        <f t="shared" ref="S362:S393" si="181">I362-R362</f>
        <v>45928.790000000037</v>
      </c>
      <c r="T362" s="855">
        <v>-28366</v>
      </c>
      <c r="U362" s="855">
        <f t="shared" ref="U362:U393" si="182">M362-T362</f>
        <v>53161.140000000014</v>
      </c>
      <c r="V362" s="857">
        <f>STDEV(D$2:D362)*SQRT(252)</f>
        <v>0.15866184861852722</v>
      </c>
      <c r="W362" s="857">
        <f>STDEV(L$2:L362)*SQRT(252)</f>
        <v>0.34416833184520351</v>
      </c>
      <c r="X362" s="826">
        <f t="shared" si="164"/>
        <v>0.49515608835955494</v>
      </c>
      <c r="Y362" s="826">
        <f t="shared" si="165"/>
        <v>0.15947842513918822</v>
      </c>
      <c r="Z362" s="832">
        <f t="shared" si="166"/>
        <v>-3.5650174493128475E-2</v>
      </c>
    </row>
    <row r="363" spans="1:26" ht="20.100000000000001" customHeight="1" x14ac:dyDescent="0.2">
      <c r="A363" s="801">
        <f t="shared" si="154"/>
        <v>554</v>
      </c>
      <c r="B363" s="820">
        <v>42787</v>
      </c>
      <c r="C363" s="845">
        <v>2365.38</v>
      </c>
      <c r="D363" s="817">
        <f t="shared" si="167"/>
        <v>6.048078395345385E-3</v>
      </c>
      <c r="E363" s="844">
        <f t="shared" si="175"/>
        <v>0.12506421110709465</v>
      </c>
      <c r="F363" s="841">
        <v>5865.94</v>
      </c>
      <c r="G363" s="817">
        <f t="shared" si="174"/>
        <v>4.6877917024202662E-3</v>
      </c>
      <c r="H363" s="822">
        <f t="shared" si="176"/>
        <v>0.15205923365477145</v>
      </c>
      <c r="I363" s="824">
        <v>327591.99</v>
      </c>
      <c r="J363" s="825">
        <v>300000</v>
      </c>
      <c r="K363" s="825">
        <f t="shared" si="177"/>
        <v>2796.8499999999767</v>
      </c>
      <c r="L363" s="817">
        <f t="shared" si="155"/>
        <v>8.6111202279688555E-3</v>
      </c>
      <c r="M363" s="842">
        <f t="shared" si="178"/>
        <v>27591.989999999991</v>
      </c>
      <c r="N363" s="827">
        <f t="shared" si="179"/>
        <v>9.1973299999999966E-2</v>
      </c>
      <c r="O363" s="811">
        <f t="shared" si="159"/>
        <v>6.0637631453068573E-2</v>
      </c>
      <c r="P363" s="842" t="b">
        <f t="shared" si="180"/>
        <v>1</v>
      </c>
      <c r="Q363" s="827">
        <f>COUNTIF(P$2:P363, TRUE)/(COUNTIF(P$2:P363,FALSE) + COUNTIF(P$2:P363, TRUE))</f>
        <v>0.4889502762430939</v>
      </c>
      <c r="R363" s="825">
        <v>277216.90000000002</v>
      </c>
      <c r="S363" s="825">
        <f t="shared" si="181"/>
        <v>50375.089999999967</v>
      </c>
      <c r="T363" s="825">
        <v>-27825</v>
      </c>
      <c r="U363" s="825">
        <f t="shared" si="182"/>
        <v>55416.989999999991</v>
      </c>
      <c r="V363" s="827">
        <f>STDEV(D$2:D363)*SQRT(252)</f>
        <v>0.15851258059839493</v>
      </c>
      <c r="W363" s="827">
        <f>STDEV(L$2:L363)*SQRT(252)</f>
        <v>0.34375388760818432</v>
      </c>
      <c r="X363" s="826">
        <f t="shared" si="164"/>
        <v>0.52017535407445614</v>
      </c>
      <c r="Y363" s="826">
        <f t="shared" si="165"/>
        <v>0.17639838744801115</v>
      </c>
      <c r="Z363" s="832">
        <f t="shared" si="166"/>
        <v>-3.3090911107094681E-2</v>
      </c>
    </row>
    <row r="364" spans="1:26" ht="20.100000000000001" customHeight="1" x14ac:dyDescent="0.2">
      <c r="A364" s="801">
        <f t="shared" si="154"/>
        <v>555</v>
      </c>
      <c r="B364" s="820">
        <v>42788</v>
      </c>
      <c r="C364" s="845">
        <v>2362.8200000000002</v>
      </c>
      <c r="D364" s="817">
        <f>(C364-C363)/C363</f>
        <v>-1.0822785345271986E-3</v>
      </c>
      <c r="E364" s="844">
        <f t="shared" si="175"/>
        <v>0.12384657826144865</v>
      </c>
      <c r="F364" s="841">
        <v>5860.62</v>
      </c>
      <c r="G364" s="817">
        <f t="shared" si="174"/>
        <v>-9.069305175299627E-4</v>
      </c>
      <c r="H364" s="822">
        <f t="shared" si="176"/>
        <v>0.15101439597776775</v>
      </c>
      <c r="I364" s="824">
        <v>323529.21999999997</v>
      </c>
      <c r="J364" s="825">
        <v>300000</v>
      </c>
      <c r="K364" s="825">
        <f t="shared" si="177"/>
        <v>-4062.7700000000186</v>
      </c>
      <c r="L364" s="817">
        <f t="shared" si="155"/>
        <v>-1.2401921060402053E-2</v>
      </c>
      <c r="M364" s="842">
        <f t="shared" si="178"/>
        <v>23529.219999999972</v>
      </c>
      <c r="N364" s="827">
        <f t="shared" si="179"/>
        <v>7.8430733333333238E-2</v>
      </c>
      <c r="O364" s="811">
        <f t="shared" si="159"/>
        <v>5.1615901531531463E-2</v>
      </c>
      <c r="P364" s="842" t="b">
        <f t="shared" si="180"/>
        <v>0</v>
      </c>
      <c r="Q364" s="827">
        <f>COUNTIF(P$2:P364, TRUE)/(COUNTIF(P$2:P364,FALSE) + COUNTIF(P$2:P364, TRUE))</f>
        <v>0.48760330578512395</v>
      </c>
      <c r="R364" s="825">
        <v>282939</v>
      </c>
      <c r="S364" s="825">
        <f t="shared" si="181"/>
        <v>40590.219999999972</v>
      </c>
      <c r="T364" s="825">
        <v>-27755</v>
      </c>
      <c r="U364" s="825">
        <f t="shared" si="182"/>
        <v>51284.219999999972</v>
      </c>
      <c r="V364" s="827">
        <f>STDEV(D$2:D364)*SQRT(252)</f>
        <v>0.15829755838348511</v>
      </c>
      <c r="W364" s="827">
        <f>STDEV(L$2:L364)*SQRT(252)</f>
        <v>0.34345146520795911</v>
      </c>
      <c r="X364" s="826">
        <f t="shared" si="164"/>
        <v>0.51488120314436836</v>
      </c>
      <c r="Y364" s="826">
        <f t="shared" si="165"/>
        <v>0.15028586790357162</v>
      </c>
      <c r="Z364" s="832">
        <f t="shared" si="166"/>
        <v>-4.5415844928115415E-2</v>
      </c>
    </row>
    <row r="365" spans="1:26" ht="20.100000000000001" customHeight="1" x14ac:dyDescent="0.2">
      <c r="A365" s="801">
        <f t="shared" si="154"/>
        <v>556</v>
      </c>
      <c r="B365" s="820">
        <v>42789</v>
      </c>
      <c r="C365" s="845">
        <v>2363.81</v>
      </c>
      <c r="D365" s="817">
        <f>(C365-C364)/C364</f>
        <v>4.1899086684545658E-4</v>
      </c>
      <c r="E365" s="844">
        <f t="shared" si="175"/>
        <v>0.12431745971347571</v>
      </c>
      <c r="F365" s="841">
        <v>5835.5</v>
      </c>
      <c r="G365" s="817">
        <f t="shared" si="174"/>
        <v>-4.2862359272568245E-3</v>
      </c>
      <c r="H365" s="822">
        <f t="shared" si="176"/>
        <v>0.14608087672093803</v>
      </c>
      <c r="I365" s="824">
        <v>324343.32</v>
      </c>
      <c r="J365" s="825">
        <v>300000</v>
      </c>
      <c r="K365" s="825">
        <f t="shared" si="177"/>
        <v>814.10000000003492</v>
      </c>
      <c r="L365" s="817">
        <f t="shared" si="155"/>
        <v>2.5163105823951077E-3</v>
      </c>
      <c r="M365" s="842">
        <f t="shared" si="178"/>
        <v>24343.320000000007</v>
      </c>
      <c r="N365" s="827">
        <f t="shared" si="179"/>
        <v>8.1144400000000019E-2</v>
      </c>
      <c r="O365" s="811">
        <f t="shared" si="159"/>
        <v>5.3305741187050372E-2</v>
      </c>
      <c r="P365" s="842" t="b">
        <f t="shared" si="180"/>
        <v>1</v>
      </c>
      <c r="Q365" s="827">
        <f>COUNTIF(P$2:P365, TRUE)/(COUNTIF(P$2:P365,FALSE) + COUNTIF(P$2:P365, TRUE))</f>
        <v>0.48901098901098899</v>
      </c>
      <c r="R365" s="825">
        <v>285337.09999999998</v>
      </c>
      <c r="S365" s="825">
        <f t="shared" si="181"/>
        <v>39006.22000000003</v>
      </c>
      <c r="T365" s="825">
        <v>-27553</v>
      </c>
      <c r="U365" s="825">
        <f t="shared" si="182"/>
        <v>51896.320000000007</v>
      </c>
      <c r="V365" s="827">
        <f>STDEV(D$2:D365)*SQRT(252)</f>
        <v>0.15807876897869375</v>
      </c>
      <c r="W365" s="827">
        <f>STDEV(L$2:L365)*SQRT(252)</f>
        <v>0.34298022830974206</v>
      </c>
      <c r="X365" s="826">
        <f t="shared" si="164"/>
        <v>0.51662333071126265</v>
      </c>
      <c r="Y365" s="826">
        <f t="shared" si="165"/>
        <v>0.15541928305823646</v>
      </c>
      <c r="Z365" s="832">
        <f t="shared" si="166"/>
        <v>-4.3173059713475695E-2</v>
      </c>
    </row>
    <row r="366" spans="1:26" ht="20.100000000000001" customHeight="1" x14ac:dyDescent="0.2">
      <c r="A366" s="801">
        <f t="shared" si="154"/>
        <v>557</v>
      </c>
      <c r="B366" s="820">
        <v>42790</v>
      </c>
      <c r="C366" s="845">
        <v>2367.34</v>
      </c>
      <c r="D366" s="817">
        <f>(C366-C365)/C365</f>
        <v>1.4933518345383937E-3</v>
      </c>
      <c r="E366" s="844">
        <f t="shared" si="175"/>
        <v>0.12599646125454239</v>
      </c>
      <c r="F366" s="841">
        <v>5845.3</v>
      </c>
      <c r="G366" s="817">
        <f t="shared" si="174"/>
        <v>1.6793762316854052E-3</v>
      </c>
      <c r="H366" s="822">
        <f t="shared" si="176"/>
        <v>0.14800557770489237</v>
      </c>
      <c r="I366" s="824">
        <v>322787.92</v>
      </c>
      <c r="J366" s="825">
        <v>300000</v>
      </c>
      <c r="K366" s="825">
        <f t="shared" si="177"/>
        <v>-1555.4000000000233</v>
      </c>
      <c r="L366" s="817">
        <f t="shared" si="155"/>
        <v>-4.7955357921353929E-3</v>
      </c>
      <c r="M366" s="842">
        <f t="shared" si="178"/>
        <v>22787.919999999984</v>
      </c>
      <c r="N366" s="827">
        <f t="shared" si="179"/>
        <v>7.5959733333333279E-2</v>
      </c>
      <c r="O366" s="811">
        <f t="shared" si="159"/>
        <v>4.9810220107719891E-2</v>
      </c>
      <c r="P366" s="842" t="b">
        <f t="shared" si="180"/>
        <v>0</v>
      </c>
      <c r="Q366" s="827">
        <f>COUNTIF(P$2:P366, TRUE)/(COUNTIF(P$2:P366,FALSE) + COUNTIF(P$2:P366, TRUE))</f>
        <v>0.48767123287671232</v>
      </c>
      <c r="R366" s="825">
        <v>281387.75</v>
      </c>
      <c r="S366" s="825">
        <f t="shared" si="181"/>
        <v>41400.169999999984</v>
      </c>
      <c r="T366" s="825">
        <v>-27481</v>
      </c>
      <c r="U366" s="825">
        <f t="shared" si="182"/>
        <v>50268.919999999984</v>
      </c>
      <c r="V366" s="827">
        <f>STDEV(D$2:D366)*SQRT(252)</f>
        <v>0.1578636357935907</v>
      </c>
      <c r="W366" s="827">
        <f>STDEV(L$2:L366)*SQRT(252)</f>
        <v>0.34253765890970073</v>
      </c>
      <c r="X366" s="826">
        <f t="shared" si="164"/>
        <v>0.52337295405118689</v>
      </c>
      <c r="Y366" s="826">
        <f t="shared" si="165"/>
        <v>0.1454153107318655</v>
      </c>
      <c r="Z366" s="832">
        <f t="shared" si="166"/>
        <v>-5.0036727921209112E-2</v>
      </c>
    </row>
    <row r="367" spans="1:26" ht="20.100000000000001" customHeight="1" x14ac:dyDescent="0.2">
      <c r="A367" s="801">
        <f t="shared" si="154"/>
        <v>560</v>
      </c>
      <c r="B367" s="849">
        <v>42793</v>
      </c>
      <c r="C367" s="860">
        <v>2369.75</v>
      </c>
      <c r="D367" s="817">
        <f>(C367-C366)/C366</f>
        <v>1.0180202252316332E-3</v>
      </c>
      <c r="E367" s="851">
        <f t="shared" si="175"/>
        <v>0.12714274842563875</v>
      </c>
      <c r="F367" s="852">
        <v>5861.89</v>
      </c>
      <c r="G367" s="817">
        <f t="shared" si="174"/>
        <v>2.8381776812139918E-3</v>
      </c>
      <c r="H367" s="853">
        <f t="shared" si="176"/>
        <v>0.15126382151344356</v>
      </c>
      <c r="I367" s="862">
        <v>323797.27</v>
      </c>
      <c r="J367" s="855">
        <v>300000</v>
      </c>
      <c r="K367" s="855">
        <f t="shared" si="177"/>
        <v>1009.3500000000349</v>
      </c>
      <c r="L367" s="817">
        <f t="shared" si="155"/>
        <v>3.126975755474477E-3</v>
      </c>
      <c r="M367" s="864">
        <f t="shared" si="178"/>
        <v>23797.270000000019</v>
      </c>
      <c r="N367" s="857">
        <f t="shared" si="179"/>
        <v>7.9324233333333397E-2</v>
      </c>
      <c r="O367" s="811">
        <f t="shared" si="159"/>
        <v>5.1737814687500043E-2</v>
      </c>
      <c r="P367" s="856" t="b">
        <f t="shared" si="180"/>
        <v>1</v>
      </c>
      <c r="Q367" s="857">
        <f>COUNTIF(P$2:P367, TRUE)/(COUNTIF(P$2:P367,FALSE) + COUNTIF(P$2:P367, TRUE))</f>
        <v>0.48907103825136611</v>
      </c>
      <c r="R367" s="855">
        <v>291059.09999999998</v>
      </c>
      <c r="S367" s="855">
        <f t="shared" si="181"/>
        <v>32738.170000000042</v>
      </c>
      <c r="T367" s="855">
        <v>-27481</v>
      </c>
      <c r="U367" s="855">
        <f t="shared" si="182"/>
        <v>51278.270000000019</v>
      </c>
      <c r="V367" s="857">
        <f>STDEV(D$2:D367)*SQRT(252)</f>
        <v>0.15764754565745331</v>
      </c>
      <c r="W367" s="857">
        <f>STDEV(L$2:L367)*SQRT(252)</f>
        <v>0.34207298681396164</v>
      </c>
      <c r="X367" s="826">
        <f t="shared" si="164"/>
        <v>0.52602523501754472</v>
      </c>
      <c r="Y367" s="826">
        <f t="shared" si="165"/>
        <v>0.15124788183183244</v>
      </c>
      <c r="Z367" s="832">
        <f t="shared" si="166"/>
        <v>-4.781851509230535E-2</v>
      </c>
    </row>
    <row r="368" spans="1:26" ht="20.100000000000001" customHeight="1" x14ac:dyDescent="0.2">
      <c r="A368" s="801">
        <f t="shared" si="154"/>
        <v>561</v>
      </c>
      <c r="B368" s="849">
        <v>42794</v>
      </c>
      <c r="C368" s="860">
        <v>2363.64</v>
      </c>
      <c r="D368" s="817">
        <f>(C368-C367)/C367</f>
        <v>-2.5783310475789123E-3</v>
      </c>
      <c r="E368" s="851">
        <f t="shared" si="175"/>
        <v>0.1242366012823195</v>
      </c>
      <c r="F368" s="852">
        <v>5825.43</v>
      </c>
      <c r="G368" s="817">
        <f>(F368-F367)/F367</f>
        <v>-6.2198369467867934E-3</v>
      </c>
      <c r="H368" s="853">
        <f t="shared" si="176"/>
        <v>0.14410314826089529</v>
      </c>
      <c r="I368" s="865">
        <v>320573.07</v>
      </c>
      <c r="J368" s="855">
        <v>300000</v>
      </c>
      <c r="K368" s="855">
        <f t="shared" si="177"/>
        <v>-3224.2000000000116</v>
      </c>
      <c r="L368" s="817">
        <f t="shared" si="155"/>
        <v>-9.9574650521297211E-3</v>
      </c>
      <c r="M368" s="859">
        <f t="shared" si="178"/>
        <v>20573.070000000007</v>
      </c>
      <c r="N368" s="857">
        <f t="shared" si="179"/>
        <v>6.8576900000000024E-2</v>
      </c>
      <c r="O368" s="811">
        <f t="shared" si="159"/>
        <v>4.4648329278074883E-2</v>
      </c>
      <c r="P368" s="856" t="b">
        <f t="shared" si="180"/>
        <v>0</v>
      </c>
      <c r="Q368" s="857">
        <f>COUNTIF(P$2:P368, TRUE)/(COUNTIF(P$2:P368,FALSE) + COUNTIF(P$2:P368, TRUE))</f>
        <v>0.4877384196185286</v>
      </c>
      <c r="R368" s="855">
        <v>291060.09999999998</v>
      </c>
      <c r="S368" s="855">
        <f t="shared" si="181"/>
        <v>29512.97000000003</v>
      </c>
      <c r="T368" s="855">
        <v>-28947</v>
      </c>
      <c r="U368" s="855">
        <f t="shared" si="182"/>
        <v>49520.070000000007</v>
      </c>
      <c r="V368" s="857">
        <f>STDEV(D$2:D368)*SQRT(252)</f>
        <v>0.15745054015923535</v>
      </c>
      <c r="W368" s="857">
        <f>STDEV(L$2:L368)*SQRT(252)</f>
        <v>0.34171768375155076</v>
      </c>
      <c r="X368" s="826">
        <f t="shared" si="164"/>
        <v>0.51372744813742488</v>
      </c>
      <c r="Y368" s="826">
        <f t="shared" si="165"/>
        <v>0.13065852720263929</v>
      </c>
      <c r="Z368" s="832">
        <f t="shared" si="166"/>
        <v>-5.5659701282319479E-2</v>
      </c>
    </row>
    <row r="369" spans="1:26" ht="20.100000000000001" customHeight="1" x14ac:dyDescent="0.2">
      <c r="A369" s="801">
        <f t="shared" si="154"/>
        <v>562</v>
      </c>
      <c r="B369" s="849">
        <v>42795</v>
      </c>
      <c r="C369" s="860">
        <v>2395.96</v>
      </c>
      <c r="D369" s="817">
        <f t="shared" ref="D369:D377" si="183">(C369-C368)/C368</f>
        <v>1.3673825117192197E-2</v>
      </c>
      <c r="E369" s="851">
        <f t="shared" si="175"/>
        <v>0.13960921595860046</v>
      </c>
      <c r="F369" s="852">
        <v>5904.02</v>
      </c>
      <c r="G369" s="817">
        <f t="shared" ref="G369:G382" si="184">(F369-F368)/F368</f>
        <v>1.3490849602518637E-2</v>
      </c>
      <c r="H369" s="853">
        <f t="shared" si="176"/>
        <v>0.1595380717638511</v>
      </c>
      <c r="I369" s="862">
        <v>325744.14</v>
      </c>
      <c r="J369" s="855">
        <v>300000</v>
      </c>
      <c r="K369" s="855">
        <f t="shared" si="177"/>
        <v>5171.070000000007</v>
      </c>
      <c r="L369" s="817">
        <f t="shared" si="155"/>
        <v>1.613070617566225E-2</v>
      </c>
      <c r="M369" s="864">
        <f t="shared" si="178"/>
        <v>25744.140000000014</v>
      </c>
      <c r="N369" s="857">
        <f t="shared" si="179"/>
        <v>8.5813800000000051E-2</v>
      </c>
      <c r="O369" s="811">
        <f t="shared" si="159"/>
        <v>5.5771335320284728E-2</v>
      </c>
      <c r="P369" s="856" t="b">
        <f t="shared" si="180"/>
        <v>1</v>
      </c>
      <c r="Q369" s="857">
        <f>COUNTIF(P$2:P369, TRUE)/(COUNTIF(P$2:P369,FALSE) + COUNTIF(P$2:P369, TRUE))</f>
        <v>0.4891304347826087</v>
      </c>
      <c r="R369" s="855">
        <v>291563.05</v>
      </c>
      <c r="S369" s="855">
        <f t="shared" si="181"/>
        <v>34181.090000000026</v>
      </c>
      <c r="T369" s="855">
        <v>-28845</v>
      </c>
      <c r="U369" s="855">
        <f t="shared" si="182"/>
        <v>54589.140000000014</v>
      </c>
      <c r="V369" s="857">
        <f>STDEV(D$2:D369)*SQRT(252)</f>
        <v>0.15762134629623176</v>
      </c>
      <c r="W369" s="857">
        <f>STDEV(L$2:L369)*SQRT(252)</f>
        <v>0.34149211977878058</v>
      </c>
      <c r="X369" s="826">
        <f t="shared" si="164"/>
        <v>0.57564265092505862</v>
      </c>
      <c r="Y369" s="826">
        <f t="shared" si="165"/>
        <v>0.16331660993059965</v>
      </c>
      <c r="Z369" s="832">
        <f t="shared" si="166"/>
        <v>-5.3795415958600407E-2</v>
      </c>
    </row>
    <row r="370" spans="1:26" ht="20.100000000000001" customHeight="1" x14ac:dyDescent="0.2">
      <c r="A370" s="801">
        <f t="shared" si="154"/>
        <v>563</v>
      </c>
      <c r="B370" s="849">
        <v>42796</v>
      </c>
      <c r="C370" s="860">
        <v>2381.92</v>
      </c>
      <c r="D370" s="817">
        <f t="shared" si="183"/>
        <v>-5.8598641045760208E-3</v>
      </c>
      <c r="E370" s="851">
        <f t="shared" si="175"/>
        <v>0.13293126082076065</v>
      </c>
      <c r="F370" s="852">
        <v>5861.22</v>
      </c>
      <c r="G370" s="817">
        <f t="shared" si="184"/>
        <v>-7.2492979359826317E-3</v>
      </c>
      <c r="H370" s="853">
        <f t="shared" si="176"/>
        <v>0.15113223481352014</v>
      </c>
      <c r="I370" s="862">
        <v>374005.77</v>
      </c>
      <c r="J370" s="855">
        <v>350000</v>
      </c>
      <c r="K370" s="855">
        <f t="shared" si="177"/>
        <v>-1738.3699999999953</v>
      </c>
      <c r="L370" s="817">
        <f t="shared" si="155"/>
        <v>-5.3366117345963471E-3</v>
      </c>
      <c r="M370" s="864">
        <f t="shared" si="178"/>
        <v>24005.770000000019</v>
      </c>
      <c r="N370" s="857">
        <f t="shared" si="179"/>
        <v>6.8587914285714341E-2</v>
      </c>
      <c r="O370" s="811">
        <f t="shared" si="159"/>
        <v>4.4496866239533146E-2</v>
      </c>
      <c r="P370" s="856" t="b">
        <f t="shared" si="180"/>
        <v>1</v>
      </c>
      <c r="Q370" s="857">
        <f>COUNTIF(P$2:P370, TRUE)/(COUNTIF(P$2:P370,FALSE) + COUNTIF(P$2:P370, TRUE))</f>
        <v>0.49051490514905149</v>
      </c>
      <c r="R370" s="855">
        <v>304393.15000000002</v>
      </c>
      <c r="S370" s="855">
        <f t="shared" si="181"/>
        <v>69612.62</v>
      </c>
      <c r="T370" s="855">
        <v>-27836</v>
      </c>
      <c r="U370" s="855">
        <f t="shared" si="182"/>
        <v>51841.770000000019</v>
      </c>
      <c r="V370" s="857">
        <f>STDEV(D$2:D370)*SQRT(252)</f>
        <v>0.15749181284138711</v>
      </c>
      <c r="W370" s="857">
        <f>STDEV(L$2:L370)*SQRT(252)</f>
        <v>0.34106282769709534</v>
      </c>
      <c r="X370" s="826">
        <f t="shared" si="164"/>
        <v>0.54758427960751621</v>
      </c>
      <c r="Y370" s="826">
        <f t="shared" si="165"/>
        <v>0.1304653061724208</v>
      </c>
      <c r="Z370" s="832">
        <f t="shared" si="166"/>
        <v>-6.4343346535046309E-2</v>
      </c>
    </row>
    <row r="371" spans="1:26" ht="20.100000000000001" customHeight="1" x14ac:dyDescent="0.2">
      <c r="A371" s="801">
        <f t="shared" si="154"/>
        <v>564</v>
      </c>
      <c r="B371" s="849">
        <v>42797</v>
      </c>
      <c r="C371" s="860">
        <v>2383.12</v>
      </c>
      <c r="D371" s="817">
        <f t="shared" si="183"/>
        <v>5.0379525760723201E-4</v>
      </c>
      <c r="E371" s="851">
        <f t="shared" si="175"/>
        <v>0.13350202621715712</v>
      </c>
      <c r="F371" s="852">
        <v>5870.75</v>
      </c>
      <c r="G371" s="817">
        <f t="shared" si="184"/>
        <v>1.6259413569188232E-3</v>
      </c>
      <c r="H371" s="853">
        <f t="shared" si="176"/>
        <v>0.15300390832138583</v>
      </c>
      <c r="I371" s="862">
        <v>372756.96</v>
      </c>
      <c r="J371" s="855">
        <v>350000</v>
      </c>
      <c r="K371" s="855">
        <f t="shared" si="177"/>
        <v>-1248.8099999999977</v>
      </c>
      <c r="L371" s="817">
        <f t="shared" si="155"/>
        <v>-3.3390126574785132E-3</v>
      </c>
      <c r="M371" s="864">
        <f t="shared" si="178"/>
        <v>22756.960000000021</v>
      </c>
      <c r="N371" s="857">
        <f t="shared" si="179"/>
        <v>6.5019885714285769E-2</v>
      </c>
      <c r="O371" s="811">
        <f t="shared" si="159"/>
        <v>4.2107293009118578E-2</v>
      </c>
      <c r="P371" s="856" t="b">
        <f t="shared" si="180"/>
        <v>0</v>
      </c>
      <c r="Q371" s="857">
        <f>COUNTIF(P$2:P371, TRUE)/(COUNTIF(P$2:P371,FALSE) + COUNTIF(P$2:P371, TRUE))</f>
        <v>0.48918918918918919</v>
      </c>
      <c r="R371" s="855">
        <v>303942.95</v>
      </c>
      <c r="S371" s="855">
        <f t="shared" si="181"/>
        <v>68814.010000000009</v>
      </c>
      <c r="T371" s="855">
        <v>-28592</v>
      </c>
      <c r="U371" s="855">
        <f t="shared" si="182"/>
        <v>51348.960000000021</v>
      </c>
      <c r="V371" s="857">
        <f>STDEV(D$2:D371)*SQRT(252)</f>
        <v>0.15727771285381495</v>
      </c>
      <c r="W371" s="857">
        <f>STDEV(L$2:L371)*SQRT(252)</f>
        <v>0.34061512766334867</v>
      </c>
      <c r="X371" s="826">
        <f t="shared" si="164"/>
        <v>0.54970766518701131</v>
      </c>
      <c r="Y371" s="826">
        <f t="shared" si="165"/>
        <v>0.12362132386185695</v>
      </c>
      <c r="Z371" s="832">
        <f t="shared" si="166"/>
        <v>-6.8482140502871353E-2</v>
      </c>
    </row>
    <row r="372" spans="1:26" ht="20.100000000000001" customHeight="1" x14ac:dyDescent="0.2">
      <c r="A372" s="801">
        <f t="shared" si="154"/>
        <v>567</v>
      </c>
      <c r="B372" s="820">
        <v>42800</v>
      </c>
      <c r="C372" s="845">
        <v>2375.31</v>
      </c>
      <c r="D372" s="817">
        <f t="shared" si="183"/>
        <v>-3.2772164221692344E-3</v>
      </c>
      <c r="E372" s="844">
        <f t="shared" si="175"/>
        <v>0.12978729476227616</v>
      </c>
      <c r="F372" s="841">
        <v>5849.17</v>
      </c>
      <c r="G372" s="817">
        <f t="shared" si="184"/>
        <v>-3.6758506153387431E-3</v>
      </c>
      <c r="H372" s="822">
        <f t="shared" si="176"/>
        <v>0.14876563819549468</v>
      </c>
      <c r="I372" s="824">
        <v>373390.96</v>
      </c>
      <c r="J372" s="825">
        <v>350000</v>
      </c>
      <c r="K372" s="825">
        <f t="shared" si="177"/>
        <v>634</v>
      </c>
      <c r="L372" s="817">
        <f t="shared" si="155"/>
        <v>1.7008401399131487E-3</v>
      </c>
      <c r="M372" s="842">
        <f t="shared" si="178"/>
        <v>23390.960000000021</v>
      </c>
      <c r="N372" s="827">
        <f t="shared" si="179"/>
        <v>6.6831314285714344E-2</v>
      </c>
      <c r="O372" s="811">
        <f t="shared" si="159"/>
        <v>4.3051388964474718E-2</v>
      </c>
      <c r="P372" s="842" t="b">
        <f t="shared" si="180"/>
        <v>1</v>
      </c>
      <c r="Q372" s="827">
        <f>COUNTIF(P$2:P372, TRUE)/(COUNTIF(P$2:P372,FALSE) + COUNTIF(P$2:P372, TRUE))</f>
        <v>0.49056603773584906</v>
      </c>
      <c r="R372" s="825">
        <v>304576.95</v>
      </c>
      <c r="S372" s="825">
        <f t="shared" si="181"/>
        <v>68814.010000000009</v>
      </c>
      <c r="T372" s="825">
        <v>-29562</v>
      </c>
      <c r="U372" s="825">
        <f t="shared" si="182"/>
        <v>52952.960000000021</v>
      </c>
      <c r="V372" s="827">
        <f>STDEV(D$2:D372)*SQRT(252)</f>
        <v>0.15709358659899947</v>
      </c>
      <c r="W372" s="827">
        <f>STDEV(L$2:L372)*SQRT(252)</f>
        <v>0.34015438804580067</v>
      </c>
      <c r="X372" s="826">
        <f t="shared" si="164"/>
        <v>0.53220737788152506</v>
      </c>
      <c r="Y372" s="826">
        <f t="shared" si="165"/>
        <v>0.12656426163368498</v>
      </c>
      <c r="Z372" s="832">
        <f t="shared" si="166"/>
        <v>-6.2955980476561813E-2</v>
      </c>
    </row>
    <row r="373" spans="1:26" ht="20.100000000000001" customHeight="1" x14ac:dyDescent="0.2">
      <c r="A373" s="801">
        <f t="shared" si="154"/>
        <v>568</v>
      </c>
      <c r="B373" s="820">
        <v>42801</v>
      </c>
      <c r="C373" s="845">
        <v>2368.39</v>
      </c>
      <c r="D373" s="817">
        <f t="shared" si="183"/>
        <v>-2.9133039476952789E-3</v>
      </c>
      <c r="E373" s="844">
        <f t="shared" si="175"/>
        <v>0.12649588097638925</v>
      </c>
      <c r="F373" s="841">
        <v>5833.92</v>
      </c>
      <c r="G373" s="817">
        <f t="shared" si="184"/>
        <v>-2.6072075183316609E-3</v>
      </c>
      <c r="H373" s="822">
        <f t="shared" si="176"/>
        <v>0.14577056778679032</v>
      </c>
      <c r="I373" s="824">
        <v>368594.91</v>
      </c>
      <c r="J373" s="825">
        <v>350000</v>
      </c>
      <c r="K373" s="825">
        <f t="shared" si="177"/>
        <v>-4796.0500000000466</v>
      </c>
      <c r="L373" s="817">
        <f t="shared" si="155"/>
        <v>-1.2844579847353686E-2</v>
      </c>
      <c r="M373" s="842">
        <f t="shared" si="178"/>
        <v>18594.909999999974</v>
      </c>
      <c r="N373" s="827">
        <f t="shared" si="179"/>
        <v>5.3128314285714212E-2</v>
      </c>
      <c r="O373" s="811">
        <f t="shared" si="159"/>
        <v>3.416393801559351E-2</v>
      </c>
      <c r="P373" s="842" t="b">
        <f t="shared" si="180"/>
        <v>0</v>
      </c>
      <c r="Q373" s="827">
        <f>COUNTIF(P$2:P373, TRUE)/(COUNTIF(P$2:P373,FALSE) + COUNTIF(P$2:P373, TRUE))</f>
        <v>0.489247311827957</v>
      </c>
      <c r="R373" s="825">
        <v>299780.90000000002</v>
      </c>
      <c r="S373" s="825">
        <f t="shared" si="181"/>
        <v>68814.009999999951</v>
      </c>
      <c r="T373" s="825">
        <v>-31802</v>
      </c>
      <c r="U373" s="825">
        <f t="shared" si="182"/>
        <v>50396.909999999974</v>
      </c>
      <c r="V373" s="827">
        <f>STDEV(D$2:D373)*SQRT(252)</f>
        <v>0.15690461195475305</v>
      </c>
      <c r="W373" s="827">
        <f>STDEV(L$2:L373)*SQRT(252)</f>
        <v>0.3398764241842348</v>
      </c>
      <c r="X373" s="826">
        <f t="shared" si="164"/>
        <v>0.51842097411187726</v>
      </c>
      <c r="Y373" s="826">
        <f t="shared" si="165"/>
        <v>0.10051870498988912</v>
      </c>
      <c r="Z373" s="832">
        <f t="shared" si="166"/>
        <v>-7.336756669067504E-2</v>
      </c>
    </row>
    <row r="374" spans="1:26" ht="20.100000000000001" customHeight="1" x14ac:dyDescent="0.2">
      <c r="A374" s="801">
        <f t="shared" si="154"/>
        <v>569</v>
      </c>
      <c r="B374" s="820">
        <v>42802</v>
      </c>
      <c r="C374" s="845">
        <v>2369.39</v>
      </c>
      <c r="D374" s="817">
        <f t="shared" si="183"/>
        <v>4.2222775809727285E-4</v>
      </c>
      <c r="E374" s="844">
        <f t="shared" si="175"/>
        <v>0.12697151880671972</v>
      </c>
      <c r="F374" s="841">
        <v>5834.92</v>
      </c>
      <c r="G374" s="817">
        <f t="shared" si="184"/>
        <v>1.7141133234600405E-4</v>
      </c>
      <c r="H374" s="822">
        <f t="shared" si="176"/>
        <v>0.1459669658463775</v>
      </c>
      <c r="I374" s="824">
        <v>359694.56</v>
      </c>
      <c r="J374" s="825">
        <v>350000</v>
      </c>
      <c r="K374" s="825">
        <f t="shared" si="177"/>
        <v>-8900.3499999999767</v>
      </c>
      <c r="L374" s="817">
        <f t="shared" si="155"/>
        <v>-2.4146698064821288E-2</v>
      </c>
      <c r="M374" s="842">
        <f t="shared" si="178"/>
        <v>9694.5599999999977</v>
      </c>
      <c r="N374" s="827">
        <f t="shared" si="179"/>
        <v>2.7698742857142852E-2</v>
      </c>
      <c r="O374" s="811">
        <f t="shared" si="159"/>
        <v>1.7780256289229218E-2</v>
      </c>
      <c r="P374" s="842" t="b">
        <f t="shared" si="180"/>
        <v>0</v>
      </c>
      <c r="Q374" s="827">
        <f>COUNTIF(P$2:P374, TRUE)/(COUNTIF(P$2:P374,FALSE) + COUNTIF(P$2:P374, TRUE))</f>
        <v>0.48793565683646112</v>
      </c>
      <c r="R374" s="825">
        <v>301406.55</v>
      </c>
      <c r="S374" s="825">
        <f t="shared" si="181"/>
        <v>58288.010000000009</v>
      </c>
      <c r="T374" s="825">
        <v>-32022</v>
      </c>
      <c r="U374" s="825">
        <f t="shared" si="182"/>
        <v>41716.559999999998</v>
      </c>
      <c r="V374" s="827">
        <f>STDEV(D$2:D374)*SQRT(252)</f>
        <v>0.1566930134881471</v>
      </c>
      <c r="W374" s="827">
        <f>STDEV(L$2:L374)*SQRT(252)</f>
        <v>0.34002930219024635</v>
      </c>
      <c r="X374" s="826">
        <f t="shared" si="164"/>
        <v>0.52015723055959784</v>
      </c>
      <c r="Y374" s="826">
        <f t="shared" si="165"/>
        <v>5.2290364902966999E-2</v>
      </c>
      <c r="Z374" s="832">
        <f t="shared" si="166"/>
        <v>-9.9272775949576869E-2</v>
      </c>
    </row>
    <row r="375" spans="1:26" ht="20.100000000000001" customHeight="1" x14ac:dyDescent="0.2">
      <c r="A375" s="801">
        <f t="shared" si="154"/>
        <v>570</v>
      </c>
      <c r="B375" s="820">
        <v>42803</v>
      </c>
      <c r="C375" s="845">
        <v>2364.87</v>
      </c>
      <c r="D375" s="817">
        <f t="shared" si="183"/>
        <v>-1.9076639979066267E-3</v>
      </c>
      <c r="E375" s="844">
        <f t="shared" si="175"/>
        <v>0.12482163581362599</v>
      </c>
      <c r="F375" s="841">
        <v>5838.8</v>
      </c>
      <c r="G375" s="817">
        <f t="shared" si="184"/>
        <v>6.6496198748228067E-4</v>
      </c>
      <c r="H375" s="822">
        <f t="shared" si="176"/>
        <v>0.14672899031757575</v>
      </c>
      <c r="I375" s="824">
        <v>368952.54</v>
      </c>
      <c r="J375" s="825">
        <v>350000</v>
      </c>
      <c r="K375" s="825">
        <f t="shared" si="177"/>
        <v>9257.9799999999814</v>
      </c>
      <c r="L375" s="817">
        <f t="shared" si="155"/>
        <v>2.573844875496583E-2</v>
      </c>
      <c r="M375" s="842">
        <f t="shared" si="178"/>
        <v>18952.539999999979</v>
      </c>
      <c r="N375" s="827">
        <f t="shared" si="179"/>
        <v>5.4150114285714229E-2</v>
      </c>
      <c r="O375" s="811">
        <f t="shared" si="159"/>
        <v>3.4698823233082668E-2</v>
      </c>
      <c r="P375" s="842" t="b">
        <f t="shared" si="180"/>
        <v>1</v>
      </c>
      <c r="Q375" s="827">
        <f>COUNTIF(P$2:P375, TRUE)/(COUNTIF(P$2:P375,FALSE) + COUNTIF(P$2:P375, TRUE))</f>
        <v>0.48930481283422461</v>
      </c>
      <c r="R375" s="825">
        <v>279646.25</v>
      </c>
      <c r="S375" s="825">
        <f t="shared" si="181"/>
        <v>89306.289999999979</v>
      </c>
      <c r="T375" s="825">
        <v>-32329</v>
      </c>
      <c r="U375" s="825">
        <f t="shared" si="182"/>
        <v>51281.539999999979</v>
      </c>
      <c r="V375" s="827">
        <f>STDEV(D$2:D375)*SQRT(252)</f>
        <v>0.15649345994634845</v>
      </c>
      <c r="W375" s="827">
        <f>STDEV(L$2:L375)*SQRT(252)</f>
        <v>0.34020267972894408</v>
      </c>
      <c r="X375" s="826">
        <f t="shared" si="164"/>
        <v>0.5111037250044641</v>
      </c>
      <c r="Y375" s="826">
        <f t="shared" si="165"/>
        <v>0.10199456177337844</v>
      </c>
      <c r="Z375" s="832">
        <f t="shared" si="166"/>
        <v>-7.0671521527911757E-2</v>
      </c>
    </row>
    <row r="376" spans="1:26" ht="20.100000000000001" customHeight="1" x14ac:dyDescent="0.2">
      <c r="A376" s="801">
        <f t="shared" si="154"/>
        <v>571</v>
      </c>
      <c r="B376" s="820">
        <v>42804</v>
      </c>
      <c r="C376" s="845">
        <v>2372.6</v>
      </c>
      <c r="D376" s="817">
        <f t="shared" si="183"/>
        <v>3.2686786165835834E-3</v>
      </c>
      <c r="E376" s="844">
        <f t="shared" si="175"/>
        <v>0.12849831624208055</v>
      </c>
      <c r="F376" s="841">
        <v>5861.72</v>
      </c>
      <c r="G376" s="817">
        <f t="shared" si="184"/>
        <v>3.9254641364664094E-3</v>
      </c>
      <c r="H376" s="822">
        <f t="shared" si="176"/>
        <v>0.15123043384331372</v>
      </c>
      <c r="I376" s="824">
        <v>320075.84000000003</v>
      </c>
      <c r="J376" s="825">
        <v>300000</v>
      </c>
      <c r="K376" s="825">
        <f t="shared" si="177"/>
        <v>1123.3000000000466</v>
      </c>
      <c r="L376" s="817">
        <f t="shared" si="155"/>
        <v>3.0445650272526831E-3</v>
      </c>
      <c r="M376" s="842">
        <f t="shared" si="178"/>
        <v>20075.840000000026</v>
      </c>
      <c r="N376" s="827">
        <f t="shared" si="179"/>
        <v>6.6919466666666746E-2</v>
      </c>
      <c r="O376" s="811">
        <f t="shared" si="159"/>
        <v>4.2806191243432629E-2</v>
      </c>
      <c r="P376" s="842" t="b">
        <f t="shared" si="180"/>
        <v>0</v>
      </c>
      <c r="Q376" s="827">
        <f>COUNTIF(P$2:P376, TRUE)/(COUNTIF(P$2:P376,FALSE) + COUNTIF(P$2:P376, TRUE))</f>
        <v>0.48799999999999999</v>
      </c>
      <c r="R376" s="825">
        <v>269279.3</v>
      </c>
      <c r="S376" s="825">
        <f t="shared" si="181"/>
        <v>50796.540000000037</v>
      </c>
      <c r="T376" s="825">
        <v>-32569</v>
      </c>
      <c r="U376" s="825">
        <f t="shared" si="182"/>
        <v>52644.840000000026</v>
      </c>
      <c r="V376" s="827">
        <f>STDEV(D$2:D376)*SQRT(252)</f>
        <v>0.15630173237062933</v>
      </c>
      <c r="W376" s="827">
        <f>STDEV(L$2:L376)*SQRT(252)</f>
        <v>0.33975219328051109</v>
      </c>
      <c r="X376" s="826">
        <f t="shared" si="164"/>
        <v>0.52588134110730878</v>
      </c>
      <c r="Y376" s="826">
        <f t="shared" si="165"/>
        <v>0.12599239118992342</v>
      </c>
      <c r="Z376" s="832">
        <f t="shared" si="166"/>
        <v>-6.1578849575413805E-2</v>
      </c>
    </row>
    <row r="377" spans="1:26" ht="20.100000000000001" customHeight="1" x14ac:dyDescent="0.2">
      <c r="A377" s="801">
        <f t="shared" si="154"/>
        <v>574</v>
      </c>
      <c r="B377" s="849">
        <v>42807</v>
      </c>
      <c r="C377" s="860">
        <v>2373.4699999999998</v>
      </c>
      <c r="D377" s="817">
        <f t="shared" si="183"/>
        <v>3.6668633566546864E-4</v>
      </c>
      <c r="E377" s="851">
        <f t="shared" si="175"/>
        <v>0.12891212115446801</v>
      </c>
      <c r="F377" s="852">
        <v>5875.78</v>
      </c>
      <c r="G377" s="817">
        <f t="shared" si="184"/>
        <v>2.3986133762785478E-3</v>
      </c>
      <c r="H377" s="853">
        <f t="shared" si="176"/>
        <v>0.15399179056110926</v>
      </c>
      <c r="I377" s="862">
        <v>317453.64</v>
      </c>
      <c r="J377" s="855">
        <v>300000</v>
      </c>
      <c r="K377" s="855">
        <f t="shared" si="177"/>
        <v>-2622.2000000000116</v>
      </c>
      <c r="L377" s="817">
        <f t="shared" si="155"/>
        <v>-8.1924333932858265E-3</v>
      </c>
      <c r="M377" s="864">
        <f t="shared" si="178"/>
        <v>17453.640000000014</v>
      </c>
      <c r="N377" s="857">
        <f t="shared" si="179"/>
        <v>5.8178800000000044E-2</v>
      </c>
      <c r="O377" s="811">
        <f t="shared" si="159"/>
        <v>3.7020569163763097E-2</v>
      </c>
      <c r="P377" s="856" t="b">
        <f t="shared" si="180"/>
        <v>0</v>
      </c>
      <c r="Q377" s="857">
        <f>COUNTIF(P$2:P377, TRUE)/(COUNTIF(P$2:P377,FALSE) + COUNTIF(P$2:P377, TRUE))</f>
        <v>0.48670212765957449</v>
      </c>
      <c r="R377" s="855">
        <v>266657.09999999998</v>
      </c>
      <c r="S377" s="855">
        <f t="shared" si="181"/>
        <v>50796.540000000037</v>
      </c>
      <c r="T377" s="855">
        <v>-33037</v>
      </c>
      <c r="U377" s="855">
        <f t="shared" si="182"/>
        <v>50490.640000000014</v>
      </c>
      <c r="V377" s="857">
        <f>STDEV(D$2:D377)*SQRT(252)</f>
        <v>0.15609263301968265</v>
      </c>
      <c r="W377" s="857">
        <f>STDEV(L$2:L377)*SQRT(252)</f>
        <v>0.33937458902110801</v>
      </c>
      <c r="X377" s="826">
        <f t="shared" si="164"/>
        <v>0.52552052191473964</v>
      </c>
      <c r="Y377" s="826">
        <f t="shared" si="165"/>
        <v>0.10908468212232748</v>
      </c>
      <c r="Z377" s="832">
        <f t="shared" si="166"/>
        <v>-7.0733321154467968E-2</v>
      </c>
    </row>
    <row r="378" spans="1:26" ht="20.100000000000001" customHeight="1" x14ac:dyDescent="0.2">
      <c r="A378" s="801">
        <f t="shared" si="154"/>
        <v>575</v>
      </c>
      <c r="B378" s="849">
        <v>42808</v>
      </c>
      <c r="C378" s="860">
        <v>2365.4499999999998</v>
      </c>
      <c r="D378" s="817">
        <f t="shared" ref="D378:D413" si="185">(C378-C377)/C377</f>
        <v>-3.3790189048102494E-3</v>
      </c>
      <c r="E378" s="851">
        <f t="shared" si="175"/>
        <v>0.12509750575521764</v>
      </c>
      <c r="F378" s="852">
        <v>5856.81</v>
      </c>
      <c r="G378" s="817">
        <f t="shared" si="184"/>
        <v>-3.2285075343187366E-3</v>
      </c>
      <c r="H378" s="853">
        <f t="shared" si="176"/>
        <v>0.15026611937074075</v>
      </c>
      <c r="I378" s="862">
        <v>413367.17</v>
      </c>
      <c r="J378" s="855">
        <v>400000</v>
      </c>
      <c r="K378" s="855">
        <f t="shared" si="177"/>
        <v>-4086.4700000000303</v>
      </c>
      <c r="L378" s="817">
        <f t="shared" si="155"/>
        <v>-1.2872651263346769E-2</v>
      </c>
      <c r="M378" s="864">
        <f t="shared" si="178"/>
        <v>13367.169999999984</v>
      </c>
      <c r="N378" s="857">
        <f t="shared" si="179"/>
        <v>3.3417924999999959E-2</v>
      </c>
      <c r="O378" s="811">
        <f t="shared" si="159"/>
        <v>2.1227647141304321E-2</v>
      </c>
      <c r="P378" s="856" t="b">
        <f t="shared" si="180"/>
        <v>0</v>
      </c>
      <c r="Q378" s="857">
        <f>COUNTIF(P$2:P378, TRUE)/(COUNTIF(P$2:P378,FALSE) + COUNTIF(P$2:P378, TRUE))</f>
        <v>0.48541114058355439</v>
      </c>
      <c r="R378" s="855">
        <v>277189.8</v>
      </c>
      <c r="S378" s="855">
        <f t="shared" si="181"/>
        <v>136177.37</v>
      </c>
      <c r="T378" s="855">
        <v>-33401</v>
      </c>
      <c r="U378" s="855">
        <f t="shared" si="182"/>
        <v>46768.169999999984</v>
      </c>
      <c r="V378" s="857">
        <f>STDEV(D$2:D378)*SQRT(252)</f>
        <v>0.15591460635897464</v>
      </c>
      <c r="W378" s="857">
        <f>STDEV(L$2:L378)*SQRT(252)</f>
        <v>0.33910114383939616</v>
      </c>
      <c r="X378" s="826">
        <f t="shared" si="164"/>
        <v>0.50966431638581333</v>
      </c>
      <c r="Y378" s="826">
        <f t="shared" si="165"/>
        <v>6.2599750920799252E-2</v>
      </c>
      <c r="Z378" s="832">
        <f t="shared" si="166"/>
        <v>-9.1679580755217677E-2</v>
      </c>
    </row>
    <row r="379" spans="1:26" ht="20.100000000000001" customHeight="1" x14ac:dyDescent="0.2">
      <c r="A379" s="801">
        <f t="shared" si="154"/>
        <v>576</v>
      </c>
      <c r="B379" s="849">
        <v>42809</v>
      </c>
      <c r="C379" s="860">
        <v>2385.2600000000002</v>
      </c>
      <c r="D379" s="817">
        <f t="shared" si="185"/>
        <v>8.3747278530513867E-3</v>
      </c>
      <c r="E379" s="851">
        <f t="shared" si="175"/>
        <v>0.13451989117406449</v>
      </c>
      <c r="F379" s="852">
        <v>5900.04</v>
      </c>
      <c r="G379" s="817">
        <f t="shared" si="184"/>
        <v>7.3811511727373026E-3</v>
      </c>
      <c r="H379" s="853">
        <f t="shared" si="176"/>
        <v>0.15875640748669406</v>
      </c>
      <c r="I379" s="862">
        <v>417096.77</v>
      </c>
      <c r="J379" s="855">
        <v>400000</v>
      </c>
      <c r="K379" s="855">
        <f t="shared" si="177"/>
        <v>3729.6000000000349</v>
      </c>
      <c r="L379" s="817">
        <f t="shared" si="155"/>
        <v>9.0224871994552328E-3</v>
      </c>
      <c r="M379" s="864">
        <f t="shared" si="178"/>
        <v>17096.770000000019</v>
      </c>
      <c r="N379" s="857">
        <f t="shared" ref="N379:N384" si="186">M379/J379</f>
        <v>4.2741925000000049E-2</v>
      </c>
      <c r="O379" s="811">
        <f t="shared" si="159"/>
        <v>2.7103277962239613E-2</v>
      </c>
      <c r="P379" s="856" t="b">
        <f t="shared" si="180"/>
        <v>1</v>
      </c>
      <c r="Q379" s="857">
        <f>COUNTIF(P$2:P379, TRUE)/(COUNTIF(P$2:P379,FALSE) + COUNTIF(P$2:P379, TRUE))</f>
        <v>0.48677248677248675</v>
      </c>
      <c r="R379" s="855">
        <v>272622.8</v>
      </c>
      <c r="S379" s="855">
        <f t="shared" si="181"/>
        <v>144473.97000000003</v>
      </c>
      <c r="T379" s="855">
        <v>-33400</v>
      </c>
      <c r="U379" s="855">
        <f t="shared" si="182"/>
        <v>50496.770000000019</v>
      </c>
      <c r="V379" s="857">
        <f>STDEV(D$2:D379)*SQRT(252)</f>
        <v>0.15584490061103998</v>
      </c>
      <c r="W379" s="857">
        <f>STDEV(L$2:L379)*SQRT(252)</f>
        <v>0.33872055138052226</v>
      </c>
      <c r="X379" s="826">
        <f t="shared" si="164"/>
        <v>0.54734562637235606</v>
      </c>
      <c r="Y379" s="826">
        <f t="shared" si="165"/>
        <v>8.0016632742757623E-2</v>
      </c>
      <c r="Z379" s="832">
        <f t="shared" si="166"/>
        <v>-9.1777966174064446E-2</v>
      </c>
    </row>
    <row r="380" spans="1:26" ht="20.100000000000001" customHeight="1" x14ac:dyDescent="0.2">
      <c r="A380" s="801">
        <f t="shared" si="154"/>
        <v>577</v>
      </c>
      <c r="B380" s="849">
        <v>42810</v>
      </c>
      <c r="C380" s="860">
        <v>2381.38</v>
      </c>
      <c r="D380" s="817">
        <f t="shared" si="185"/>
        <v>-1.6266570520614562E-3</v>
      </c>
      <c r="E380" s="851">
        <f t="shared" si="175"/>
        <v>0.1326744163923822</v>
      </c>
      <c r="F380" s="852">
        <v>5900.76</v>
      </c>
      <c r="G380" s="817">
        <f t="shared" si="184"/>
        <v>1.2203307096227393E-4</v>
      </c>
      <c r="H380" s="853">
        <f t="shared" si="176"/>
        <v>0.15889781408959688</v>
      </c>
      <c r="I380" s="862">
        <v>418538.3</v>
      </c>
      <c r="J380" s="855">
        <v>400000</v>
      </c>
      <c r="K380" s="855">
        <f t="shared" si="177"/>
        <v>1441.5299999999697</v>
      </c>
      <c r="L380" s="817">
        <f t="shared" si="155"/>
        <v>3.4561044431007455E-3</v>
      </c>
      <c r="M380" s="864">
        <f t="shared" si="178"/>
        <v>18538.299999999988</v>
      </c>
      <c r="N380" s="857">
        <f t="shared" si="186"/>
        <v>4.634574999999997E-2</v>
      </c>
      <c r="O380" s="811">
        <f t="shared" si="159"/>
        <v>2.9337582647313672E-2</v>
      </c>
      <c r="P380" s="856" t="b">
        <f t="shared" si="180"/>
        <v>1</v>
      </c>
      <c r="Q380" s="857">
        <f>COUNTIF(P$2:P380, TRUE)/(COUNTIF(P$2:P380,FALSE) + COUNTIF(P$2:P380, TRUE))</f>
        <v>0.48812664907651715</v>
      </c>
      <c r="R380" s="855">
        <v>275894.34999999998</v>
      </c>
      <c r="S380" s="855">
        <f t="shared" si="181"/>
        <v>142643.95000000001</v>
      </c>
      <c r="T380" s="855">
        <v>-31087</v>
      </c>
      <c r="U380" s="855">
        <f t="shared" si="182"/>
        <v>49625.299999999988</v>
      </c>
      <c r="V380" s="857">
        <f>STDEV(D$2:D380)*SQRT(252)</f>
        <v>0.15564672021947359</v>
      </c>
      <c r="W380" s="857">
        <f>STDEV(L$2:L380)*SQRT(252)</f>
        <v>0.33827914909370027</v>
      </c>
      <c r="X380" s="826">
        <f t="shared" si="164"/>
        <v>0.53958718116849824</v>
      </c>
      <c r="Y380" s="826">
        <f t="shared" si="165"/>
        <v>8.6725956139813473E-2</v>
      </c>
      <c r="Z380" s="832">
        <f t="shared" si="166"/>
        <v>-8.6328666392382236E-2</v>
      </c>
    </row>
    <row r="381" spans="1:26" ht="20.100000000000001" customHeight="1" x14ac:dyDescent="0.2">
      <c r="A381" s="801">
        <f t="shared" si="154"/>
        <v>578</v>
      </c>
      <c r="B381" s="849">
        <v>42811</v>
      </c>
      <c r="C381" s="860">
        <v>2378.25</v>
      </c>
      <c r="D381" s="817">
        <f t="shared" si="185"/>
        <v>-1.3143639402363792E-3</v>
      </c>
      <c r="E381" s="851">
        <f t="shared" si="175"/>
        <v>0.13118566998344777</v>
      </c>
      <c r="F381" s="852">
        <v>5900.99</v>
      </c>
      <c r="G381" s="817">
        <f t="shared" si="184"/>
        <v>3.8978029948610593E-5</v>
      </c>
      <c r="H381" s="853">
        <f t="shared" si="176"/>
        <v>0.15894298564330184</v>
      </c>
      <c r="I381" s="862">
        <v>417260.19</v>
      </c>
      <c r="J381" s="855">
        <v>400000</v>
      </c>
      <c r="K381" s="855">
        <f t="shared" si="177"/>
        <v>-1278.109999999986</v>
      </c>
      <c r="L381" s="817">
        <f t="shared" si="155"/>
        <v>-3.0537468136129621E-3</v>
      </c>
      <c r="M381" s="864">
        <f t="shared" si="178"/>
        <v>17260.190000000002</v>
      </c>
      <c r="N381" s="857">
        <f t="shared" si="186"/>
        <v>4.3150475000000008E-2</v>
      </c>
      <c r="O381" s="811">
        <f t="shared" si="159"/>
        <v>2.7267666079152254E-2</v>
      </c>
      <c r="P381" s="856" t="b">
        <f t="shared" si="180"/>
        <v>0</v>
      </c>
      <c r="Q381" s="857">
        <f>COUNTIF(P$2:P381, TRUE)/(COUNTIF(P$2:P381,FALSE) + COUNTIF(P$2:P381, TRUE))</f>
        <v>0.48684210526315791</v>
      </c>
      <c r="R381" s="855">
        <v>272622.8</v>
      </c>
      <c r="S381" s="855">
        <f t="shared" si="181"/>
        <v>144637.39000000001</v>
      </c>
      <c r="T381" s="855">
        <v>-31412</v>
      </c>
      <c r="U381" s="855">
        <f t="shared" si="182"/>
        <v>48672.19</v>
      </c>
      <c r="V381" s="857">
        <f>STDEV(D$2:D381)*SQRT(252)</f>
        <v>0.15544682366475293</v>
      </c>
      <c r="W381" s="857">
        <f>STDEV(L$2:L381)*SQRT(252)</f>
        <v>0.33784447155709396</v>
      </c>
      <c r="X381" s="826">
        <f t="shared" si="164"/>
        <v>0.53329428735246553</v>
      </c>
      <c r="Y381" s="826">
        <f t="shared" si="165"/>
        <v>8.0710706774268351E-2</v>
      </c>
      <c r="Z381" s="832">
        <f t="shared" si="166"/>
        <v>-8.8035194983447765E-2</v>
      </c>
    </row>
    <row r="382" spans="1:26" ht="20.100000000000001" customHeight="1" x14ac:dyDescent="0.2">
      <c r="A382" s="801">
        <f t="shared" si="154"/>
        <v>581</v>
      </c>
      <c r="B382" s="820">
        <v>42814</v>
      </c>
      <c r="C382" s="845">
        <v>2373.4699999999998</v>
      </c>
      <c r="D382" s="817">
        <f t="shared" si="185"/>
        <v>-2.0098812151793126E-3</v>
      </c>
      <c r="E382" s="844">
        <f t="shared" si="175"/>
        <v>0.12891212115446801</v>
      </c>
      <c r="F382" s="841">
        <v>5901.52</v>
      </c>
      <c r="G382" s="817">
        <f t="shared" si="184"/>
        <v>8.9815437748692146E-5</v>
      </c>
      <c r="H382" s="822">
        <f t="shared" si="176"/>
        <v>0.15904707661488318</v>
      </c>
      <c r="I382" s="824">
        <v>416415.39</v>
      </c>
      <c r="J382" s="825">
        <v>400000</v>
      </c>
      <c r="K382" s="825">
        <f t="shared" si="177"/>
        <v>-844.79999999998836</v>
      </c>
      <c r="L382" s="817">
        <f t="shared" si="155"/>
        <v>-2.0246359951089231E-3</v>
      </c>
      <c r="M382" s="842">
        <f t="shared" si="178"/>
        <v>16415.390000000014</v>
      </c>
      <c r="N382" s="827">
        <f t="shared" si="186"/>
        <v>4.1038475000000033E-2</v>
      </c>
      <c r="O382" s="811">
        <f t="shared" si="159"/>
        <v>2.579914456755596E-2</v>
      </c>
      <c r="P382" s="842" t="b">
        <f t="shared" si="180"/>
        <v>0</v>
      </c>
      <c r="Q382" s="827">
        <f>COUNTIF(P$2:P382, TRUE)/(COUNTIF(P$2:P382,FALSE) + COUNTIF(P$2:P382, TRUE))</f>
        <v>0.48556430446194226</v>
      </c>
      <c r="R382" s="825">
        <v>273908</v>
      </c>
      <c r="S382" s="825">
        <f t="shared" si="181"/>
        <v>142507.39000000001</v>
      </c>
      <c r="T382" s="825">
        <v>-32614</v>
      </c>
      <c r="U382" s="825">
        <f t="shared" si="182"/>
        <v>49029.390000000014</v>
      </c>
      <c r="V382" s="827">
        <f>STDEV(D$2:D382)*SQRT(252)</f>
        <v>0.15525374064420308</v>
      </c>
      <c r="W382" s="827">
        <f>STDEV(L$2:L382)*SQRT(252)</f>
        <v>0.33740515012051464</v>
      </c>
      <c r="X382" s="826">
        <f t="shared" si="164"/>
        <v>0.52199431591339873</v>
      </c>
      <c r="Y382" s="826">
        <f t="shared" si="165"/>
        <v>7.646339884954631E-2</v>
      </c>
      <c r="Z382" s="832">
        <f t="shared" si="166"/>
        <v>-8.787364615446798E-2</v>
      </c>
    </row>
    <row r="383" spans="1:26" ht="20.100000000000001" customHeight="1" x14ac:dyDescent="0.2">
      <c r="A383" s="801">
        <f t="shared" si="154"/>
        <v>582</v>
      </c>
      <c r="B383" s="820">
        <v>42815</v>
      </c>
      <c r="C383" s="845">
        <v>2344.02</v>
      </c>
      <c r="D383" s="817">
        <f t="shared" si="185"/>
        <v>-1.240799335993285E-2</v>
      </c>
      <c r="E383" s="844">
        <f t="shared" si="175"/>
        <v>0.11490458705123567</v>
      </c>
      <c r="F383" s="841">
        <v>5793.82</v>
      </c>
      <c r="G383" s="817">
        <f t="shared" ref="G383:G388" si="187">(F383-F382)/F382</f>
        <v>-1.8249535712833425E-2</v>
      </c>
      <c r="H383" s="822">
        <f t="shared" si="176"/>
        <v>0.13789500559734469</v>
      </c>
      <c r="I383" s="824">
        <v>411936.49</v>
      </c>
      <c r="J383" s="825">
        <v>400000</v>
      </c>
      <c r="K383" s="825">
        <f t="shared" si="177"/>
        <v>-4478.9000000000233</v>
      </c>
      <c r="L383" s="817">
        <f t="shared" si="155"/>
        <v>-1.0755846463791895E-2</v>
      </c>
      <c r="M383" s="842">
        <f t="shared" si="178"/>
        <v>11936.489999999991</v>
      </c>
      <c r="N383" s="827">
        <f t="shared" si="186"/>
        <v>2.9841224999999978E-2</v>
      </c>
      <c r="O383" s="811">
        <f t="shared" si="159"/>
        <v>1.8727675998711325E-2</v>
      </c>
      <c r="P383" s="842" t="b">
        <f t="shared" si="180"/>
        <v>1</v>
      </c>
      <c r="Q383" s="827">
        <f>COUNTIF(P$2:P383, TRUE)/(COUNTIF(P$2:P383,FALSE) + COUNTIF(P$2:P383, TRUE))</f>
        <v>0.48691099476439792</v>
      </c>
      <c r="R383" s="825">
        <v>281359.3</v>
      </c>
      <c r="S383" s="825">
        <f t="shared" si="181"/>
        <v>130577.19</v>
      </c>
      <c r="T383" s="825">
        <v>-32572</v>
      </c>
      <c r="U383" s="825">
        <f t="shared" si="182"/>
        <v>44508.489999999991</v>
      </c>
      <c r="V383" s="827">
        <f>STDEV(D$2:D383)*SQRT(252)</f>
        <v>0.15539701480265106</v>
      </c>
      <c r="W383" s="827">
        <f>STDEV(L$2:L383)*SQRT(252)</f>
        <v>0.33708689228182726</v>
      </c>
      <c r="X383" s="826">
        <f t="shared" si="164"/>
        <v>0.46404696281660901</v>
      </c>
      <c r="Y383" s="826">
        <f t="shared" si="165"/>
        <v>5.5557413911703608E-2</v>
      </c>
      <c r="Z383" s="832">
        <f t="shared" si="166"/>
        <v>-8.5063362051235686E-2</v>
      </c>
    </row>
    <row r="384" spans="1:26" ht="20.100000000000001" customHeight="1" x14ac:dyDescent="0.2">
      <c r="A384" s="801">
        <f t="shared" si="154"/>
        <v>583</v>
      </c>
      <c r="B384" s="820">
        <v>42816</v>
      </c>
      <c r="C384" s="845">
        <v>2348.4499999999998</v>
      </c>
      <c r="D384" s="817">
        <f t="shared" si="185"/>
        <v>1.8899156150544091E-3</v>
      </c>
      <c r="E384" s="844">
        <f t="shared" si="175"/>
        <v>0.11701166263959958</v>
      </c>
      <c r="F384" s="841">
        <v>5821.64</v>
      </c>
      <c r="G384" s="817">
        <f t="shared" si="187"/>
        <v>4.8016679841625422E-3</v>
      </c>
      <c r="H384" s="822">
        <f t="shared" si="176"/>
        <v>0.1433587996150599</v>
      </c>
      <c r="I384" s="824">
        <v>410749.09</v>
      </c>
      <c r="J384" s="825">
        <v>400000</v>
      </c>
      <c r="K384" s="825">
        <f t="shared" si="177"/>
        <v>-1187.3999999999651</v>
      </c>
      <c r="L384" s="817">
        <f t="shared" si="155"/>
        <v>-2.8824831711314653E-3</v>
      </c>
      <c r="M384" s="842">
        <f t="shared" si="178"/>
        <v>10749.090000000026</v>
      </c>
      <c r="N384" s="827">
        <f t="shared" si="186"/>
        <v>2.6872725000000063E-2</v>
      </c>
      <c r="O384" s="811">
        <f t="shared" si="159"/>
        <v>1.6835785259434001E-2</v>
      </c>
      <c r="P384" s="842" t="b">
        <f t="shared" si="180"/>
        <v>0</v>
      </c>
      <c r="Q384" s="827">
        <f>COUNTIF(P$2:P384, TRUE)/(COUNTIF(P$2:P384,FALSE) + COUNTIF(P$2:P384, TRUE))</f>
        <v>0.48563968668407309</v>
      </c>
      <c r="R384" s="825">
        <v>286091.90000000002</v>
      </c>
      <c r="S384" s="825">
        <f t="shared" si="181"/>
        <v>124657.19</v>
      </c>
      <c r="T384" s="825">
        <v>-33152</v>
      </c>
      <c r="U384" s="825">
        <f t="shared" si="182"/>
        <v>43901.090000000026</v>
      </c>
      <c r="V384" s="827">
        <f>STDEV(D$2:D384)*SQRT(252)</f>
        <v>0.15519809817215222</v>
      </c>
      <c r="W384" s="827">
        <f>STDEV(L$2:L384)*SQRT(252)</f>
        <v>0.33665574417634986</v>
      </c>
      <c r="X384" s="826">
        <f t="shared" si="164"/>
        <v>0.47235054978217828</v>
      </c>
      <c r="Y384" s="826">
        <f t="shared" si="165"/>
        <v>5.0008905389759037E-2</v>
      </c>
      <c r="Z384" s="832">
        <f t="shared" si="166"/>
        <v>-9.0138937639599515E-2</v>
      </c>
    </row>
    <row r="385" spans="1:26" ht="20.100000000000001" customHeight="1" x14ac:dyDescent="0.2">
      <c r="A385" s="801">
        <f t="shared" ref="A385:A448" si="188">B385-$B$2</f>
        <v>584</v>
      </c>
      <c r="B385" s="820">
        <v>42817</v>
      </c>
      <c r="C385" s="845">
        <v>2345.96</v>
      </c>
      <c r="D385" s="817">
        <f t="shared" si="185"/>
        <v>-1.0602737976110974E-3</v>
      </c>
      <c r="E385" s="844">
        <f t="shared" si="175"/>
        <v>0.11582732444207681</v>
      </c>
      <c r="F385" s="841">
        <v>5817.69</v>
      </c>
      <c r="G385" s="817">
        <f t="shared" si="187"/>
        <v>-6.7850296480042173E-4</v>
      </c>
      <c r="H385" s="822">
        <f t="shared" si="176"/>
        <v>0.14258302727969044</v>
      </c>
      <c r="I385" s="824">
        <v>409192.08</v>
      </c>
      <c r="J385" s="825">
        <v>400000</v>
      </c>
      <c r="K385" s="825">
        <f t="shared" si="177"/>
        <v>-1557.0100000000093</v>
      </c>
      <c r="L385" s="817">
        <f t="shared" si="155"/>
        <v>-3.7906596457706315E-3</v>
      </c>
      <c r="M385" s="842">
        <f t="shared" si="178"/>
        <v>9192.0800000000163</v>
      </c>
      <c r="N385" s="827">
        <f t="shared" ref="N385:N448" si="189">M385/J385</f>
        <v>2.2980200000000041E-2</v>
      </c>
      <c r="O385" s="811">
        <f t="shared" si="159"/>
        <v>1.4372462414383587E-2</v>
      </c>
      <c r="P385" s="842" t="b">
        <f t="shared" si="180"/>
        <v>0</v>
      </c>
      <c r="Q385" s="827">
        <f>COUNTIF(P$2:P385, TRUE)/(COUNTIF(P$2:P385,FALSE) + COUNTIF(P$2:P385, TRUE))</f>
        <v>0.484375</v>
      </c>
      <c r="R385" s="825">
        <v>281636.95</v>
      </c>
      <c r="S385" s="825">
        <f t="shared" si="181"/>
        <v>127555.13</v>
      </c>
      <c r="T385" s="825">
        <v>-33283</v>
      </c>
      <c r="U385" s="825">
        <f t="shared" si="182"/>
        <v>42475.080000000016</v>
      </c>
      <c r="V385" s="827">
        <f>STDEV(D$2:D385)*SQRT(252)</f>
        <v>0.15499897175263969</v>
      </c>
      <c r="W385" s="827">
        <f>STDEV(L$2:L385)*SQRT(252)</f>
        <v>0.336233128166948</v>
      </c>
      <c r="X385" s="826">
        <f t="shared" si="164"/>
        <v>0.46736865781807724</v>
      </c>
      <c r="Y385" s="826">
        <f t="shared" si="165"/>
        <v>4.274552746404961E-2</v>
      </c>
      <c r="Z385" s="832">
        <f t="shared" si="166"/>
        <v>-9.2847124442076767E-2</v>
      </c>
    </row>
    <row r="386" spans="1:26" ht="20.100000000000001" customHeight="1" x14ac:dyDescent="0.2">
      <c r="A386" s="801">
        <f t="shared" si="188"/>
        <v>585</v>
      </c>
      <c r="B386" s="820">
        <v>42818</v>
      </c>
      <c r="C386" s="845">
        <v>2343.98</v>
      </c>
      <c r="D386" s="817">
        <f t="shared" si="185"/>
        <v>-8.4400416034374759E-4</v>
      </c>
      <c r="E386" s="844">
        <f t="shared" si="175"/>
        <v>0.11488556153802247</v>
      </c>
      <c r="F386" s="841">
        <v>5828.73</v>
      </c>
      <c r="G386" s="817">
        <f t="shared" si="187"/>
        <v>1.8976604116066624E-3</v>
      </c>
      <c r="H386" s="822">
        <f t="shared" si="176"/>
        <v>0.14475126185753281</v>
      </c>
      <c r="I386" s="824">
        <v>410959.03</v>
      </c>
      <c r="J386" s="825">
        <v>400000</v>
      </c>
      <c r="K386" s="825">
        <f t="shared" si="177"/>
        <v>1766.9500000000116</v>
      </c>
      <c r="L386" s="817">
        <f t="shared" si="155"/>
        <v>4.3181432055087957E-3</v>
      </c>
      <c r="M386" s="842">
        <f t="shared" si="178"/>
        <v>10959.030000000028</v>
      </c>
      <c r="N386" s="827">
        <f t="shared" si="189"/>
        <v>2.739757500000007E-2</v>
      </c>
      <c r="O386" s="811">
        <f t="shared" si="159"/>
        <v>1.710592182692312E-2</v>
      </c>
      <c r="P386" s="842" t="b">
        <f t="shared" si="180"/>
        <v>1</v>
      </c>
      <c r="Q386" s="827">
        <f>COUNTIF(P$2:P386, TRUE)/(COUNTIF(P$2:P386,FALSE) + COUNTIF(P$2:P386, TRUE))</f>
        <v>0.48571428571428571</v>
      </c>
      <c r="R386" s="825">
        <v>286251.90000000002</v>
      </c>
      <c r="S386" s="825">
        <f t="shared" si="181"/>
        <v>124707.13</v>
      </c>
      <c r="T386" s="825">
        <v>-32644</v>
      </c>
      <c r="U386" s="825">
        <f t="shared" si="182"/>
        <v>43603.030000000028</v>
      </c>
      <c r="V386" s="827">
        <f>STDEV(D$2:D386)*SQRT(252)</f>
        <v>0.15479943060985338</v>
      </c>
      <c r="W386" s="827">
        <f>STDEV(L$2:L386)*SQRT(252)</f>
        <v>0.33580795162240923</v>
      </c>
      <c r="X386" s="826">
        <f t="shared" si="164"/>
        <v>0.46337270807744663</v>
      </c>
      <c r="Y386" s="826">
        <f t="shared" si="165"/>
        <v>5.0939597303393938E-2</v>
      </c>
      <c r="Z386" s="832">
        <f t="shared" si="166"/>
        <v>-8.7487986538022394E-2</v>
      </c>
    </row>
    <row r="387" spans="1:26" ht="20.100000000000001" customHeight="1" x14ac:dyDescent="0.2">
      <c r="A387" s="801">
        <f t="shared" si="188"/>
        <v>588</v>
      </c>
      <c r="B387" s="849">
        <v>42821</v>
      </c>
      <c r="C387" s="860">
        <v>2341.59</v>
      </c>
      <c r="D387" s="817">
        <f t="shared" si="185"/>
        <v>-1.0196332733213903E-3</v>
      </c>
      <c r="E387" s="851">
        <f t="shared" si="175"/>
        <v>0.1137487871235327</v>
      </c>
      <c r="F387" s="852">
        <v>5840.37</v>
      </c>
      <c r="G387" s="817">
        <f t="shared" si="187"/>
        <v>1.9970044932601664E-3</v>
      </c>
      <c r="H387" s="853">
        <f t="shared" si="176"/>
        <v>0.14703733527112753</v>
      </c>
      <c r="I387" s="862">
        <v>411631.08</v>
      </c>
      <c r="J387" s="855">
        <v>400000</v>
      </c>
      <c r="K387" s="855">
        <f t="shared" si="177"/>
        <v>672.04999999998836</v>
      </c>
      <c r="L387" s="817">
        <f>K387/I386</f>
        <v>1.6353211657132544E-3</v>
      </c>
      <c r="M387" s="864">
        <f t="shared" si="178"/>
        <v>11631.080000000016</v>
      </c>
      <c r="N387" s="857">
        <f t="shared" si="189"/>
        <v>2.907770000000004E-2</v>
      </c>
      <c r="O387" s="811">
        <f t="shared" si="159"/>
        <v>1.8062295790816349E-2</v>
      </c>
      <c r="P387" s="856" t="b">
        <f t="shared" si="180"/>
        <v>1</v>
      </c>
      <c r="Q387" s="857">
        <f>COUNTIF(P$2:P387, TRUE)/(COUNTIF(P$2:P387,FALSE) + COUNTIF(P$2:P387, TRUE))</f>
        <v>0.48704663212435234</v>
      </c>
      <c r="R387" s="855">
        <v>286923.95</v>
      </c>
      <c r="S387" s="855">
        <f t="shared" si="181"/>
        <v>124707.13</v>
      </c>
      <c r="T387" s="855">
        <v>-32983</v>
      </c>
      <c r="U387" s="855">
        <f t="shared" si="182"/>
        <v>44614.080000000016</v>
      </c>
      <c r="V387" s="857">
        <f>STDEV(D$2:D387)*SQRT(252)</f>
        <v>0.15460159662915288</v>
      </c>
      <c r="W387" s="857">
        <f>STDEV(L$2:L387)*SQRT(252)</f>
        <v>0.33537159778544912</v>
      </c>
      <c r="X387" s="826">
        <f t="shared" si="164"/>
        <v>0.45703104157237562</v>
      </c>
      <c r="Y387" s="826">
        <f t="shared" si="165"/>
        <v>5.3857559525274816E-2</v>
      </c>
      <c r="Z387" s="832">
        <f t="shared" si="166"/>
        <v>-8.4671087123532662E-2</v>
      </c>
    </row>
    <row r="388" spans="1:26" ht="20.100000000000001" customHeight="1" x14ac:dyDescent="0.2">
      <c r="A388" s="801">
        <f t="shared" si="188"/>
        <v>589</v>
      </c>
      <c r="B388" s="849">
        <v>42822</v>
      </c>
      <c r="C388" s="860">
        <v>2358.5700000000002</v>
      </c>
      <c r="D388" s="817">
        <f t="shared" si="185"/>
        <v>7.2514829667021203E-3</v>
      </c>
      <c r="E388" s="851">
        <f t="shared" si="175"/>
        <v>0.12182511748254414</v>
      </c>
      <c r="F388" s="852">
        <v>5875.14</v>
      </c>
      <c r="G388" s="817">
        <f t="shared" si="187"/>
        <v>5.9533899393361097E-3</v>
      </c>
      <c r="H388" s="853">
        <f t="shared" si="176"/>
        <v>0.15386609580297358</v>
      </c>
      <c r="I388" s="862">
        <v>415160.28</v>
      </c>
      <c r="J388" s="855">
        <v>400000</v>
      </c>
      <c r="K388" s="855">
        <f t="shared" si="177"/>
        <v>3529.2000000000116</v>
      </c>
      <c r="L388" s="817">
        <f t="shared" ref="L388:L401" si="190">K388/I387</f>
        <v>8.5736966217420021E-3</v>
      </c>
      <c r="M388" s="864">
        <f t="shared" si="178"/>
        <v>15160.280000000028</v>
      </c>
      <c r="N388" s="857">
        <f t="shared" si="189"/>
        <v>3.7900700000000072E-2</v>
      </c>
      <c r="O388" s="811">
        <f t="shared" si="159"/>
        <v>2.3502938327674066E-2</v>
      </c>
      <c r="P388" s="856" t="b">
        <f t="shared" si="180"/>
        <v>1</v>
      </c>
      <c r="Q388" s="857">
        <f>COUNTIF(P$2:P388, TRUE)/(COUNTIF(P$2:P388,FALSE) + COUNTIF(P$2:P388, TRUE))</f>
        <v>0.48837209302325579</v>
      </c>
      <c r="R388" s="855">
        <v>290453.15000000002</v>
      </c>
      <c r="S388" s="855">
        <f t="shared" si="181"/>
        <v>124707.13</v>
      </c>
      <c r="T388" s="855">
        <v>-33166</v>
      </c>
      <c r="U388" s="855">
        <f t="shared" si="182"/>
        <v>48326.280000000028</v>
      </c>
      <c r="V388" s="857">
        <f>STDEV(D$2:D388)*SQRT(252)</f>
        <v>0.15450201975673039</v>
      </c>
      <c r="W388" s="857">
        <f>STDEV(L$2:L388)*SQRT(252)</f>
        <v>0.33499869256198822</v>
      </c>
      <c r="X388" s="826">
        <f t="shared" si="164"/>
        <v>0.48896481305054024</v>
      </c>
      <c r="Y388" s="826">
        <f t="shared" si="165"/>
        <v>7.0158298672539088E-2</v>
      </c>
      <c r="Z388" s="832">
        <f t="shared" si="166"/>
        <v>-8.3924417482544061E-2</v>
      </c>
    </row>
    <row r="389" spans="1:26" ht="20.100000000000001" customHeight="1" x14ac:dyDescent="0.2">
      <c r="A389" s="801">
        <f t="shared" si="188"/>
        <v>590</v>
      </c>
      <c r="B389" s="849">
        <v>42823</v>
      </c>
      <c r="C389" s="860">
        <v>2361.13</v>
      </c>
      <c r="D389" s="817">
        <f t="shared" si="185"/>
        <v>1.0854034436119959E-3</v>
      </c>
      <c r="E389" s="851">
        <f t="shared" si="175"/>
        <v>0.12304275032819012</v>
      </c>
      <c r="F389" s="852">
        <v>5897.54</v>
      </c>
      <c r="G389" s="817">
        <f t="shared" ref="G389:G401" si="191">(F389-F388)/F388</f>
        <v>3.8126751022102682E-3</v>
      </c>
      <c r="H389" s="853">
        <f t="shared" si="176"/>
        <v>0.15826541233772615</v>
      </c>
      <c r="I389" s="862">
        <v>420963.65</v>
      </c>
      <c r="J389" s="855">
        <v>400000</v>
      </c>
      <c r="K389" s="855">
        <f t="shared" si="177"/>
        <v>5803.3699999999953</v>
      </c>
      <c r="L389" s="817">
        <f t="shared" si="190"/>
        <v>1.3978625315504641E-2</v>
      </c>
      <c r="M389" s="864">
        <f t="shared" si="178"/>
        <v>20963.650000000023</v>
      </c>
      <c r="N389" s="857">
        <f t="shared" si="189"/>
        <v>5.2409125000000056E-2</v>
      </c>
      <c r="O389" s="811">
        <f t="shared" si="159"/>
        <v>3.2444801536016983E-2</v>
      </c>
      <c r="P389" s="856" t="b">
        <f t="shared" si="180"/>
        <v>1</v>
      </c>
      <c r="Q389" s="857">
        <f>COUNTIF(P$2:P389, TRUE)/(COUNTIF(P$2:P389,FALSE) + COUNTIF(P$2:P389, TRUE))</f>
        <v>0.48969072164948452</v>
      </c>
      <c r="R389" s="855">
        <v>287876.7</v>
      </c>
      <c r="S389" s="855">
        <f t="shared" si="181"/>
        <v>133086.95000000001</v>
      </c>
      <c r="T389" s="855">
        <v>-32529</v>
      </c>
      <c r="U389" s="855">
        <f t="shared" si="182"/>
        <v>53492.650000000023</v>
      </c>
      <c r="V389" s="857">
        <f>STDEV(D$2:D389)*SQRT(252)</f>
        <v>0.15430291454708026</v>
      </c>
      <c r="W389" s="857">
        <f>STDEV(L$2:L389)*SQRT(252)</f>
        <v>0.3347396845919004</v>
      </c>
      <c r="X389" s="826">
        <f t="shared" si="164"/>
        <v>0.49365110541244273</v>
      </c>
      <c r="Y389" s="826">
        <f t="shared" si="165"/>
        <v>9.6925470834365604E-2</v>
      </c>
      <c r="Z389" s="832">
        <f t="shared" si="166"/>
        <v>-7.0633625328190064E-2</v>
      </c>
    </row>
    <row r="390" spans="1:26" ht="20.100000000000001" customHeight="1" x14ac:dyDescent="0.2">
      <c r="A390" s="801">
        <f t="shared" si="188"/>
        <v>591</v>
      </c>
      <c r="B390" s="849">
        <v>42824</v>
      </c>
      <c r="C390" s="860">
        <v>2368.06</v>
      </c>
      <c r="D390" s="817">
        <f t="shared" si="185"/>
        <v>2.9350353432465964E-3</v>
      </c>
      <c r="E390" s="851">
        <f t="shared" si="175"/>
        <v>0.12633892049238021</v>
      </c>
      <c r="F390" s="852">
        <v>5914.34</v>
      </c>
      <c r="G390" s="817">
        <f t="shared" si="191"/>
        <v>2.848645367390502E-3</v>
      </c>
      <c r="H390" s="853">
        <f t="shared" si="176"/>
        <v>0.16156489973879065</v>
      </c>
      <c r="I390" s="862">
        <v>421561.9</v>
      </c>
      <c r="J390" s="855">
        <v>400000</v>
      </c>
      <c r="K390" s="855">
        <f t="shared" si="177"/>
        <v>598.25</v>
      </c>
      <c r="L390" s="817">
        <f t="shared" si="190"/>
        <v>1.4211440821553119E-3</v>
      </c>
      <c r="M390" s="864">
        <f t="shared" si="178"/>
        <v>21561.900000000023</v>
      </c>
      <c r="N390" s="857">
        <f t="shared" si="189"/>
        <v>5.3904750000000057E-2</v>
      </c>
      <c r="O390" s="811">
        <f t="shared" si="159"/>
        <v>3.3314230012690391E-2</v>
      </c>
      <c r="P390" s="856" t="b">
        <f t="shared" si="180"/>
        <v>0</v>
      </c>
      <c r="Q390" s="857">
        <f>COUNTIF(P$2:P390, TRUE)/(COUNTIF(P$2:P390,FALSE) + COUNTIF(P$2:P390, TRUE))</f>
        <v>0.4884318766066838</v>
      </c>
      <c r="R390" s="855">
        <v>288474.95</v>
      </c>
      <c r="S390" s="855">
        <f t="shared" si="181"/>
        <v>133086.95000000001</v>
      </c>
      <c r="T390" s="855">
        <v>-32386</v>
      </c>
      <c r="U390" s="855">
        <f t="shared" si="182"/>
        <v>53947.900000000023</v>
      </c>
      <c r="V390" s="857">
        <f>STDEV(D$2:D390)*SQRT(252)</f>
        <v>0.15411754273939668</v>
      </c>
      <c r="W390" s="857">
        <f>STDEV(L$2:L390)*SQRT(252)</f>
        <v>0.3343075900232127</v>
      </c>
      <c r="X390" s="826">
        <f t="shared" si="164"/>
        <v>0.50662641470730152</v>
      </c>
      <c r="Y390" s="826">
        <f t="shared" si="165"/>
        <v>9.9651431815763483E-2</v>
      </c>
      <c r="Z390" s="832">
        <f t="shared" si="166"/>
        <v>-7.2434170492380157E-2</v>
      </c>
    </row>
    <row r="391" spans="1:26" ht="20.100000000000001" customHeight="1" x14ac:dyDescent="0.2">
      <c r="A391" s="801">
        <f t="shared" si="188"/>
        <v>592</v>
      </c>
      <c r="B391" s="849">
        <v>42825</v>
      </c>
      <c r="C391" s="860">
        <v>2362.7199999999998</v>
      </c>
      <c r="D391" s="817">
        <f t="shared" si="185"/>
        <v>-2.2550104304790188E-3</v>
      </c>
      <c r="E391" s="851">
        <f t="shared" si="175"/>
        <v>0.12379901447841543</v>
      </c>
      <c r="F391" s="852">
        <v>5911.73</v>
      </c>
      <c r="G391" s="817">
        <f t="shared" si="191"/>
        <v>-4.4130029724374692E-4</v>
      </c>
      <c r="H391" s="853">
        <f t="shared" si="176"/>
        <v>0.16105230080326802</v>
      </c>
      <c r="I391" s="863">
        <v>422230.44</v>
      </c>
      <c r="J391" s="855">
        <v>400000</v>
      </c>
      <c r="K391" s="855">
        <f t="shared" si="177"/>
        <v>668.53999999997905</v>
      </c>
      <c r="L391" s="817">
        <f t="shared" si="190"/>
        <v>1.5858643772124071E-3</v>
      </c>
      <c r="M391" s="861">
        <f t="shared" si="178"/>
        <v>22230.440000000002</v>
      </c>
      <c r="N391" s="857">
        <f t="shared" si="189"/>
        <v>5.5576100000000003E-2</v>
      </c>
      <c r="O391" s="811">
        <f t="shared" ref="O391:O454" si="192">N391/(A391/365.25)</f>
        <v>3.4289139400337842E-2</v>
      </c>
      <c r="P391" s="856" t="b">
        <f t="shared" si="180"/>
        <v>1</v>
      </c>
      <c r="Q391" s="857">
        <f>COUNTIF(P$2:P391, TRUE)/(COUNTIF(P$2:P391,FALSE) + COUNTIF(P$2:P391, TRUE))</f>
        <v>0.48974358974358972</v>
      </c>
      <c r="R391" s="855">
        <v>285478.7</v>
      </c>
      <c r="S391" s="855">
        <f t="shared" si="181"/>
        <v>136751.74</v>
      </c>
      <c r="T391" s="855">
        <v>-31395</v>
      </c>
      <c r="U391" s="855">
        <f t="shared" si="182"/>
        <v>53625.440000000002</v>
      </c>
      <c r="V391" s="857">
        <f>STDEV(D$2:D391)*SQRT(252)</f>
        <v>0.15393312876739909</v>
      </c>
      <c r="W391" s="857">
        <f>STDEV(L$2:L391)*SQRT(252)</f>
        <v>0.33387745459794199</v>
      </c>
      <c r="X391" s="826">
        <f t="shared" si="164"/>
        <v>0.4961963994716278</v>
      </c>
      <c r="Y391" s="826">
        <f t="shared" si="165"/>
        <v>0.10269977480698453</v>
      </c>
      <c r="Z391" s="832">
        <f t="shared" si="166"/>
        <v>-6.8222914478415428E-2</v>
      </c>
    </row>
    <row r="392" spans="1:26" ht="20.100000000000001" customHeight="1" x14ac:dyDescent="0.2">
      <c r="A392" s="801">
        <f t="shared" si="188"/>
        <v>595</v>
      </c>
      <c r="B392" s="820">
        <v>42828</v>
      </c>
      <c r="C392" s="845">
        <v>2358.84</v>
      </c>
      <c r="D392" s="817">
        <f t="shared" si="185"/>
        <v>-1.6421751202003007E-3</v>
      </c>
      <c r="E392" s="844">
        <f t="shared" si="175"/>
        <v>0.12195353969673337</v>
      </c>
      <c r="F392" s="841">
        <v>5894.68</v>
      </c>
      <c r="G392" s="817">
        <f t="shared" si="191"/>
        <v>-2.8840965335019146E-3</v>
      </c>
      <c r="H392" s="822">
        <f t="shared" si="176"/>
        <v>0.15770371388730689</v>
      </c>
      <c r="I392" s="824">
        <v>420788.86</v>
      </c>
      <c r="J392" s="825">
        <v>400000</v>
      </c>
      <c r="K392" s="825">
        <f t="shared" si="177"/>
        <v>-1441.5800000000163</v>
      </c>
      <c r="L392" s="817">
        <f t="shared" si="190"/>
        <v>-3.4142019699006454E-3</v>
      </c>
      <c r="M392" s="842">
        <f t="shared" si="178"/>
        <v>20788.859999999986</v>
      </c>
      <c r="N392" s="827">
        <f t="shared" si="189"/>
        <v>5.1972149999999967E-2</v>
      </c>
      <c r="O392" s="811">
        <f t="shared" si="192"/>
        <v>3.1903912247899138E-2</v>
      </c>
      <c r="P392" s="842" t="b">
        <f t="shared" si="180"/>
        <v>0</v>
      </c>
      <c r="Q392" s="827">
        <f>COUNTIF(P$2:P392, TRUE)/(COUNTIF(P$2:P392,FALSE) + COUNTIF(P$2:P392, TRUE))</f>
        <v>0.48849104859335041</v>
      </c>
      <c r="R392" s="825">
        <v>278736.34999999998</v>
      </c>
      <c r="S392" s="825">
        <f t="shared" si="181"/>
        <v>142052.51</v>
      </c>
      <c r="T392" s="825">
        <v>-32014</v>
      </c>
      <c r="U392" s="825">
        <f t="shared" si="182"/>
        <v>52802.859999999986</v>
      </c>
      <c r="V392" s="827">
        <f>STDEV(D$2:D392)*SQRT(252)</f>
        <v>0.15374345797285574</v>
      </c>
      <c r="W392" s="827">
        <f>STDEV(L$2:L392)*SQRT(252)</f>
        <v>0.33346362819879094</v>
      </c>
      <c r="X392" s="826">
        <f t="shared" si="164"/>
        <v>0.48693503610690675</v>
      </c>
      <c r="Y392" s="826">
        <f t="shared" si="165"/>
        <v>9.5674339118267934E-2</v>
      </c>
      <c r="Z392" s="832">
        <f t="shared" si="166"/>
        <v>-6.9981389696733398E-2</v>
      </c>
    </row>
    <row r="393" spans="1:26" ht="20.100000000000001" customHeight="1" x14ac:dyDescent="0.2">
      <c r="A393" s="801">
        <f t="shared" si="188"/>
        <v>596</v>
      </c>
      <c r="B393" s="820">
        <v>42829</v>
      </c>
      <c r="C393" s="845">
        <v>2360.16</v>
      </c>
      <c r="D393" s="817">
        <f t="shared" si="185"/>
        <v>5.5959709009500806E-4</v>
      </c>
      <c r="E393" s="844">
        <f t="shared" si="175"/>
        <v>0.12258138163276945</v>
      </c>
      <c r="F393" s="841">
        <v>5898.6</v>
      </c>
      <c r="G393" s="817">
        <f t="shared" si="191"/>
        <v>6.6500641256184774E-4</v>
      </c>
      <c r="H393" s="822">
        <f t="shared" si="176"/>
        <v>0.15847359428088861</v>
      </c>
      <c r="I393" s="824">
        <v>422816.59</v>
      </c>
      <c r="J393" s="825">
        <v>400000</v>
      </c>
      <c r="K393" s="825">
        <f t="shared" si="177"/>
        <v>2027.7300000000396</v>
      </c>
      <c r="L393" s="817">
        <f t="shared" si="190"/>
        <v>4.8188775719966532E-3</v>
      </c>
      <c r="M393" s="842">
        <f t="shared" si="178"/>
        <v>22816.590000000026</v>
      </c>
      <c r="N393" s="827">
        <f t="shared" si="189"/>
        <v>5.7041475000000064E-2</v>
      </c>
      <c r="O393" s="811">
        <f t="shared" si="192"/>
        <v>3.4957044872063796E-2</v>
      </c>
      <c r="P393" s="842" t="b">
        <f t="shared" si="180"/>
        <v>1</v>
      </c>
      <c r="Q393" s="827">
        <f>COUNTIF(P$2:P393, TRUE)/(COUNTIF(P$2:P393,FALSE) + COUNTIF(P$2:P393, TRUE))</f>
        <v>0.48979591836734693</v>
      </c>
      <c r="R393" s="825">
        <v>279812.09999999998</v>
      </c>
      <c r="S393" s="825">
        <f t="shared" si="181"/>
        <v>143004.49000000005</v>
      </c>
      <c r="T393" s="825">
        <v>-31748</v>
      </c>
      <c r="U393" s="825">
        <f t="shared" si="182"/>
        <v>54564.590000000026</v>
      </c>
      <c r="V393" s="827">
        <f>STDEV(D$2:D393)*SQRT(252)</f>
        <v>0.15354632404261861</v>
      </c>
      <c r="W393" s="827">
        <f>STDEV(L$2:L393)*SQRT(252)</f>
        <v>0.33305315734956037</v>
      </c>
      <c r="X393" s="826">
        <f t="shared" si="164"/>
        <v>0.48924799346575887</v>
      </c>
      <c r="Y393" s="826">
        <f t="shared" si="165"/>
        <v>0.10495935588856815</v>
      </c>
      <c r="Z393" s="832">
        <f t="shared" si="166"/>
        <v>-6.5539906632769387E-2</v>
      </c>
    </row>
    <row r="394" spans="1:26" ht="20.100000000000001" customHeight="1" x14ac:dyDescent="0.2">
      <c r="A394" s="801">
        <f t="shared" si="188"/>
        <v>597</v>
      </c>
      <c r="B394" s="820">
        <v>42830</v>
      </c>
      <c r="C394" s="845">
        <v>2352.9499999999998</v>
      </c>
      <c r="D394" s="817">
        <f t="shared" si="185"/>
        <v>-3.054877635414564E-3</v>
      </c>
      <c r="E394" s="844">
        <f t="shared" si="175"/>
        <v>0.11915203287608672</v>
      </c>
      <c r="F394" s="841">
        <v>5864.47</v>
      </c>
      <c r="G394" s="817">
        <f t="shared" si="191"/>
        <v>-5.7861187400400273E-3</v>
      </c>
      <c r="H394" s="822">
        <f t="shared" ref="H394:H425" si="193">(F394-F$2)/F$2</f>
        <v>0.15177052850717845</v>
      </c>
      <c r="I394" s="824">
        <v>421093.29</v>
      </c>
      <c r="J394" s="825">
        <v>400000</v>
      </c>
      <c r="K394" s="825">
        <f t="shared" ref="K394:K425" si="194">I394-I393-J394+J393</f>
        <v>-1723.3000000000466</v>
      </c>
      <c r="L394" s="817">
        <f t="shared" si="190"/>
        <v>-4.0757624955067313E-3</v>
      </c>
      <c r="M394" s="842">
        <f t="shared" si="178"/>
        <v>21093.289999999979</v>
      </c>
      <c r="N394" s="827">
        <f t="shared" si="189"/>
        <v>5.2733224999999946E-2</v>
      </c>
      <c r="O394" s="811">
        <f t="shared" si="192"/>
        <v>3.2262664038944691E-2</v>
      </c>
      <c r="P394" s="842" t="b">
        <f t="shared" si="180"/>
        <v>0</v>
      </c>
      <c r="Q394" s="827">
        <f>COUNTIF(P$2:P394, TRUE)/(COUNTIF(P$2:P394,FALSE) + COUNTIF(P$2:P394, TRUE))</f>
        <v>0.48854961832061067</v>
      </c>
      <c r="R394" s="825">
        <v>275976.95</v>
      </c>
      <c r="S394" s="825">
        <f t="shared" ref="S394:S425" si="195">I394-R394</f>
        <v>145116.33999999997</v>
      </c>
      <c r="T394" s="825">
        <v>-31864</v>
      </c>
      <c r="U394" s="825">
        <f t="shared" ref="U394:U425" si="196">M394-T394</f>
        <v>52957.289999999979</v>
      </c>
      <c r="V394" s="827">
        <f>STDEV(D$2:D394)*SQRT(252)</f>
        <v>0.15337403613806713</v>
      </c>
      <c r="W394" s="827">
        <f>STDEV(L$2:L394)*SQRT(252)</f>
        <v>0.33264809996553257</v>
      </c>
      <c r="X394" s="826">
        <f t="shared" si="164"/>
        <v>0.47529747085124752</v>
      </c>
      <c r="Y394" s="826">
        <f t="shared" si="165"/>
        <v>9.6987369061442397E-2</v>
      </c>
      <c r="Z394" s="832">
        <f t="shared" si="166"/>
        <v>-6.6418807876086783E-2</v>
      </c>
    </row>
    <row r="395" spans="1:26" ht="20.100000000000001" customHeight="1" x14ac:dyDescent="0.2">
      <c r="A395" s="801">
        <f t="shared" si="188"/>
        <v>598</v>
      </c>
      <c r="B395" s="820">
        <v>42831</v>
      </c>
      <c r="C395" s="845">
        <v>2357.4899999999998</v>
      </c>
      <c r="D395" s="817">
        <f t="shared" si="185"/>
        <v>1.9294927644021181E-3</v>
      </c>
      <c r="E395" s="844">
        <f t="shared" si="175"/>
        <v>0.12131142862578705</v>
      </c>
      <c r="F395" s="841">
        <v>5878.95</v>
      </c>
      <c r="G395" s="817">
        <f t="shared" si="191"/>
        <v>2.4691063301542277E-3</v>
      </c>
      <c r="H395" s="822">
        <f t="shared" si="193"/>
        <v>0.15461437241000059</v>
      </c>
      <c r="I395" s="824">
        <v>424138.1</v>
      </c>
      <c r="J395" s="825">
        <v>400000</v>
      </c>
      <c r="K395" s="825">
        <f t="shared" si="194"/>
        <v>3044.8099999999977</v>
      </c>
      <c r="L395" s="817">
        <f t="shared" si="190"/>
        <v>7.2307255240281736E-3</v>
      </c>
      <c r="M395" s="842">
        <f t="shared" si="178"/>
        <v>24138.099999999977</v>
      </c>
      <c r="N395" s="827">
        <f t="shared" si="189"/>
        <v>6.0345249999999941E-2</v>
      </c>
      <c r="O395" s="811">
        <f t="shared" si="192"/>
        <v>3.6858031040969866E-2</v>
      </c>
      <c r="P395" s="842" t="b">
        <f t="shared" si="180"/>
        <v>1</v>
      </c>
      <c r="Q395" s="827">
        <f>COUNTIF(P$2:P395, TRUE)/(COUNTIF(P$2:P395,FALSE) + COUNTIF(P$2:P395, TRUE))</f>
        <v>0.48984771573604063</v>
      </c>
      <c r="R395" s="825">
        <v>278419.3</v>
      </c>
      <c r="S395" s="825">
        <f t="shared" si="195"/>
        <v>145718.79999999999</v>
      </c>
      <c r="T395" s="825">
        <v>-32100</v>
      </c>
      <c r="U395" s="825">
        <f t="shared" si="196"/>
        <v>56238.099999999977</v>
      </c>
      <c r="V395" s="827">
        <f>STDEV(D$2:D395)*SQRT(252)</f>
        <v>0.15318361130660466</v>
      </c>
      <c r="W395" s="827">
        <f>STDEV(L$2:L395)*SQRT(252)</f>
        <v>0.33226612910747538</v>
      </c>
      <c r="X395" s="826">
        <f t="shared" si="164"/>
        <v>0.48370263589223456</v>
      </c>
      <c r="Y395" s="826">
        <f t="shared" si="165"/>
        <v>0.11092924560194248</v>
      </c>
      <c r="Z395" s="832">
        <f t="shared" si="166"/>
        <v>-6.0966178625787106E-2</v>
      </c>
    </row>
    <row r="396" spans="1:26" ht="20.100000000000001" customHeight="1" x14ac:dyDescent="0.2">
      <c r="A396" s="801">
        <f t="shared" si="188"/>
        <v>599</v>
      </c>
      <c r="B396" s="820">
        <v>42832</v>
      </c>
      <c r="C396" s="845">
        <v>2355.54</v>
      </c>
      <c r="D396" s="817">
        <f t="shared" si="185"/>
        <v>-8.2715091050219439E-4</v>
      </c>
      <c r="E396" s="844">
        <f t="shared" si="175"/>
        <v>0.12038393485664271</v>
      </c>
      <c r="F396" s="841">
        <v>5877.81</v>
      </c>
      <c r="G396" s="817">
        <f t="shared" si="191"/>
        <v>-1.9391217819498687E-4</v>
      </c>
      <c r="H396" s="822">
        <f t="shared" si="193"/>
        <v>0.15439047862207134</v>
      </c>
      <c r="I396" s="824">
        <v>423331.5</v>
      </c>
      <c r="J396" s="825">
        <v>400000</v>
      </c>
      <c r="K396" s="825">
        <f t="shared" si="194"/>
        <v>-806.59999999997672</v>
      </c>
      <c r="L396" s="817">
        <f t="shared" si="190"/>
        <v>-1.901739079794946E-3</v>
      </c>
      <c r="M396" s="842">
        <f t="shared" si="178"/>
        <v>23331.5</v>
      </c>
      <c r="N396" s="827">
        <f t="shared" si="189"/>
        <v>5.8328749999999999E-2</v>
      </c>
      <c r="O396" s="811">
        <f t="shared" si="192"/>
        <v>3.5566904737061769E-2</v>
      </c>
      <c r="P396" s="842" t="b">
        <f t="shared" si="180"/>
        <v>0</v>
      </c>
      <c r="Q396" s="827">
        <f>COUNTIF(P$2:P396, TRUE)/(COUNTIF(P$2:P396,FALSE) + COUNTIF(P$2:P396, TRUE))</f>
        <v>0.48860759493670886</v>
      </c>
      <c r="R396" s="825">
        <v>280798.7</v>
      </c>
      <c r="S396" s="825">
        <f t="shared" si="195"/>
        <v>142532.79999999999</v>
      </c>
      <c r="T396" s="825">
        <v>-32984</v>
      </c>
      <c r="U396" s="825">
        <f t="shared" si="196"/>
        <v>56315.5</v>
      </c>
      <c r="V396" s="827">
        <f>STDEV(D$2:D396)*SQRT(252)</f>
        <v>0.15299143349186958</v>
      </c>
      <c r="W396" s="827">
        <f>STDEV(L$2:L396)*SQRT(252)</f>
        <v>0.33184917870470027</v>
      </c>
      <c r="X396" s="826">
        <f t="shared" si="164"/>
        <v>0.4798050590690206</v>
      </c>
      <c r="Y396" s="826">
        <f t="shared" si="165"/>
        <v>0.10717792002948237</v>
      </c>
      <c r="Z396" s="832">
        <f t="shared" si="166"/>
        <v>-6.2055184856642714E-2</v>
      </c>
    </row>
    <row r="397" spans="1:26" ht="20.100000000000001" customHeight="1" x14ac:dyDescent="0.2">
      <c r="A397" s="801">
        <f t="shared" si="188"/>
        <v>602</v>
      </c>
      <c r="B397" s="849">
        <v>42835</v>
      </c>
      <c r="C397" s="860">
        <v>2357.16</v>
      </c>
      <c r="D397" s="817">
        <f t="shared" si="185"/>
        <v>6.8774039073838311E-4</v>
      </c>
      <c r="E397" s="851">
        <f t="shared" si="175"/>
        <v>0.12115446814177802</v>
      </c>
      <c r="F397" s="852">
        <v>5880.92</v>
      </c>
      <c r="G397" s="817">
        <f t="shared" si="191"/>
        <v>5.2910863059535309E-4</v>
      </c>
      <c r="H397" s="853">
        <f t="shared" si="193"/>
        <v>0.15500127658738738</v>
      </c>
      <c r="I397" s="862">
        <v>425409.3</v>
      </c>
      <c r="J397" s="855">
        <v>400000</v>
      </c>
      <c r="K397" s="855">
        <f t="shared" si="194"/>
        <v>2077.7999999999884</v>
      </c>
      <c r="L397" s="817">
        <f t="shared" si="190"/>
        <v>4.9082102324064904E-3</v>
      </c>
      <c r="M397" s="864">
        <f t="shared" si="178"/>
        <v>25409.299999999988</v>
      </c>
      <c r="N397" s="857">
        <f t="shared" si="189"/>
        <v>6.3523249999999976E-2</v>
      </c>
      <c r="O397" s="811">
        <f t="shared" si="192"/>
        <v>3.854130741279068E-2</v>
      </c>
      <c r="P397" s="856" t="b">
        <f t="shared" si="180"/>
        <v>1</v>
      </c>
      <c r="Q397" s="857">
        <f>COUNTIF(P$2:P397, TRUE)/(COUNTIF(P$2:P397,FALSE) + COUNTIF(P$2:P397, TRUE))</f>
        <v>0.48989898989898989</v>
      </c>
      <c r="R397" s="855">
        <v>285684.5</v>
      </c>
      <c r="S397" s="855">
        <f t="shared" si="195"/>
        <v>139724.79999999999</v>
      </c>
      <c r="T397" s="855">
        <v>-32983</v>
      </c>
      <c r="U397" s="855">
        <f t="shared" si="196"/>
        <v>58392.299999999988</v>
      </c>
      <c r="V397" s="857">
        <f>STDEV(D$2:D397)*SQRT(252)</f>
        <v>0.15279741867910826</v>
      </c>
      <c r="W397" s="857">
        <f>STDEV(L$2:L397)*SQRT(252)</f>
        <v>0.3314456683195206</v>
      </c>
      <c r="X397" s="826">
        <f t="shared" si="164"/>
        <v>0.48107983277035776</v>
      </c>
      <c r="Y397" s="826">
        <f t="shared" si="165"/>
        <v>0.11628242905753122</v>
      </c>
      <c r="Z397" s="832">
        <f t="shared" si="166"/>
        <v>-5.7631218141778046E-2</v>
      </c>
    </row>
    <row r="398" spans="1:26" ht="20.100000000000001" customHeight="1" x14ac:dyDescent="0.2">
      <c r="A398" s="801">
        <f t="shared" si="188"/>
        <v>603</v>
      </c>
      <c r="B398" s="849">
        <v>42836</v>
      </c>
      <c r="C398" s="860">
        <v>2353.7800000000002</v>
      </c>
      <c r="D398" s="817">
        <f t="shared" si="185"/>
        <v>-1.4339289653649539E-3</v>
      </c>
      <c r="E398" s="851">
        <f t="shared" si="175"/>
        <v>0.11954681227526119</v>
      </c>
      <c r="F398" s="852">
        <v>5866.77</v>
      </c>
      <c r="G398" s="817">
        <f t="shared" si="191"/>
        <v>-2.4060861225793984E-3</v>
      </c>
      <c r="H398" s="853">
        <f t="shared" si="193"/>
        <v>0.15222224404422896</v>
      </c>
      <c r="I398" s="862">
        <v>423985</v>
      </c>
      <c r="J398" s="855">
        <v>400000</v>
      </c>
      <c r="K398" s="855">
        <f t="shared" si="194"/>
        <v>-1424.2999999999884</v>
      </c>
      <c r="L398" s="817">
        <f t="shared" si="190"/>
        <v>-3.3480697295521947E-3</v>
      </c>
      <c r="M398" s="864">
        <f t="shared" si="178"/>
        <v>23985</v>
      </c>
      <c r="N398" s="857">
        <f t="shared" si="189"/>
        <v>5.9962500000000002E-2</v>
      </c>
      <c r="O398" s="811">
        <f t="shared" si="192"/>
        <v>3.6320569029850744E-2</v>
      </c>
      <c r="P398" s="856" t="b">
        <f t="shared" si="180"/>
        <v>0</v>
      </c>
      <c r="Q398" s="857">
        <f>COUNTIF(P$2:P398, TRUE)/(COUNTIF(P$2:P398,FALSE) + COUNTIF(P$2:P398, TRUE))</f>
        <v>0.48866498740554154</v>
      </c>
      <c r="R398" s="855">
        <v>291945.2</v>
      </c>
      <c r="S398" s="855">
        <f t="shared" si="195"/>
        <v>132039.79999999999</v>
      </c>
      <c r="T398" s="855">
        <v>-32982</v>
      </c>
      <c r="U398" s="855">
        <f t="shared" si="196"/>
        <v>56967</v>
      </c>
      <c r="V398" s="857">
        <f>STDEV(D$2:D398)*SQRT(252)</f>
        <v>0.15261041063464104</v>
      </c>
      <c r="W398" s="857">
        <f>STDEV(L$2:L398)*SQRT(252)</f>
        <v>0.33104089578978618</v>
      </c>
      <c r="X398" s="826">
        <f t="shared" si="164"/>
        <v>0.47448965875338012</v>
      </c>
      <c r="Y398" s="826">
        <f t="shared" si="165"/>
        <v>0.10971626011100036</v>
      </c>
      <c r="Z398" s="832">
        <f t="shared" si="166"/>
        <v>-5.9584312275261189E-2</v>
      </c>
    </row>
    <row r="399" spans="1:26" ht="20.100000000000001" customHeight="1" x14ac:dyDescent="0.2">
      <c r="A399" s="801">
        <f t="shared" si="188"/>
        <v>604</v>
      </c>
      <c r="B399" s="849">
        <v>42837</v>
      </c>
      <c r="C399" s="860">
        <v>2344.9299999999998</v>
      </c>
      <c r="D399" s="817">
        <f t="shared" si="185"/>
        <v>-3.7599095922305243E-3</v>
      </c>
      <c r="E399" s="851">
        <f t="shared" si="175"/>
        <v>0.11533741747683633</v>
      </c>
      <c r="F399" s="852">
        <v>5836.16</v>
      </c>
      <c r="G399" s="817">
        <f t="shared" si="191"/>
        <v>-5.2175217368331432E-3</v>
      </c>
      <c r="H399" s="853">
        <f t="shared" si="193"/>
        <v>0.14621049944026554</v>
      </c>
      <c r="I399" s="862">
        <v>422212.73</v>
      </c>
      <c r="J399" s="855">
        <v>400000</v>
      </c>
      <c r="K399" s="855">
        <f t="shared" si="194"/>
        <v>-1772.2700000000186</v>
      </c>
      <c r="L399" s="817">
        <f t="shared" si="190"/>
        <v>-4.1800299538899219E-3</v>
      </c>
      <c r="M399" s="864">
        <f t="shared" si="178"/>
        <v>22212.729999999981</v>
      </c>
      <c r="N399" s="857">
        <f t="shared" si="189"/>
        <v>5.5531824999999951E-2</v>
      </c>
      <c r="O399" s="811">
        <f t="shared" si="192"/>
        <v>3.3581124306705269E-2</v>
      </c>
      <c r="P399" s="856" t="b">
        <f t="shared" si="180"/>
        <v>0</v>
      </c>
      <c r="Q399" s="857">
        <f>COUNTIF(P$2:P399, TRUE)/(COUNTIF(P$2:P399,FALSE) + COUNTIF(P$2:P399, TRUE))</f>
        <v>0.48743718592964824</v>
      </c>
      <c r="R399" s="855">
        <v>291946.2</v>
      </c>
      <c r="S399" s="855">
        <f t="shared" si="195"/>
        <v>130266.52999999997</v>
      </c>
      <c r="T399" s="855">
        <v>-32526</v>
      </c>
      <c r="U399" s="855">
        <f t="shared" si="196"/>
        <v>54738.729999999981</v>
      </c>
      <c r="V399" s="857">
        <f>STDEV(D$2:D399)*SQRT(252)</f>
        <v>0.15245244674413128</v>
      </c>
      <c r="W399" s="857">
        <f>STDEV(L$2:L399)*SQRT(252)</f>
        <v>0.33064456752182653</v>
      </c>
      <c r="X399" s="826">
        <f t="shared" si="164"/>
        <v>0.45749790537885804</v>
      </c>
      <c r="Y399" s="826">
        <f t="shared" si="165"/>
        <v>0.10156260711734968</v>
      </c>
      <c r="Z399" s="832">
        <f t="shared" si="166"/>
        <v>-5.9805592476836381E-2</v>
      </c>
    </row>
    <row r="400" spans="1:26" ht="20.100000000000001" customHeight="1" x14ac:dyDescent="0.2">
      <c r="A400" s="801">
        <f t="shared" si="188"/>
        <v>605</v>
      </c>
      <c r="B400" s="849">
        <v>42838</v>
      </c>
      <c r="C400" s="860">
        <v>2328.9499999999998</v>
      </c>
      <c r="D400" s="817">
        <f t="shared" si="185"/>
        <v>-6.8147023578529076E-3</v>
      </c>
      <c r="E400" s="851">
        <f t="shared" si="175"/>
        <v>0.10773672494815537</v>
      </c>
      <c r="F400" s="852">
        <v>5805.15</v>
      </c>
      <c r="G400" s="817">
        <f t="shared" si="191"/>
        <v>-5.3134252659283194E-3</v>
      </c>
      <c r="H400" s="853">
        <f t="shared" si="193"/>
        <v>0.14012019561246733</v>
      </c>
      <c r="I400" s="862">
        <v>418306.53</v>
      </c>
      <c r="J400" s="855">
        <v>400000</v>
      </c>
      <c r="K400" s="855">
        <f t="shared" si="194"/>
        <v>-3906.1999999999534</v>
      </c>
      <c r="L400" s="817">
        <f t="shared" si="190"/>
        <v>-9.2517343093846405E-3</v>
      </c>
      <c r="M400" s="864">
        <f t="shared" si="178"/>
        <v>18306.530000000028</v>
      </c>
      <c r="N400" s="857">
        <f t="shared" si="189"/>
        <v>4.5766325000000073E-2</v>
      </c>
      <c r="O400" s="811">
        <f t="shared" si="192"/>
        <v>2.7630000340909136E-2</v>
      </c>
      <c r="P400" s="856" t="b">
        <f t="shared" si="180"/>
        <v>0</v>
      </c>
      <c r="Q400" s="857">
        <f>COUNTIF(P$2:P400, TRUE)/(COUNTIF(P$2:P400,FALSE) + COUNTIF(P$2:P400, TRUE))</f>
        <v>0.48621553884711777</v>
      </c>
      <c r="R400" s="855">
        <v>286240.8</v>
      </c>
      <c r="S400" s="855">
        <f t="shared" si="195"/>
        <v>132065.73000000004</v>
      </c>
      <c r="T400" s="855">
        <v>-33099</v>
      </c>
      <c r="U400" s="855">
        <f t="shared" si="196"/>
        <v>51405.530000000028</v>
      </c>
      <c r="V400" s="857">
        <f>STDEV(D$2:D400)*SQRT(252)</f>
        <v>0.15236615023728597</v>
      </c>
      <c r="W400" s="857">
        <f>STDEV(L$2:L400)*SQRT(252)</f>
        <v>0.33032064931831551</v>
      </c>
      <c r="X400" s="826">
        <f t="shared" si="164"/>
        <v>0.42688424323951168</v>
      </c>
      <c r="Y400" s="826">
        <f t="shared" si="165"/>
        <v>8.3645997905154632E-2</v>
      </c>
      <c r="Z400" s="832">
        <f t="shared" si="166"/>
        <v>-6.1970399948155293E-2</v>
      </c>
    </row>
    <row r="401" spans="1:26" ht="20.100000000000001" customHeight="1" x14ac:dyDescent="0.2">
      <c r="A401" s="801">
        <f t="shared" si="188"/>
        <v>609</v>
      </c>
      <c r="B401" s="820">
        <v>42842</v>
      </c>
      <c r="C401" s="845">
        <v>2349.0100000000002</v>
      </c>
      <c r="D401" s="817">
        <f t="shared" si="185"/>
        <v>8.6133236007644651E-3</v>
      </c>
      <c r="E401" s="844">
        <f t="shared" si="175"/>
        <v>0.11727801982458484</v>
      </c>
      <c r="F401" s="841">
        <v>5856.78</v>
      </c>
      <c r="G401" s="817">
        <f t="shared" si="191"/>
        <v>8.8938270328932263E-3</v>
      </c>
      <c r="H401" s="822">
        <f t="shared" si="193"/>
        <v>0.15026022742895298</v>
      </c>
      <c r="I401" s="824">
        <v>420202.33</v>
      </c>
      <c r="J401" s="825">
        <v>400000</v>
      </c>
      <c r="K401" s="825">
        <f t="shared" si="194"/>
        <v>1895.7999999999884</v>
      </c>
      <c r="L401" s="817">
        <f t="shared" si="190"/>
        <v>4.5320832070204313E-3</v>
      </c>
      <c r="M401" s="842">
        <f t="shared" si="178"/>
        <v>20202.330000000016</v>
      </c>
      <c r="N401" s="827">
        <f t="shared" si="189"/>
        <v>5.0505825000000039E-2</v>
      </c>
      <c r="O401" s="811">
        <f t="shared" si="192"/>
        <v>3.0291055141625639E-2</v>
      </c>
      <c r="P401" s="842" t="b">
        <f t="shared" si="180"/>
        <v>0</v>
      </c>
      <c r="Q401" s="827">
        <f>COUNTIF(P$2:P401, TRUE)/(COUNTIF(P$2:P401,FALSE) + COUNTIF(P$2:P401, TRUE))</f>
        <v>0.48499999999999999</v>
      </c>
      <c r="R401" s="825">
        <v>288136.59999999998</v>
      </c>
      <c r="S401" s="825">
        <f t="shared" si="195"/>
        <v>132065.73000000004</v>
      </c>
      <c r="T401" s="825">
        <v>-32580</v>
      </c>
      <c r="U401" s="825">
        <f t="shared" si="196"/>
        <v>52782.330000000016</v>
      </c>
      <c r="V401" s="827">
        <f>STDEV(D$2:D401)*SQRT(252)</f>
        <v>0.15231786401444669</v>
      </c>
      <c r="W401" s="827">
        <f>STDEV(L$2:L401)*SQRT(252)</f>
        <v>0.32992050318629979</v>
      </c>
      <c r="X401" s="826">
        <f t="shared" si="164"/>
        <v>0.46178382383500471</v>
      </c>
      <c r="Y401" s="826">
        <f t="shared" si="165"/>
        <v>9.1813193933330234E-2</v>
      </c>
      <c r="Z401" s="832">
        <f t="shared" si="166"/>
        <v>-6.6772194824584796E-2</v>
      </c>
    </row>
    <row r="402" spans="1:26" ht="20.100000000000001" customHeight="1" x14ac:dyDescent="0.2">
      <c r="A402" s="801">
        <f t="shared" si="188"/>
        <v>610</v>
      </c>
      <c r="B402" s="820">
        <v>42843</v>
      </c>
      <c r="C402" s="845">
        <v>2342.19</v>
      </c>
      <c r="D402" s="817">
        <f t="shared" si="185"/>
        <v>-2.9033507733045678E-3</v>
      </c>
      <c r="E402" s="844">
        <f t="shared" si="175"/>
        <v>0.11403416982173094</v>
      </c>
      <c r="F402" s="841">
        <v>5849.47</v>
      </c>
      <c r="G402" s="817">
        <f t="shared" ref="G402:G411" si="197">(F402-F401)/F401</f>
        <v>-1.2481261034219299E-3</v>
      </c>
      <c r="H402" s="822">
        <f t="shared" si="193"/>
        <v>0.14882455761337088</v>
      </c>
      <c r="I402" s="824">
        <v>417764.53</v>
      </c>
      <c r="J402" s="825">
        <v>400000</v>
      </c>
      <c r="K402" s="825">
        <f t="shared" si="194"/>
        <v>-2437.7999999999884</v>
      </c>
      <c r="L402" s="817">
        <f t="shared" ref="L402:L411" si="198">K402/I401</f>
        <v>-5.801490915102704E-3</v>
      </c>
      <c r="M402" s="842">
        <f t="shared" si="178"/>
        <v>17764.530000000028</v>
      </c>
      <c r="N402" s="827">
        <f t="shared" si="189"/>
        <v>4.4411325000000071E-2</v>
      </c>
      <c r="O402" s="811">
        <f t="shared" si="192"/>
        <v>2.6592190911885288E-2</v>
      </c>
      <c r="P402" s="842" t="b">
        <f t="shared" si="180"/>
        <v>0</v>
      </c>
      <c r="Q402" s="827">
        <f>COUNTIF(P$2:P402, TRUE)/(COUNTIF(P$2:P402,FALSE) + COUNTIF(P$2:P402, TRUE))</f>
        <v>0.48379052369077308</v>
      </c>
      <c r="R402" s="825">
        <v>290653.2</v>
      </c>
      <c r="S402" s="825">
        <f t="shared" si="195"/>
        <v>127111.33000000002</v>
      </c>
      <c r="T402" s="825">
        <v>-32684</v>
      </c>
      <c r="U402" s="825">
        <f t="shared" si="196"/>
        <v>50448.530000000028</v>
      </c>
      <c r="V402" s="827">
        <f>STDEV(D$2:D402)*SQRT(252)</f>
        <v>0.15214843271809947</v>
      </c>
      <c r="W402" s="827">
        <f>STDEV(L$2:L402)*SQRT(252)</f>
        <v>0.32954563372803763</v>
      </c>
      <c r="X402" s="826">
        <f t="shared" si="164"/>
        <v>0.44877423136553851</v>
      </c>
      <c r="Y402" s="826">
        <f t="shared" si="165"/>
        <v>8.0693500960874159E-2</v>
      </c>
      <c r="Z402" s="832">
        <f t="shared" si="166"/>
        <v>-6.9622844821730867E-2</v>
      </c>
    </row>
    <row r="403" spans="1:26" ht="20.100000000000001" customHeight="1" x14ac:dyDescent="0.2">
      <c r="A403" s="801">
        <f t="shared" si="188"/>
        <v>611</v>
      </c>
      <c r="B403" s="820">
        <v>42844</v>
      </c>
      <c r="C403" s="845">
        <v>2338.17</v>
      </c>
      <c r="D403" s="817">
        <f t="shared" si="185"/>
        <v>-1.716342397499768E-3</v>
      </c>
      <c r="E403" s="844">
        <f t="shared" si="175"/>
        <v>0.11212210574380245</v>
      </c>
      <c r="F403" s="841">
        <v>5863.03</v>
      </c>
      <c r="G403" s="817">
        <f t="shared" si="197"/>
        <v>2.3181587391677347E-3</v>
      </c>
      <c r="H403" s="822">
        <f t="shared" si="193"/>
        <v>0.15148771530137281</v>
      </c>
      <c r="I403" s="824">
        <v>412053.83</v>
      </c>
      <c r="J403" s="825">
        <v>400000</v>
      </c>
      <c r="K403" s="825">
        <f t="shared" si="194"/>
        <v>-5710.7000000000116</v>
      </c>
      <c r="L403" s="817">
        <f t="shared" si="198"/>
        <v>-1.3669662189846542E-2</v>
      </c>
      <c r="M403" s="842">
        <f t="shared" si="178"/>
        <v>12053.830000000016</v>
      </c>
      <c r="N403" s="827">
        <f t="shared" si="189"/>
        <v>3.0134575000000042E-2</v>
      </c>
      <c r="O403" s="811">
        <f t="shared" si="192"/>
        <v>1.801416287847793E-2</v>
      </c>
      <c r="P403" s="842" t="b">
        <f t="shared" si="180"/>
        <v>0</v>
      </c>
      <c r="Q403" s="827">
        <f>COUNTIF(P$2:P403, TRUE)/(COUNTIF(P$2:P403,FALSE) + COUNTIF(P$2:P403, TRUE))</f>
        <v>0.48258706467661694</v>
      </c>
      <c r="R403" s="825">
        <v>290014.5</v>
      </c>
      <c r="S403" s="825">
        <f t="shared" si="195"/>
        <v>122039.33000000002</v>
      </c>
      <c r="T403" s="825">
        <v>-34379</v>
      </c>
      <c r="U403" s="825">
        <f t="shared" si="196"/>
        <v>46432.830000000016</v>
      </c>
      <c r="V403" s="827">
        <f>STDEV(D$2:D403)*SQRT(252)</f>
        <v>0.15196666630040803</v>
      </c>
      <c r="W403" s="827">
        <f>STDEV(L$2:L403)*SQRT(252)</f>
        <v>0.32932657085630085</v>
      </c>
      <c r="X403" s="826">
        <f t="shared" si="164"/>
        <v>0.4410541608310396</v>
      </c>
      <c r="Y403" s="826">
        <f t="shared" si="165"/>
        <v>5.4699998337936338E-2</v>
      </c>
      <c r="Z403" s="832">
        <f t="shared" si="166"/>
        <v>-8.1987530743802411E-2</v>
      </c>
    </row>
    <row r="404" spans="1:26" ht="20.100000000000001" customHeight="1" x14ac:dyDescent="0.2">
      <c r="A404" s="801">
        <f t="shared" si="188"/>
        <v>612</v>
      </c>
      <c r="B404" s="820">
        <v>42845</v>
      </c>
      <c r="C404" s="845">
        <v>2355.84</v>
      </c>
      <c r="D404" s="817">
        <f t="shared" si="185"/>
        <v>7.5571921631019442E-3</v>
      </c>
      <c r="E404" s="844">
        <f t="shared" si="175"/>
        <v>0.12052662620574194</v>
      </c>
      <c r="F404" s="841">
        <v>5916.77</v>
      </c>
      <c r="G404" s="817">
        <f t="shared" si="197"/>
        <v>9.1659090947855786E-3</v>
      </c>
      <c r="H404" s="822">
        <f t="shared" si="193"/>
        <v>0.16204214702358755</v>
      </c>
      <c r="I404" s="824">
        <v>413381.09</v>
      </c>
      <c r="J404" s="825">
        <v>400000</v>
      </c>
      <c r="K404" s="825">
        <f t="shared" si="194"/>
        <v>1327.2600000000093</v>
      </c>
      <c r="L404" s="817">
        <f t="shared" si="198"/>
        <v>3.2210840025440591E-3</v>
      </c>
      <c r="M404" s="842">
        <f t="shared" si="178"/>
        <v>13381.090000000026</v>
      </c>
      <c r="N404" s="827">
        <f t="shared" si="189"/>
        <v>3.3452725000000065E-2</v>
      </c>
      <c r="O404" s="811">
        <f t="shared" si="192"/>
        <v>1.996504543504906E-2</v>
      </c>
      <c r="P404" s="842" t="b">
        <f t="shared" si="180"/>
        <v>0</v>
      </c>
      <c r="Q404" s="827">
        <f>COUNTIF(P$2:P404, TRUE)/(COUNTIF(P$2:P404,FALSE) + COUNTIF(P$2:P404, TRUE))</f>
        <v>0.4813895781637717</v>
      </c>
      <c r="R404" s="825">
        <v>286755.8</v>
      </c>
      <c r="S404" s="825">
        <f t="shared" si="195"/>
        <v>126625.29000000004</v>
      </c>
      <c r="T404" s="825">
        <v>-34560</v>
      </c>
      <c r="U404" s="825">
        <f t="shared" si="196"/>
        <v>47941.090000000026</v>
      </c>
      <c r="V404" s="827">
        <f>STDEV(D$2:D404)*SQRT(252)</f>
        <v>0.15188546729503541</v>
      </c>
      <c r="W404" s="827">
        <f>STDEV(L$2:L404)*SQRT(252)</f>
        <v>0.32892263497234886</v>
      </c>
      <c r="X404" s="826">
        <f t="shared" si="164"/>
        <v>0.47359333376435769</v>
      </c>
      <c r="Y404" s="826">
        <f t="shared" si="165"/>
        <v>6.069830200870012E-2</v>
      </c>
      <c r="Z404" s="832">
        <f t="shared" si="166"/>
        <v>-8.7073901205741877E-2</v>
      </c>
    </row>
    <row r="405" spans="1:26" ht="20.100000000000001" customHeight="1" x14ac:dyDescent="0.2">
      <c r="A405" s="801">
        <f t="shared" si="188"/>
        <v>613</v>
      </c>
      <c r="B405" s="820">
        <v>42846</v>
      </c>
      <c r="C405" s="845">
        <v>2348.69</v>
      </c>
      <c r="D405" s="817">
        <f t="shared" si="185"/>
        <v>-3.035010866612372E-3</v>
      </c>
      <c r="E405" s="844">
        <f t="shared" si="175"/>
        <v>0.11712581571887902</v>
      </c>
      <c r="F405" s="841">
        <v>5910.52</v>
      </c>
      <c r="G405" s="817">
        <f t="shared" si="197"/>
        <v>-1.0563195797707195E-3</v>
      </c>
      <c r="H405" s="822">
        <f t="shared" si="193"/>
        <v>0.16081465915116772</v>
      </c>
      <c r="I405" s="824">
        <v>413138.88</v>
      </c>
      <c r="J405" s="825">
        <v>400000</v>
      </c>
      <c r="K405" s="825">
        <f t="shared" si="194"/>
        <v>-242.21000000002095</v>
      </c>
      <c r="L405" s="817">
        <f t="shared" si="198"/>
        <v>-5.8592423760850051E-4</v>
      </c>
      <c r="M405" s="842">
        <f t="shared" si="178"/>
        <v>13138.880000000005</v>
      </c>
      <c r="N405" s="827">
        <f t="shared" si="189"/>
        <v>3.2847200000000014E-2</v>
      </c>
      <c r="O405" s="811">
        <f t="shared" si="192"/>
        <v>1.9571679934747153E-2</v>
      </c>
      <c r="P405" s="842" t="b">
        <f t="shared" si="180"/>
        <v>1</v>
      </c>
      <c r="Q405" s="827">
        <f>COUNTIF(P$2:P405, TRUE)/(COUNTIF(P$2:P405,FALSE) + COUNTIF(P$2:P405, TRUE))</f>
        <v>0.48267326732673266</v>
      </c>
      <c r="R405" s="825">
        <v>297467.59999999998</v>
      </c>
      <c r="S405" s="825">
        <f t="shared" si="195"/>
        <v>115671.28000000003</v>
      </c>
      <c r="T405" s="825">
        <v>-34397</v>
      </c>
      <c r="U405" s="825">
        <f t="shared" si="196"/>
        <v>47535.880000000005</v>
      </c>
      <c r="V405" s="827">
        <f>STDEV(D$2:D405)*SQRT(252)</f>
        <v>0.15171975521586792</v>
      </c>
      <c r="W405" s="827">
        <f>STDEV(L$2:L405)*SQRT(252)</f>
        <v>0.32851445080511427</v>
      </c>
      <c r="X405" s="826">
        <f t="shared" si="164"/>
        <v>0.45998137305342573</v>
      </c>
      <c r="Y405" s="826">
        <f t="shared" si="165"/>
        <v>5.9576313573973423E-2</v>
      </c>
      <c r="Z405" s="832">
        <f t="shared" si="166"/>
        <v>-8.4278615718879013E-2</v>
      </c>
    </row>
    <row r="406" spans="1:26" ht="20.100000000000001" customHeight="1" x14ac:dyDescent="0.2">
      <c r="A406" s="801">
        <f t="shared" si="188"/>
        <v>616</v>
      </c>
      <c r="B406" s="849">
        <v>42849</v>
      </c>
      <c r="C406" s="860">
        <v>2374.15</v>
      </c>
      <c r="D406" s="817">
        <f t="shared" si="185"/>
        <v>1.084008532415944E-2</v>
      </c>
      <c r="E406" s="851">
        <f t="shared" si="175"/>
        <v>0.12923555487909288</v>
      </c>
      <c r="F406" s="852">
        <v>5983.81</v>
      </c>
      <c r="G406" s="817">
        <f t="shared" si="197"/>
        <v>1.2399924202946604E-2</v>
      </c>
      <c r="H406" s="853">
        <f t="shared" si="193"/>
        <v>0.17520867293831149</v>
      </c>
      <c r="I406" s="862">
        <v>413141.03</v>
      </c>
      <c r="J406" s="855">
        <v>400000</v>
      </c>
      <c r="K406" s="855">
        <f t="shared" si="194"/>
        <v>2.1500000000232831</v>
      </c>
      <c r="L406" s="817">
        <f t="shared" si="198"/>
        <v>5.2040611622495641E-6</v>
      </c>
      <c r="M406" s="864">
        <f t="shared" si="178"/>
        <v>13141.030000000028</v>
      </c>
      <c r="N406" s="857">
        <f t="shared" si="189"/>
        <v>3.2852575000000071E-2</v>
      </c>
      <c r="O406" s="811">
        <f t="shared" si="192"/>
        <v>1.9479550355113676E-2</v>
      </c>
      <c r="P406" s="856" t="b">
        <f t="shared" si="180"/>
        <v>0</v>
      </c>
      <c r="Q406" s="857">
        <f>COUNTIF(P$2:P406, TRUE)/(COUNTIF(P$2:P406,FALSE) + COUNTIF(P$2:P406, TRUE))</f>
        <v>0.48148148148148145</v>
      </c>
      <c r="R406" s="855">
        <v>297462.59999999998</v>
      </c>
      <c r="S406" s="855">
        <f t="shared" si="195"/>
        <v>115678.43000000005</v>
      </c>
      <c r="T406" s="855">
        <v>-34227</v>
      </c>
      <c r="U406" s="855">
        <f t="shared" si="196"/>
        <v>47368.030000000028</v>
      </c>
      <c r="V406" s="857">
        <f>STDEV(D$2:D406)*SQRT(252)</f>
        <v>0.15175900014627838</v>
      </c>
      <c r="W406" s="857">
        <f>STDEV(L$2:L406)*SQRT(252)</f>
        <v>0.32810686732873107</v>
      </c>
      <c r="X406" s="826">
        <f t="shared" si="164"/>
        <v>0.50493685149645251</v>
      </c>
      <c r="Y406" s="826">
        <f t="shared" si="165"/>
        <v>5.9369529549032775E-2</v>
      </c>
      <c r="Z406" s="832">
        <f t="shared" si="166"/>
        <v>-9.6382979879092806E-2</v>
      </c>
    </row>
    <row r="407" spans="1:26" ht="20.100000000000001" customHeight="1" x14ac:dyDescent="0.2">
      <c r="A407" s="801">
        <f t="shared" si="188"/>
        <v>617</v>
      </c>
      <c r="B407" s="849">
        <v>42850</v>
      </c>
      <c r="C407" s="860">
        <v>2388.61</v>
      </c>
      <c r="D407" s="817">
        <f t="shared" si="185"/>
        <v>6.0906008466188053E-3</v>
      </c>
      <c r="E407" s="851">
        <f t="shared" si="175"/>
        <v>0.13611327790567154</v>
      </c>
      <c r="F407" s="852">
        <v>6025.49</v>
      </c>
      <c r="G407" s="817">
        <f t="shared" si="197"/>
        <v>6.9654618044355313E-3</v>
      </c>
      <c r="H407" s="853">
        <f t="shared" si="193"/>
        <v>0.18339454406190467</v>
      </c>
      <c r="I407" s="862">
        <v>416914.62</v>
      </c>
      <c r="J407" s="855">
        <v>400000</v>
      </c>
      <c r="K407" s="855">
        <f t="shared" si="194"/>
        <v>3773.5899999999674</v>
      </c>
      <c r="L407" s="817">
        <f t="shared" si="198"/>
        <v>9.1339027740720089E-3</v>
      </c>
      <c r="M407" s="864">
        <f t="shared" si="178"/>
        <v>16914.619999999995</v>
      </c>
      <c r="N407" s="857">
        <f t="shared" si="189"/>
        <v>4.2286549999999985E-2</v>
      </c>
      <c r="O407" s="811">
        <f t="shared" si="192"/>
        <v>2.5032678099675843E-2</v>
      </c>
      <c r="P407" s="856" t="b">
        <f t="shared" si="180"/>
        <v>1</v>
      </c>
      <c r="Q407" s="857">
        <f>COUNTIF(P$2:P407, TRUE)/(COUNTIF(P$2:P407,FALSE) + COUNTIF(P$2:P407, TRUE))</f>
        <v>0.48275862068965519</v>
      </c>
      <c r="R407" s="855">
        <v>296317.5</v>
      </c>
      <c r="S407" s="855">
        <f t="shared" si="195"/>
        <v>120597.12</v>
      </c>
      <c r="T407" s="855">
        <v>-34395</v>
      </c>
      <c r="U407" s="855">
        <f t="shared" si="196"/>
        <v>51309.619999999995</v>
      </c>
      <c r="V407" s="857">
        <f>STDEV(D$2:D407)*SQRT(252)</f>
        <v>0.15163877531320741</v>
      </c>
      <c r="W407" s="857">
        <f>STDEV(L$2:L407)*SQRT(252)</f>
        <v>0.32777093379998218</v>
      </c>
      <c r="X407" s="826">
        <f t="shared" si="164"/>
        <v>0.53136786342339004</v>
      </c>
      <c r="Y407" s="826">
        <f t="shared" si="165"/>
        <v>7.6372476990140006E-2</v>
      </c>
      <c r="Z407" s="832">
        <f t="shared" si="166"/>
        <v>-9.3826727905671564E-2</v>
      </c>
    </row>
    <row r="408" spans="1:26" ht="20.100000000000001" customHeight="1" x14ac:dyDescent="0.2">
      <c r="A408" s="801">
        <f t="shared" si="188"/>
        <v>618</v>
      </c>
      <c r="B408" s="849">
        <v>42851</v>
      </c>
      <c r="C408" s="860">
        <v>2387.4499999999998</v>
      </c>
      <c r="D408" s="817">
        <f t="shared" si="185"/>
        <v>-4.8563809077258708E-4</v>
      </c>
      <c r="E408" s="851">
        <f t="shared" si="175"/>
        <v>0.13556153802248805</v>
      </c>
      <c r="F408" s="852">
        <v>6025.22</v>
      </c>
      <c r="G408" s="817">
        <f t="shared" si="197"/>
        <v>-4.4809633739252256E-5</v>
      </c>
      <c r="H408" s="853">
        <f t="shared" si="193"/>
        <v>0.18334151658581621</v>
      </c>
      <c r="I408" s="862">
        <v>415083.58</v>
      </c>
      <c r="J408" s="855">
        <v>400000</v>
      </c>
      <c r="K408" s="855">
        <f t="shared" si="194"/>
        <v>-1831.039999999979</v>
      </c>
      <c r="L408" s="817">
        <f t="shared" si="198"/>
        <v>-4.3918824434604356E-3</v>
      </c>
      <c r="M408" s="864">
        <f t="shared" si="178"/>
        <v>15083.580000000016</v>
      </c>
      <c r="N408" s="857">
        <f t="shared" si="189"/>
        <v>3.770895000000004E-2</v>
      </c>
      <c r="O408" s="811">
        <f t="shared" si="192"/>
        <v>2.2286721662621384E-2</v>
      </c>
      <c r="P408" s="856" t="b">
        <f t="shared" si="180"/>
        <v>0</v>
      </c>
      <c r="Q408" s="857">
        <f>COUNTIF(P$2:P408, TRUE)/(COUNTIF(P$2:P408,FALSE) + COUNTIF(P$2:P408, TRUE))</f>
        <v>0.48157248157248156</v>
      </c>
      <c r="R408" s="855">
        <v>288089.59999999998</v>
      </c>
      <c r="S408" s="855">
        <f t="shared" si="195"/>
        <v>126993.98000000004</v>
      </c>
      <c r="T408" s="855">
        <v>-34530</v>
      </c>
      <c r="U408" s="855">
        <f t="shared" si="196"/>
        <v>49613.580000000016</v>
      </c>
      <c r="V408" s="857">
        <f>STDEV(D$2:D408)*SQRT(252)</f>
        <v>0.15145291849813278</v>
      </c>
      <c r="W408" s="857">
        <f>STDEV(L$2:L408)*SQRT(252)</f>
        <v>0.32738912351132043</v>
      </c>
      <c r="X408" s="826">
        <f t="shared" si="164"/>
        <v>0.5290059909618211</v>
      </c>
      <c r="Y408" s="826">
        <f t="shared" si="165"/>
        <v>6.8074105283619041E-2</v>
      </c>
      <c r="Z408" s="832">
        <f t="shared" si="166"/>
        <v>-9.7852588022488002E-2</v>
      </c>
    </row>
    <row r="409" spans="1:26" ht="20.100000000000001" customHeight="1" x14ac:dyDescent="0.2">
      <c r="A409" s="801">
        <f t="shared" si="188"/>
        <v>619</v>
      </c>
      <c r="B409" s="849">
        <v>42852</v>
      </c>
      <c r="C409" s="860">
        <v>2388.77</v>
      </c>
      <c r="D409" s="817">
        <f t="shared" si="185"/>
        <v>5.5289116002436227E-4</v>
      </c>
      <c r="E409" s="851">
        <f t="shared" si="175"/>
        <v>0.13618937995852434</v>
      </c>
      <c r="F409" s="852">
        <v>6048.93</v>
      </c>
      <c r="G409" s="817">
        <f t="shared" si="197"/>
        <v>3.9351260202947005E-3</v>
      </c>
      <c r="H409" s="853">
        <f t="shared" si="193"/>
        <v>0.18799811457862806</v>
      </c>
      <c r="I409" s="862">
        <v>412891.26</v>
      </c>
      <c r="J409" s="855">
        <v>400000</v>
      </c>
      <c r="K409" s="855">
        <f t="shared" si="194"/>
        <v>-2192.320000000007</v>
      </c>
      <c r="L409" s="817">
        <f t="shared" si="198"/>
        <v>-5.2816350866011297E-3</v>
      </c>
      <c r="M409" s="864">
        <f t="shared" si="178"/>
        <v>12891.260000000009</v>
      </c>
      <c r="N409" s="857">
        <f t="shared" si="189"/>
        <v>3.2228150000000025E-2</v>
      </c>
      <c r="O409" s="811">
        <f t="shared" si="192"/>
        <v>1.9016691094507286E-2</v>
      </c>
      <c r="P409" s="856" t="b">
        <f t="shared" si="180"/>
        <v>0</v>
      </c>
      <c r="Q409" s="857">
        <f>COUNTIF(P$2:P409, TRUE)/(COUNTIF(P$2:P409,FALSE) + COUNTIF(P$2:P409, TRUE))</f>
        <v>0.48039215686274511</v>
      </c>
      <c r="R409" s="855">
        <v>288090.59999999998</v>
      </c>
      <c r="S409" s="855">
        <f t="shared" si="195"/>
        <v>124800.66000000003</v>
      </c>
      <c r="T409" s="855">
        <v>-34529</v>
      </c>
      <c r="U409" s="855">
        <f t="shared" si="196"/>
        <v>47420.260000000009</v>
      </c>
      <c r="V409" s="857">
        <f>STDEV(D$2:D409)*SQRT(252)</f>
        <v>0.15126636249512601</v>
      </c>
      <c r="W409" s="857">
        <f>STDEV(L$2:L409)*SQRT(252)</f>
        <v>0.32701768242254636</v>
      </c>
      <c r="X409" s="826">
        <f t="shared" si="164"/>
        <v>0.53125184909668821</v>
      </c>
      <c r="Y409" s="826">
        <f t="shared" si="165"/>
        <v>5.8151874093265159E-2</v>
      </c>
      <c r="Z409" s="832">
        <f t="shared" si="166"/>
        <v>-0.10396122995852432</v>
      </c>
    </row>
    <row r="410" spans="1:26" ht="20.100000000000001" customHeight="1" x14ac:dyDescent="0.2">
      <c r="A410" s="801">
        <f t="shared" si="188"/>
        <v>620</v>
      </c>
      <c r="B410" s="849">
        <v>42853</v>
      </c>
      <c r="C410" s="860">
        <v>2384.1999999999998</v>
      </c>
      <c r="D410" s="817">
        <f t="shared" si="185"/>
        <v>-1.913118466826092E-3</v>
      </c>
      <c r="E410" s="851">
        <f t="shared" si="175"/>
        <v>0.13401571507391399</v>
      </c>
      <c r="F410" s="852">
        <v>6047.6</v>
      </c>
      <c r="G410" s="817">
        <f t="shared" si="197"/>
        <v>-2.1987359747921155E-4</v>
      </c>
      <c r="H410" s="853">
        <f t="shared" si="193"/>
        <v>0.18773690515937713</v>
      </c>
      <c r="I410" s="865">
        <v>363198.65</v>
      </c>
      <c r="J410" s="855">
        <v>350000</v>
      </c>
      <c r="K410" s="855">
        <f t="shared" si="194"/>
        <v>307.39000000001397</v>
      </c>
      <c r="L410" s="817">
        <f t="shared" si="198"/>
        <v>7.4448173109795048E-4</v>
      </c>
      <c r="M410" s="859">
        <f t="shared" si="178"/>
        <v>13198.650000000023</v>
      </c>
      <c r="N410" s="857">
        <f t="shared" si="189"/>
        <v>3.7710428571428638E-2</v>
      </c>
      <c r="O410" s="811">
        <f t="shared" si="192"/>
        <v>2.2215700057603725E-2</v>
      </c>
      <c r="P410" s="856" t="b">
        <f t="shared" si="180"/>
        <v>1</v>
      </c>
      <c r="Q410" s="857">
        <f>COUNTIF(P$2:P410, TRUE)/(COUNTIF(P$2:P410,FALSE) + COUNTIF(P$2:P410, TRUE))</f>
        <v>0.48166259168704156</v>
      </c>
      <c r="R410" s="855">
        <v>281056.2</v>
      </c>
      <c r="S410" s="855">
        <f t="shared" si="195"/>
        <v>82142.450000000012</v>
      </c>
      <c r="T410" s="855">
        <v>-33907</v>
      </c>
      <c r="U410" s="855">
        <f t="shared" si="196"/>
        <v>47105.650000000023</v>
      </c>
      <c r="V410" s="857">
        <f>STDEV(D$2:D410)*SQRT(252)</f>
        <v>0.15109096913628567</v>
      </c>
      <c r="W410" s="857">
        <f>STDEV(L$2:L410)*SQRT(252)</f>
        <v>0.32661574241785396</v>
      </c>
      <c r="X410" s="826">
        <f t="shared" si="164"/>
        <v>0.52253544627053028</v>
      </c>
      <c r="Y410" s="826">
        <f t="shared" si="165"/>
        <v>6.8017848414612544E-2</v>
      </c>
      <c r="Z410" s="832">
        <f t="shared" si="166"/>
        <v>-9.6305286502485349E-2</v>
      </c>
    </row>
    <row r="411" spans="1:26" ht="20.100000000000001" customHeight="1" x14ac:dyDescent="0.2">
      <c r="A411" s="801">
        <f t="shared" si="188"/>
        <v>623</v>
      </c>
      <c r="B411" s="820">
        <v>42856</v>
      </c>
      <c r="C411" s="845">
        <v>2388.33</v>
      </c>
      <c r="D411" s="817">
        <f t="shared" si="185"/>
        <v>1.7322372284204804E-3</v>
      </c>
      <c r="E411" s="844">
        <f t="shared" si="175"/>
        <v>0.13598009931317892</v>
      </c>
      <c r="F411" s="841">
        <v>6091.6</v>
      </c>
      <c r="G411" s="817">
        <f t="shared" si="197"/>
        <v>7.2756134664991069E-3</v>
      </c>
      <c r="H411" s="822">
        <f t="shared" si="193"/>
        <v>0.19637841978121268</v>
      </c>
      <c r="I411" s="824">
        <v>362499.32</v>
      </c>
      <c r="J411" s="825">
        <v>350000</v>
      </c>
      <c r="K411" s="825">
        <f t="shared" si="194"/>
        <v>-699.3300000000163</v>
      </c>
      <c r="L411" s="817">
        <f t="shared" si="198"/>
        <v>-1.9254752185891007E-3</v>
      </c>
      <c r="M411" s="842">
        <f t="shared" si="178"/>
        <v>12499.320000000007</v>
      </c>
      <c r="N411" s="827">
        <f t="shared" si="189"/>
        <v>3.5712342857142879E-2</v>
      </c>
      <c r="O411" s="811">
        <f t="shared" si="192"/>
        <v>2.0937292501719801E-2</v>
      </c>
      <c r="P411" s="842" t="b">
        <f t="shared" si="180"/>
        <v>0</v>
      </c>
      <c r="Q411" s="827">
        <f>COUNTIF(P$2:P411, TRUE)/(COUNTIF(P$2:P411,FALSE) + COUNTIF(P$2:P411, TRUE))</f>
        <v>0.48048780487804876</v>
      </c>
      <c r="R411" s="825">
        <v>275826.90000000002</v>
      </c>
      <c r="S411" s="825">
        <f t="shared" si="195"/>
        <v>86672.419999999984</v>
      </c>
      <c r="T411" s="825">
        <v>-33709</v>
      </c>
      <c r="U411" s="825">
        <f t="shared" si="196"/>
        <v>46208.320000000007</v>
      </c>
      <c r="V411" s="827">
        <f>STDEV(D$2:D411)*SQRT(252)</f>
        <v>0.15090957633377333</v>
      </c>
      <c r="W411" s="827">
        <f>STDEV(L$2:L411)*SQRT(252)</f>
        <v>0.32622087133744371</v>
      </c>
      <c r="X411" s="826">
        <f t="shared" ref="X411:X474" si="199">E411/(A411/365.25)/V411</f>
        <v>0.52827581914664401</v>
      </c>
      <c r="Y411" s="826">
        <f t="shared" ref="Y411:Y474" si="200">O411/W411</f>
        <v>6.4181339519696803E-2</v>
      </c>
      <c r="Z411" s="832">
        <f t="shared" ref="Z411:Z474" si="201">-(E411-N411)</f>
        <v>-0.10026775645603604</v>
      </c>
    </row>
    <row r="412" spans="1:26" ht="20.100000000000001" customHeight="1" x14ac:dyDescent="0.2">
      <c r="A412" s="801">
        <f t="shared" si="188"/>
        <v>624</v>
      </c>
      <c r="B412" s="820">
        <v>42857</v>
      </c>
      <c r="C412" s="845">
        <v>2391.17</v>
      </c>
      <c r="D412" s="817">
        <f t="shared" si="185"/>
        <v>1.1891154069999311E-3</v>
      </c>
      <c r="E412" s="844">
        <f t="shared" si="175"/>
        <v>0.13733091075131751</v>
      </c>
      <c r="F412" s="841">
        <v>6095.36</v>
      </c>
      <c r="G412" s="817">
        <f t="shared" ref="G412:G441" si="202">(F412-F411)/F411</f>
        <v>6.1724341716450667E-4</v>
      </c>
      <c r="H412" s="822">
        <f t="shared" si="193"/>
        <v>0.1971168764852603</v>
      </c>
      <c r="I412" s="824">
        <v>359669.82</v>
      </c>
      <c r="J412" s="825">
        <v>350000</v>
      </c>
      <c r="K412" s="825">
        <f t="shared" si="194"/>
        <v>-2829.5</v>
      </c>
      <c r="L412" s="817">
        <f t="shared" ref="L412:L441" si="203">K412/I411</f>
        <v>-7.8055318834804989E-3</v>
      </c>
      <c r="M412" s="842">
        <f t="shared" si="178"/>
        <v>9669.820000000007</v>
      </c>
      <c r="N412" s="827">
        <f t="shared" si="189"/>
        <v>2.7628057142857161E-2</v>
      </c>
      <c r="O412" s="811">
        <f t="shared" si="192"/>
        <v>1.6171711332417592E-2</v>
      </c>
      <c r="P412" s="842" t="b">
        <f t="shared" si="180"/>
        <v>0</v>
      </c>
      <c r="Q412" s="827">
        <f>COUNTIF(P$2:P412, TRUE)/(COUNTIF(P$2:P412,FALSE) + COUNTIF(P$2:P412, TRUE))</f>
        <v>0.47931873479318737</v>
      </c>
      <c r="R412" s="825">
        <v>278414.40000000002</v>
      </c>
      <c r="S412" s="825">
        <f t="shared" si="195"/>
        <v>81255.419999999984</v>
      </c>
      <c r="T412" s="825">
        <v>-34708</v>
      </c>
      <c r="U412" s="825">
        <f t="shared" si="196"/>
        <v>44377.820000000007</v>
      </c>
      <c r="V412" s="827">
        <f>STDEV(D$2:D412)*SQRT(252)</f>
        <v>0.1507263900275706</v>
      </c>
      <c r="W412" s="827">
        <f>STDEV(L$2:L412)*SQRT(252)</f>
        <v>0.32588707199779721</v>
      </c>
      <c r="X412" s="826">
        <f t="shared" si="199"/>
        <v>0.53331602984880633</v>
      </c>
      <c r="Y412" s="826">
        <f t="shared" si="200"/>
        <v>4.9623666361723308E-2</v>
      </c>
      <c r="Z412" s="832">
        <f t="shared" si="201"/>
        <v>-0.10970285360846035</v>
      </c>
    </row>
    <row r="413" spans="1:26" ht="20.100000000000001" customHeight="1" x14ac:dyDescent="0.2">
      <c r="A413" s="801">
        <f t="shared" si="188"/>
        <v>625</v>
      </c>
      <c r="B413" s="820">
        <v>42858</v>
      </c>
      <c r="C413" s="845">
        <v>2388.13</v>
      </c>
      <c r="D413" s="817">
        <f t="shared" si="185"/>
        <v>-1.2713441536988017E-3</v>
      </c>
      <c r="E413" s="844">
        <f t="shared" si="175"/>
        <v>0.13588497174711289</v>
      </c>
      <c r="F413" s="841">
        <v>6072.55</v>
      </c>
      <c r="G413" s="817">
        <f t="shared" si="202"/>
        <v>-3.7421907811842929E-3</v>
      </c>
      <c r="H413" s="822">
        <f t="shared" si="193"/>
        <v>0.19263703674607702</v>
      </c>
      <c r="I413" s="824">
        <v>359426.22</v>
      </c>
      <c r="J413" s="825">
        <v>350000</v>
      </c>
      <c r="K413" s="825">
        <f t="shared" si="194"/>
        <v>-243.60000000003492</v>
      </c>
      <c r="L413" s="817">
        <f t="shared" si="203"/>
        <v>-6.7728785250882302E-4</v>
      </c>
      <c r="M413" s="842">
        <f t="shared" si="178"/>
        <v>9426.2199999999721</v>
      </c>
      <c r="N413" s="827">
        <f t="shared" si="189"/>
        <v>2.6932057142857062E-2</v>
      </c>
      <c r="O413" s="811">
        <f t="shared" si="192"/>
        <v>1.5739094194285666E-2</v>
      </c>
      <c r="P413" s="842" t="b">
        <f t="shared" si="180"/>
        <v>1</v>
      </c>
      <c r="Q413" s="827">
        <f>COUNTIF(P$2:P413, TRUE)/(COUNTIF(P$2:P413,FALSE) + COUNTIF(P$2:P413, TRUE))</f>
        <v>0.48058252427184467</v>
      </c>
      <c r="R413" s="825">
        <v>280568.8</v>
      </c>
      <c r="S413" s="825">
        <f t="shared" si="195"/>
        <v>78857.419999999984</v>
      </c>
      <c r="T413" s="825">
        <v>-36065</v>
      </c>
      <c r="U413" s="825">
        <f t="shared" si="196"/>
        <v>45491.219999999972</v>
      </c>
      <c r="V413" s="827">
        <f>STDEV(D$2:D413)*SQRT(252)</f>
        <v>0.1505478764486444</v>
      </c>
      <c r="W413" s="827">
        <f>STDEV(L$2:L413)*SQRT(252)</f>
        <v>0.32549069352237764</v>
      </c>
      <c r="X413" s="826">
        <f t="shared" si="199"/>
        <v>0.52748121967766104</v>
      </c>
      <c r="Y413" s="826">
        <f t="shared" si="200"/>
        <v>4.8354974527723617E-2</v>
      </c>
      <c r="Z413" s="832">
        <f t="shared" si="201"/>
        <v>-0.10895291460425582</v>
      </c>
    </row>
    <row r="414" spans="1:26" ht="20.100000000000001" customHeight="1" x14ac:dyDescent="0.2">
      <c r="A414" s="801">
        <f t="shared" si="188"/>
        <v>626</v>
      </c>
      <c r="B414" s="820">
        <v>42859</v>
      </c>
      <c r="C414" s="845">
        <v>2389.52</v>
      </c>
      <c r="D414" s="817">
        <f t="shared" ref="D414:D426" si="204">(C414-C413)/C413</f>
        <v>5.8204536603948388E-4</v>
      </c>
      <c r="E414" s="844">
        <f t="shared" si="175"/>
        <v>0.1365461083312722</v>
      </c>
      <c r="F414" s="841">
        <v>6075.33</v>
      </c>
      <c r="G414" s="817">
        <f t="shared" si="202"/>
        <v>4.5779779499547063E-4</v>
      </c>
      <c r="H414" s="822">
        <f t="shared" si="193"/>
        <v>0.19318302335172932</v>
      </c>
      <c r="I414" s="824">
        <v>354486.32</v>
      </c>
      <c r="J414" s="825">
        <v>350000</v>
      </c>
      <c r="K414" s="825">
        <f t="shared" si="194"/>
        <v>-4939.8999999999651</v>
      </c>
      <c r="L414" s="817">
        <f t="shared" si="203"/>
        <v>-1.3743849850464347E-2</v>
      </c>
      <c r="M414" s="842">
        <f t="shared" si="178"/>
        <v>4486.320000000007</v>
      </c>
      <c r="N414" s="827">
        <f t="shared" si="189"/>
        <v>1.2818057142857163E-2</v>
      </c>
      <c r="O414" s="811">
        <f t="shared" si="192"/>
        <v>7.4789063441351097E-3</v>
      </c>
      <c r="P414" s="842" t="b">
        <f t="shared" si="180"/>
        <v>0</v>
      </c>
      <c r="Q414" s="827">
        <f>COUNTIF(P$2:P414, TRUE)/(COUNTIF(P$2:P414,FALSE) + COUNTIF(P$2:P414, TRUE))</f>
        <v>0.47941888619854722</v>
      </c>
      <c r="R414" s="825">
        <v>275628.90000000002</v>
      </c>
      <c r="S414" s="825">
        <f t="shared" si="195"/>
        <v>78857.419999999984</v>
      </c>
      <c r="T414" s="825">
        <v>-36518</v>
      </c>
      <c r="U414" s="825">
        <f t="shared" si="196"/>
        <v>41004.320000000007</v>
      </c>
      <c r="V414" s="827">
        <f>STDEV(D$2:D414)*SQRT(252)</f>
        <v>0.15036472166048559</v>
      </c>
      <c r="W414" s="827">
        <f>STDEV(L$2:L414)*SQRT(252)</f>
        <v>0.32528498931668604</v>
      </c>
      <c r="X414" s="826">
        <f t="shared" si="199"/>
        <v>0.52984551636347244</v>
      </c>
      <c r="Y414" s="826">
        <f t="shared" si="200"/>
        <v>2.2991858185174078E-2</v>
      </c>
      <c r="Z414" s="832">
        <f t="shared" si="201"/>
        <v>-0.12372805118841504</v>
      </c>
    </row>
    <row r="415" spans="1:26" ht="20.100000000000001" customHeight="1" x14ac:dyDescent="0.2">
      <c r="A415" s="801">
        <f t="shared" si="188"/>
        <v>627</v>
      </c>
      <c r="B415" s="820">
        <v>42860</v>
      </c>
      <c r="C415" s="845">
        <v>2399.29</v>
      </c>
      <c r="D415" s="817">
        <f t="shared" si="204"/>
        <v>4.0886872677357716E-3</v>
      </c>
      <c r="E415" s="844">
        <f t="shared" si="175"/>
        <v>0.14119308993360091</v>
      </c>
      <c r="F415" s="841">
        <v>6100.75</v>
      </c>
      <c r="G415" s="817">
        <f t="shared" si="202"/>
        <v>4.1841348535799818E-3</v>
      </c>
      <c r="H415" s="822">
        <f t="shared" si="193"/>
        <v>0.19817546202643521</v>
      </c>
      <c r="I415" s="824">
        <v>357180.36</v>
      </c>
      <c r="J415" s="825">
        <v>350000</v>
      </c>
      <c r="K415" s="825">
        <f t="shared" si="194"/>
        <v>2694.039999999979</v>
      </c>
      <c r="L415" s="817">
        <f t="shared" si="203"/>
        <v>7.5998419346619047E-3</v>
      </c>
      <c r="M415" s="842">
        <f t="shared" si="178"/>
        <v>7180.359999999986</v>
      </c>
      <c r="N415" s="827">
        <f t="shared" si="189"/>
        <v>2.0515314285714247E-2</v>
      </c>
      <c r="O415" s="811">
        <f t="shared" si="192"/>
        <v>1.1950906766917272E-2</v>
      </c>
      <c r="P415" s="842" t="b">
        <f t="shared" si="180"/>
        <v>1</v>
      </c>
      <c r="Q415" s="827">
        <f>COUNTIF(P$2:P415, TRUE)/(COUNTIF(P$2:P415,FALSE) + COUNTIF(P$2:P415, TRUE))</f>
        <v>0.48067632850241548</v>
      </c>
      <c r="R415" s="825">
        <v>279741</v>
      </c>
      <c r="S415" s="825">
        <f t="shared" si="195"/>
        <v>77439.359999999986</v>
      </c>
      <c r="T415" s="825">
        <v>-36093</v>
      </c>
      <c r="U415" s="825">
        <f t="shared" si="196"/>
        <v>43273.359999999986</v>
      </c>
      <c r="V415" s="827">
        <f>STDEV(D$2:D415)*SQRT(252)</f>
        <v>0.15021044016687626</v>
      </c>
      <c r="W415" s="827">
        <f>STDEV(L$2:L415)*SQRT(252)</f>
        <v>0.32493792680240624</v>
      </c>
      <c r="X415" s="826">
        <f t="shared" si="199"/>
        <v>0.54756541244818879</v>
      </c>
      <c r="Y415" s="826">
        <f t="shared" si="200"/>
        <v>3.6779045414986541E-2</v>
      </c>
      <c r="Z415" s="832">
        <f t="shared" si="201"/>
        <v>-0.12067777564788666</v>
      </c>
    </row>
    <row r="416" spans="1:26" ht="20.100000000000001" customHeight="1" x14ac:dyDescent="0.2">
      <c r="A416" s="801">
        <f t="shared" si="188"/>
        <v>630</v>
      </c>
      <c r="B416" s="849">
        <v>42863</v>
      </c>
      <c r="C416" s="860">
        <v>2399.38</v>
      </c>
      <c r="D416" s="817">
        <f t="shared" si="204"/>
        <v>3.7511097032932877E-5</v>
      </c>
      <c r="E416" s="851">
        <f t="shared" si="175"/>
        <v>0.14123589733833072</v>
      </c>
      <c r="F416" s="852">
        <v>6102.66</v>
      </c>
      <c r="G416" s="817">
        <f t="shared" si="202"/>
        <v>3.1307626111541279E-4</v>
      </c>
      <c r="H416" s="853">
        <f t="shared" si="193"/>
        <v>0.19855058232024669</v>
      </c>
      <c r="I416" s="862">
        <v>358405.67</v>
      </c>
      <c r="J416" s="855">
        <v>350000</v>
      </c>
      <c r="K416" s="855">
        <f t="shared" si="194"/>
        <v>1225.3099999999977</v>
      </c>
      <c r="L416" s="817">
        <f t="shared" si="203"/>
        <v>3.4305077692401613E-3</v>
      </c>
      <c r="M416" s="864">
        <f t="shared" si="178"/>
        <v>8405.6699999999837</v>
      </c>
      <c r="N416" s="857">
        <f t="shared" si="189"/>
        <v>2.4016199999999953E-2</v>
      </c>
      <c r="O416" s="811">
        <f t="shared" si="192"/>
        <v>1.392367785714283E-2</v>
      </c>
      <c r="P416" s="856" t="b">
        <f t="shared" si="180"/>
        <v>1</v>
      </c>
      <c r="Q416" s="857">
        <f>COUNTIF(P$2:P416, TRUE)/(COUNTIF(P$2:P416,FALSE) + COUNTIF(P$2:P416, TRUE))</f>
        <v>0.48192771084337349</v>
      </c>
      <c r="R416" s="855">
        <v>276684</v>
      </c>
      <c r="S416" s="855">
        <f t="shared" si="195"/>
        <v>81721.669999999984</v>
      </c>
      <c r="T416" s="855">
        <v>-35635</v>
      </c>
      <c r="U416" s="855">
        <f t="shared" si="196"/>
        <v>44040.669999999984</v>
      </c>
      <c r="V416" s="857">
        <f>STDEV(D$2:D416)*SQRT(252)</f>
        <v>0.15002869389277509</v>
      </c>
      <c r="W416" s="857">
        <f>STDEV(L$2:L416)*SQRT(252)</f>
        <v>0.32455251041041699</v>
      </c>
      <c r="X416" s="826">
        <f t="shared" si="199"/>
        <v>0.54578354804680929</v>
      </c>
      <c r="Y416" s="826">
        <f t="shared" si="200"/>
        <v>4.2901155931702593E-2</v>
      </c>
      <c r="Z416" s="832">
        <f t="shared" si="201"/>
        <v>-0.11721969733833076</v>
      </c>
    </row>
    <row r="417" spans="1:26" ht="20.100000000000001" customHeight="1" x14ac:dyDescent="0.2">
      <c r="A417" s="801">
        <f t="shared" si="188"/>
        <v>631</v>
      </c>
      <c r="B417" s="849">
        <v>42864</v>
      </c>
      <c r="C417" s="860">
        <v>2396.92</v>
      </c>
      <c r="D417" s="817">
        <f t="shared" si="204"/>
        <v>-1.0252648600888713E-3</v>
      </c>
      <c r="E417" s="851">
        <f t="shared" si="175"/>
        <v>0.14006582827571773</v>
      </c>
      <c r="F417" s="852">
        <v>6120.58</v>
      </c>
      <c r="G417" s="817">
        <f t="shared" si="202"/>
        <v>2.9364244444226081E-3</v>
      </c>
      <c r="H417" s="853">
        <f t="shared" si="193"/>
        <v>0.20207003554804881</v>
      </c>
      <c r="I417" s="862">
        <v>357612.56</v>
      </c>
      <c r="J417" s="855">
        <v>350000</v>
      </c>
      <c r="K417" s="855">
        <f t="shared" si="194"/>
        <v>-793.10999999998603</v>
      </c>
      <c r="L417" s="817">
        <f t="shared" si="203"/>
        <v>-2.2128835182768903E-3</v>
      </c>
      <c r="M417" s="864">
        <f t="shared" si="178"/>
        <v>7612.5599999999977</v>
      </c>
      <c r="N417" s="857">
        <f t="shared" si="189"/>
        <v>2.1750171428571424E-2</v>
      </c>
      <c r="O417" s="811">
        <f t="shared" si="192"/>
        <v>1.2589936789676247E-2</v>
      </c>
      <c r="P417" s="856" t="b">
        <f t="shared" si="180"/>
        <v>0</v>
      </c>
      <c r="Q417" s="857">
        <f>COUNTIF(P$2:P417, TRUE)/(COUNTIF(P$2:P417,FALSE) + COUNTIF(P$2:P417, TRUE))</f>
        <v>0.48076923076923078</v>
      </c>
      <c r="R417" s="855">
        <v>250918.6</v>
      </c>
      <c r="S417" s="855">
        <f t="shared" si="195"/>
        <v>106693.95999999999</v>
      </c>
      <c r="T417" s="855">
        <v>-36105</v>
      </c>
      <c r="U417" s="855">
        <f t="shared" si="196"/>
        <v>43717.56</v>
      </c>
      <c r="V417" s="857">
        <f>STDEV(D$2:D417)*SQRT(252)</f>
        <v>0.1498512986426479</v>
      </c>
      <c r="W417" s="857">
        <f>STDEV(L$2:L417)*SQRT(252)</f>
        <v>0.32416708817907541</v>
      </c>
      <c r="X417" s="826">
        <f t="shared" si="199"/>
        <v>0.54104395386140325</v>
      </c>
      <c r="Y417" s="826">
        <f t="shared" si="200"/>
        <v>3.8837800778595243E-2</v>
      </c>
      <c r="Z417" s="832">
        <f t="shared" si="201"/>
        <v>-0.1183156568471463</v>
      </c>
    </row>
    <row r="418" spans="1:26" ht="20.100000000000001" customHeight="1" x14ac:dyDescent="0.2">
      <c r="A418" s="801">
        <f t="shared" si="188"/>
        <v>632</v>
      </c>
      <c r="B418" s="849">
        <v>42865</v>
      </c>
      <c r="C418" s="860">
        <v>2399.63</v>
      </c>
      <c r="D418" s="817">
        <f t="shared" si="204"/>
        <v>1.1306176259533219E-3</v>
      </c>
      <c r="E418" s="851">
        <f t="shared" si="175"/>
        <v>0.14135480679591333</v>
      </c>
      <c r="F418" s="852">
        <v>6129.14</v>
      </c>
      <c r="G418" s="817">
        <f t="shared" si="202"/>
        <v>1.3985602671642884E-3</v>
      </c>
      <c r="H418" s="853">
        <f t="shared" si="193"/>
        <v>0.20375120293811508</v>
      </c>
      <c r="I418" s="862">
        <v>364191.11</v>
      </c>
      <c r="J418" s="855">
        <v>350000</v>
      </c>
      <c r="K418" s="855">
        <f t="shared" si="194"/>
        <v>6578.5499999999884</v>
      </c>
      <c r="L418" s="817">
        <f t="shared" si="203"/>
        <v>1.839574650286329E-2</v>
      </c>
      <c r="M418" s="864">
        <f t="shared" si="178"/>
        <v>14191.109999999986</v>
      </c>
      <c r="N418" s="857">
        <f t="shared" si="189"/>
        <v>4.0546028571428534E-2</v>
      </c>
      <c r="O418" s="811">
        <f t="shared" si="192"/>
        <v>2.3432653379294736E-2</v>
      </c>
      <c r="P418" s="856" t="b">
        <f t="shared" si="180"/>
        <v>1</v>
      </c>
      <c r="Q418" s="857">
        <f>COUNTIF(P$2:P418, TRUE)/(COUNTIF(P$2:P418,FALSE) + COUNTIF(P$2:P418, TRUE))</f>
        <v>0.48201438848920863</v>
      </c>
      <c r="R418" s="855">
        <v>261546.2</v>
      </c>
      <c r="S418" s="855">
        <f t="shared" si="195"/>
        <v>102644.90999999997</v>
      </c>
      <c r="T418" s="855">
        <v>-32756</v>
      </c>
      <c r="U418" s="855">
        <f t="shared" si="196"/>
        <v>46947.109999999986</v>
      </c>
      <c r="V418" s="857">
        <f>STDEV(D$2:D418)*SQRT(252)</f>
        <v>0.14967184694168775</v>
      </c>
      <c r="W418" s="857">
        <f>STDEV(L$2:L418)*SQRT(252)</f>
        <v>0.32407666797384388</v>
      </c>
      <c r="X418" s="826">
        <f t="shared" si="199"/>
        <v>0.5458126662731192</v>
      </c>
      <c r="Y418" s="826">
        <f t="shared" si="200"/>
        <v>7.2305894545873259E-2</v>
      </c>
      <c r="Z418" s="832">
        <f t="shared" si="201"/>
        <v>-0.10080877822448481</v>
      </c>
    </row>
    <row r="419" spans="1:26" ht="20.100000000000001" customHeight="1" x14ac:dyDescent="0.2">
      <c r="A419" s="801">
        <f t="shared" si="188"/>
        <v>633</v>
      </c>
      <c r="B419" s="849">
        <v>42866</v>
      </c>
      <c r="C419" s="860">
        <v>2394.44</v>
      </c>
      <c r="D419" s="817">
        <f t="shared" si="204"/>
        <v>-2.1628334368215328E-3</v>
      </c>
      <c r="E419" s="851">
        <f t="shared" si="175"/>
        <v>0.13888624645649816</v>
      </c>
      <c r="F419" s="852">
        <v>6115.96</v>
      </c>
      <c r="G419" s="817">
        <f t="shared" si="202"/>
        <v>-2.1503832511576321E-3</v>
      </c>
      <c r="H419" s="853">
        <f t="shared" si="193"/>
        <v>0.2011626765127561</v>
      </c>
      <c r="I419" s="862">
        <v>363186.71</v>
      </c>
      <c r="J419" s="855">
        <v>350000</v>
      </c>
      <c r="K419" s="855">
        <f t="shared" si="194"/>
        <v>-1004.3999999999651</v>
      </c>
      <c r="L419" s="817">
        <f t="shared" si="203"/>
        <v>-2.7578926899120768E-3</v>
      </c>
      <c r="M419" s="864">
        <f t="shared" si="178"/>
        <v>13186.710000000021</v>
      </c>
      <c r="N419" s="857">
        <f t="shared" si="189"/>
        <v>3.7676314285714343E-2</v>
      </c>
      <c r="O419" s="811">
        <f t="shared" si="192"/>
        <v>2.1739769025050811E-2</v>
      </c>
      <c r="P419" s="856" t="b">
        <f t="shared" si="180"/>
        <v>0</v>
      </c>
      <c r="Q419" s="857">
        <f>COUNTIF(P$2:P419, TRUE)/(COUNTIF(P$2:P419,FALSE) + COUNTIF(P$2:P419, TRUE))</f>
        <v>0.48086124401913877</v>
      </c>
      <c r="R419" s="855">
        <v>265284.09999999998</v>
      </c>
      <c r="S419" s="855">
        <f t="shared" si="195"/>
        <v>97902.610000000044</v>
      </c>
      <c r="T419" s="855">
        <v>-32128</v>
      </c>
      <c r="U419" s="855">
        <f t="shared" si="196"/>
        <v>45314.710000000021</v>
      </c>
      <c r="V419" s="857">
        <f>STDEV(D$2:D419)*SQRT(252)</f>
        <v>0.14950473025316971</v>
      </c>
      <c r="W419" s="857">
        <f>STDEV(L$2:L419)*SQRT(252)</f>
        <v>0.32369692065240813</v>
      </c>
      <c r="X419" s="826">
        <f t="shared" si="199"/>
        <v>0.53603212925544852</v>
      </c>
      <c r="Y419" s="826">
        <f t="shared" si="200"/>
        <v>6.7160876851205475E-2</v>
      </c>
      <c r="Z419" s="832">
        <f t="shared" si="201"/>
        <v>-0.10120993217078382</v>
      </c>
    </row>
    <row r="420" spans="1:26" ht="20.100000000000001" customHeight="1" x14ac:dyDescent="0.2">
      <c r="A420" s="801">
        <f t="shared" si="188"/>
        <v>634</v>
      </c>
      <c r="B420" s="849">
        <v>42867</v>
      </c>
      <c r="C420" s="860">
        <v>2390.9</v>
      </c>
      <c r="D420" s="817">
        <f t="shared" si="204"/>
        <v>-1.4784250179582547E-3</v>
      </c>
      <c r="E420" s="851">
        <f t="shared" si="175"/>
        <v>0.1372024885371283</v>
      </c>
      <c r="F420" s="852">
        <v>6121.23</v>
      </c>
      <c r="G420" s="817">
        <f t="shared" si="202"/>
        <v>8.6167993250438639E-4</v>
      </c>
      <c r="H420" s="853">
        <f t="shared" si="193"/>
        <v>0.20219769428678042</v>
      </c>
      <c r="I420" s="862">
        <v>359448.71</v>
      </c>
      <c r="J420" s="855">
        <v>350000</v>
      </c>
      <c r="K420" s="855">
        <f t="shared" si="194"/>
        <v>-3738</v>
      </c>
      <c r="L420" s="817">
        <f t="shared" si="203"/>
        <v>-1.0292226827352795E-2</v>
      </c>
      <c r="M420" s="864">
        <f t="shared" si="178"/>
        <v>9448.710000000021</v>
      </c>
      <c r="N420" s="857">
        <f t="shared" si="189"/>
        <v>2.6996314285714345E-2</v>
      </c>
      <c r="O420" s="811">
        <f t="shared" si="192"/>
        <v>1.555268737043717E-2</v>
      </c>
      <c r="P420" s="856" t="b">
        <f t="shared" si="180"/>
        <v>0</v>
      </c>
      <c r="Q420" s="857">
        <f>COUNTIF(P$2:P420, TRUE)/(COUNTIF(P$2:P420,FALSE) + COUNTIF(P$2:P420, TRUE))</f>
        <v>0.47971360381861577</v>
      </c>
      <c r="R420" s="855">
        <v>266142.09999999998</v>
      </c>
      <c r="S420" s="855">
        <f t="shared" si="195"/>
        <v>93306.610000000044</v>
      </c>
      <c r="T420" s="855">
        <v>-32431</v>
      </c>
      <c r="U420" s="855">
        <f t="shared" si="196"/>
        <v>41879.710000000021</v>
      </c>
      <c r="V420" s="857">
        <f>STDEV(D$2:D420)*SQRT(252)</f>
        <v>0.14933215368764829</v>
      </c>
      <c r="W420" s="857">
        <f>STDEV(L$2:L420)*SQRT(252)</f>
        <v>0.32341728992205637</v>
      </c>
      <c r="X420" s="826">
        <f t="shared" si="199"/>
        <v>0.52930942435624384</v>
      </c>
      <c r="Y420" s="826">
        <f t="shared" si="200"/>
        <v>4.8088608293592995E-2</v>
      </c>
      <c r="Z420" s="832">
        <f t="shared" si="201"/>
        <v>-0.11020617425141395</v>
      </c>
    </row>
    <row r="421" spans="1:26" ht="20.100000000000001" customHeight="1" x14ac:dyDescent="0.2">
      <c r="A421" s="801">
        <f t="shared" si="188"/>
        <v>637</v>
      </c>
      <c r="B421" s="820">
        <v>42870</v>
      </c>
      <c r="C421" s="845">
        <v>2402.3200000000002</v>
      </c>
      <c r="D421" s="817">
        <f t="shared" si="204"/>
        <v>4.7764440168974326E-3</v>
      </c>
      <c r="E421" s="844">
        <f t="shared" si="175"/>
        <v>0.14263427255950234</v>
      </c>
      <c r="F421" s="841">
        <v>6149.47</v>
      </c>
      <c r="G421" s="817">
        <f t="shared" si="202"/>
        <v>4.6134518716010823E-3</v>
      </c>
      <c r="H421" s="822">
        <f t="shared" si="193"/>
        <v>0.20774397548952225</v>
      </c>
      <c r="I421" s="824">
        <v>361662.81</v>
      </c>
      <c r="J421" s="825">
        <v>350000</v>
      </c>
      <c r="K421" s="825">
        <f t="shared" si="194"/>
        <v>2214.0999999999767</v>
      </c>
      <c r="L421" s="817">
        <f t="shared" si="203"/>
        <v>6.1597105189220925E-3</v>
      </c>
      <c r="M421" s="842">
        <f t="shared" si="178"/>
        <v>11662.809999999998</v>
      </c>
      <c r="N421" s="827">
        <f t="shared" si="189"/>
        <v>3.3322314285714277E-2</v>
      </c>
      <c r="O421" s="811">
        <f t="shared" si="192"/>
        <v>1.9106711605741192E-2</v>
      </c>
      <c r="P421" s="842" t="b">
        <f t="shared" si="180"/>
        <v>1</v>
      </c>
      <c r="Q421" s="827">
        <f>COUNTIF(P$2:P421, TRUE)/(COUNTIF(P$2:P421,FALSE) + COUNTIF(P$2:P421, TRUE))</f>
        <v>0.48095238095238096</v>
      </c>
      <c r="R421" s="825">
        <v>268356.2</v>
      </c>
      <c r="S421" s="825">
        <f t="shared" si="195"/>
        <v>93306.609999999986</v>
      </c>
      <c r="T421" s="825">
        <v>-31638</v>
      </c>
      <c r="U421" s="825">
        <f t="shared" si="196"/>
        <v>43300.81</v>
      </c>
      <c r="V421" s="827">
        <f>STDEV(D$2:D421)*SQRT(252)</f>
        <v>0.14919288792479243</v>
      </c>
      <c r="W421" s="827">
        <f>STDEV(L$2:L421)*SQRT(252)</f>
        <v>0.32306020565165067</v>
      </c>
      <c r="X421" s="826">
        <f t="shared" si="199"/>
        <v>0.54818426208120785</v>
      </c>
      <c r="Y421" s="826">
        <f t="shared" si="200"/>
        <v>5.914288195044231E-2</v>
      </c>
      <c r="Z421" s="832">
        <f t="shared" si="201"/>
        <v>-0.10931195827378806</v>
      </c>
    </row>
    <row r="422" spans="1:26" ht="20.100000000000001" customHeight="1" x14ac:dyDescent="0.2">
      <c r="A422" s="801">
        <f t="shared" si="188"/>
        <v>638</v>
      </c>
      <c r="B422" s="820">
        <v>42871</v>
      </c>
      <c r="C422" s="845">
        <v>2400.67</v>
      </c>
      <c r="D422" s="817">
        <f t="shared" si="204"/>
        <v>-6.8683605847684362E-4</v>
      </c>
      <c r="E422" s="844">
        <f t="shared" si="175"/>
        <v>0.14184947013945701</v>
      </c>
      <c r="F422" s="841">
        <v>6169.87</v>
      </c>
      <c r="G422" s="817">
        <f t="shared" si="202"/>
        <v>3.3173590569593211E-3</v>
      </c>
      <c r="H422" s="822">
        <f t="shared" si="193"/>
        <v>0.21175049590510048</v>
      </c>
      <c r="I422" s="824">
        <v>359481.11</v>
      </c>
      <c r="J422" s="825">
        <v>350000</v>
      </c>
      <c r="K422" s="825">
        <f t="shared" si="194"/>
        <v>-2181.7000000000116</v>
      </c>
      <c r="L422" s="817">
        <f t="shared" si="203"/>
        <v>-6.0324145576372964E-3</v>
      </c>
      <c r="M422" s="842">
        <f t="shared" si="178"/>
        <v>9481.109999999986</v>
      </c>
      <c r="N422" s="827">
        <f t="shared" si="189"/>
        <v>2.7088885714285676E-2</v>
      </c>
      <c r="O422" s="811">
        <f t="shared" si="192"/>
        <v>1.5508174776085961E-2</v>
      </c>
      <c r="P422" s="842" t="b">
        <f t="shared" si="180"/>
        <v>0</v>
      </c>
      <c r="Q422" s="827">
        <f>COUNTIF(P$2:P422, TRUE)/(COUNTIF(P$2:P422,FALSE) + COUNTIF(P$2:P422, TRUE))</f>
        <v>0.47980997624703087</v>
      </c>
      <c r="R422" s="825">
        <v>272441</v>
      </c>
      <c r="S422" s="825">
        <f t="shared" si="195"/>
        <v>87040.109999999986</v>
      </c>
      <c r="T422" s="825">
        <v>-31956</v>
      </c>
      <c r="U422" s="825">
        <f t="shared" si="196"/>
        <v>41437.109999999986</v>
      </c>
      <c r="V422" s="827">
        <f>STDEV(D$2:D422)*SQRT(252)</f>
        <v>0.1490169627374561</v>
      </c>
      <c r="W422" s="827">
        <f>STDEV(L$2:L422)*SQRT(252)</f>
        <v>0.32271407708105421</v>
      </c>
      <c r="X422" s="826">
        <f t="shared" si="199"/>
        <v>0.54495614787794711</v>
      </c>
      <c r="Y422" s="826">
        <f t="shared" si="200"/>
        <v>4.8055464194054549E-2</v>
      </c>
      <c r="Z422" s="832">
        <f t="shared" si="201"/>
        <v>-0.11476058442517133</v>
      </c>
    </row>
    <row r="423" spans="1:26" ht="20.100000000000001" customHeight="1" x14ac:dyDescent="0.2">
      <c r="A423" s="801">
        <f t="shared" si="188"/>
        <v>639</v>
      </c>
      <c r="B423" s="820">
        <v>42872</v>
      </c>
      <c r="C423" s="845">
        <v>2357.0300000000002</v>
      </c>
      <c r="D423" s="817">
        <f t="shared" si="204"/>
        <v>-1.8178258569482634E-2</v>
      </c>
      <c r="E423" s="844">
        <f t="shared" si="175"/>
        <v>0.12109263522383523</v>
      </c>
      <c r="F423" s="841">
        <v>6011.23</v>
      </c>
      <c r="G423" s="817">
        <f t="shared" si="202"/>
        <v>-2.5712049038310422E-2</v>
      </c>
      <c r="H423" s="822">
        <f t="shared" si="193"/>
        <v>0.18059390773219156</v>
      </c>
      <c r="I423" s="824">
        <v>358002.43</v>
      </c>
      <c r="J423" s="825">
        <v>350000</v>
      </c>
      <c r="K423" s="825">
        <f t="shared" si="194"/>
        <v>-1478.679999999993</v>
      </c>
      <c r="L423" s="817">
        <f t="shared" si="203"/>
        <v>-4.1133733007556175E-3</v>
      </c>
      <c r="M423" s="842">
        <f t="shared" si="178"/>
        <v>8002.429999999993</v>
      </c>
      <c r="N423" s="827">
        <f t="shared" si="189"/>
        <v>2.2864085714285696E-2</v>
      </c>
      <c r="O423" s="811">
        <f t="shared" si="192"/>
        <v>1.3069025519785369E-2</v>
      </c>
      <c r="P423" s="842" t="b">
        <f t="shared" si="180"/>
        <v>1</v>
      </c>
      <c r="Q423" s="827">
        <f>COUNTIF(P$2:P423, TRUE)/(COUNTIF(P$2:P423,FALSE) + COUNTIF(P$2:P423, TRUE))</f>
        <v>0.48104265402843605</v>
      </c>
      <c r="R423" s="825">
        <v>277243.34999999998</v>
      </c>
      <c r="S423" s="825">
        <f t="shared" si="195"/>
        <v>80759.080000000016</v>
      </c>
      <c r="T423" s="825">
        <v>-31003</v>
      </c>
      <c r="U423" s="825">
        <f t="shared" si="196"/>
        <v>39005.429999999993</v>
      </c>
      <c r="V423" s="827">
        <f>STDEV(D$2:D423)*SQRT(252)</f>
        <v>0.1495288876053591</v>
      </c>
      <c r="W423" s="827">
        <f>STDEV(L$2:L423)*SQRT(252)</f>
        <v>0.32234925335581999</v>
      </c>
      <c r="X423" s="826">
        <f t="shared" si="199"/>
        <v>0.4628944720608214</v>
      </c>
      <c r="Y423" s="826">
        <f t="shared" si="200"/>
        <v>4.0543061240968153E-2</v>
      </c>
      <c r="Z423" s="832">
        <f t="shared" si="201"/>
        <v>-9.822854950954954E-2</v>
      </c>
    </row>
    <row r="424" spans="1:26" ht="20.100000000000001" customHeight="1" x14ac:dyDescent="0.2">
      <c r="A424" s="801">
        <f t="shared" si="188"/>
        <v>640</v>
      </c>
      <c r="B424" s="820">
        <v>42873</v>
      </c>
      <c r="C424" s="845">
        <v>2365.7199999999998</v>
      </c>
      <c r="D424" s="817">
        <f t="shared" si="204"/>
        <v>3.686843188249449E-3</v>
      </c>
      <c r="E424" s="844">
        <f t="shared" si="175"/>
        <v>0.12522592796940685</v>
      </c>
      <c r="F424" s="841">
        <v>6055.13</v>
      </c>
      <c r="G424" s="817">
        <f t="shared" si="202"/>
        <v>7.3029978889512714E-3</v>
      </c>
      <c r="H424" s="822">
        <f t="shared" si="193"/>
        <v>0.18921578254806848</v>
      </c>
      <c r="I424" s="824">
        <v>358058.63</v>
      </c>
      <c r="J424" s="825">
        <v>350000</v>
      </c>
      <c r="K424" s="825">
        <f t="shared" si="194"/>
        <v>56.200000000011642</v>
      </c>
      <c r="L424" s="817">
        <f t="shared" si="203"/>
        <v>1.5698217467409827E-4</v>
      </c>
      <c r="M424" s="842">
        <f t="shared" si="178"/>
        <v>8058.6300000000047</v>
      </c>
      <c r="N424" s="827">
        <f t="shared" si="189"/>
        <v>2.3024657142857157E-2</v>
      </c>
      <c r="O424" s="811">
        <f t="shared" si="192"/>
        <v>1.3140243783482152E-2</v>
      </c>
      <c r="P424" s="842" t="b">
        <f t="shared" si="180"/>
        <v>0</v>
      </c>
      <c r="Q424" s="827">
        <f>COUNTIF(P$2:P424, TRUE)/(COUNTIF(P$2:P424,FALSE) + COUNTIF(P$2:P424, TRUE))</f>
        <v>0.47990543735224589</v>
      </c>
      <c r="R424" s="825">
        <v>277930.2</v>
      </c>
      <c r="S424" s="825">
        <f t="shared" si="195"/>
        <v>80128.429999999993</v>
      </c>
      <c r="T424" s="825">
        <v>-30899</v>
      </c>
      <c r="U424" s="825">
        <f t="shared" si="196"/>
        <v>38957.630000000005</v>
      </c>
      <c r="V424" s="827">
        <f>STDEV(D$2:D424)*SQRT(252)</f>
        <v>0.14937391224983806</v>
      </c>
      <c r="W424" s="827">
        <f>STDEV(L$2:L424)*SQRT(252)</f>
        <v>0.32196627838552588</v>
      </c>
      <c r="X424" s="826">
        <f t="shared" si="199"/>
        <v>0.47844250275531547</v>
      </c>
      <c r="Y424" s="826">
        <f t="shared" si="200"/>
        <v>4.0812484616006534E-2</v>
      </c>
      <c r="Z424" s="832">
        <f t="shared" si="201"/>
        <v>-0.10220127082654969</v>
      </c>
    </row>
    <row r="425" spans="1:26" ht="20.100000000000001" customHeight="1" x14ac:dyDescent="0.2">
      <c r="A425" s="801">
        <f t="shared" si="188"/>
        <v>641</v>
      </c>
      <c r="B425" s="820">
        <v>42874</v>
      </c>
      <c r="C425" s="845">
        <v>2381.73</v>
      </c>
      <c r="D425" s="817">
        <f t="shared" si="204"/>
        <v>6.7674957306867334E-3</v>
      </c>
      <c r="E425" s="844">
        <f t="shared" si="175"/>
        <v>0.13284088963299784</v>
      </c>
      <c r="F425" s="841">
        <v>6083.7</v>
      </c>
      <c r="G425" s="817">
        <f t="shared" si="202"/>
        <v>4.7183132319206537E-3</v>
      </c>
      <c r="H425" s="822">
        <f t="shared" si="193"/>
        <v>0.19482687511047392</v>
      </c>
      <c r="I425" s="824">
        <v>363364.53</v>
      </c>
      <c r="J425" s="825">
        <v>350000</v>
      </c>
      <c r="K425" s="825">
        <f t="shared" si="194"/>
        <v>5305.9000000000233</v>
      </c>
      <c r="L425" s="817">
        <f t="shared" si="203"/>
        <v>1.4818522877105415E-2</v>
      </c>
      <c r="M425" s="842">
        <f t="shared" si="178"/>
        <v>13364.530000000028</v>
      </c>
      <c r="N425" s="827">
        <f t="shared" si="189"/>
        <v>3.8184371428571506E-2</v>
      </c>
      <c r="O425" s="811">
        <f t="shared" si="192"/>
        <v>2.1757943314018317E-2</v>
      </c>
      <c r="P425" s="842" t="b">
        <f t="shared" si="180"/>
        <v>1</v>
      </c>
      <c r="Q425" s="827">
        <f>COUNTIF(P$2:P425, TRUE)/(COUNTIF(P$2:P425,FALSE) + COUNTIF(P$2:P425, TRUE))</f>
        <v>0.48113207547169812</v>
      </c>
      <c r="R425" s="825">
        <v>263972.7</v>
      </c>
      <c r="S425" s="825">
        <f t="shared" si="195"/>
        <v>99391.830000000016</v>
      </c>
      <c r="T425" s="825">
        <v>-29778</v>
      </c>
      <c r="U425" s="825">
        <f t="shared" si="196"/>
        <v>43142.530000000028</v>
      </c>
      <c r="V425" s="827">
        <f>STDEV(D$2:D425)*SQRT(252)</f>
        <v>0.14927970106208843</v>
      </c>
      <c r="W425" s="827">
        <f>STDEV(L$2:L425)*SQRT(252)</f>
        <v>0.32177526697453379</v>
      </c>
      <c r="X425" s="826">
        <f t="shared" si="199"/>
        <v>0.50706450872402442</v>
      </c>
      <c r="Y425" s="826">
        <f t="shared" si="200"/>
        <v>6.7618445378340095E-2</v>
      </c>
      <c r="Z425" s="832">
        <f t="shared" si="201"/>
        <v>-9.4656518204426332E-2</v>
      </c>
    </row>
    <row r="426" spans="1:26" ht="20.100000000000001" customHeight="1" x14ac:dyDescent="0.2">
      <c r="A426" s="801">
        <f t="shared" si="188"/>
        <v>644</v>
      </c>
      <c r="B426" s="849">
        <v>42877</v>
      </c>
      <c r="C426" s="860">
        <v>2394.02</v>
      </c>
      <c r="D426" s="817">
        <f t="shared" si="204"/>
        <v>5.1601147065368294E-3</v>
      </c>
      <c r="E426" s="851">
        <f t="shared" ref="E426:E489" si="205">(C426-$C$2)/$C$2</f>
        <v>0.13868647856775931</v>
      </c>
      <c r="F426" s="852">
        <v>6133.61</v>
      </c>
      <c r="G426" s="817">
        <f t="shared" si="202"/>
        <v>8.2038890806581284E-3</v>
      </c>
      <c r="H426" s="853">
        <f t="shared" ref="H426:H457" si="206">(F426-F$2)/F$2</f>
        <v>0.20462910226446959</v>
      </c>
      <c r="I426" s="862">
        <v>362670.23</v>
      </c>
      <c r="J426" s="855">
        <v>350000</v>
      </c>
      <c r="K426" s="855">
        <f t="shared" ref="K426:K457" si="207">I426-I425-J426+J425</f>
        <v>-694.30000000004657</v>
      </c>
      <c r="L426" s="817">
        <f t="shared" si="203"/>
        <v>-1.9107533693507358E-3</v>
      </c>
      <c r="M426" s="864">
        <f t="shared" ref="M426:M489" si="208">I426-J426</f>
        <v>12670.229999999981</v>
      </c>
      <c r="N426" s="857">
        <f t="shared" si="189"/>
        <v>3.6200657142857091E-2</v>
      </c>
      <c r="O426" s="811">
        <f t="shared" si="192"/>
        <v>2.0531506244454274E-2</v>
      </c>
      <c r="P426" s="856" t="b">
        <f t="shared" ref="P426:P489" si="209">L426&gt;D426</f>
        <v>0</v>
      </c>
      <c r="Q426" s="857">
        <f>COUNTIF(P$2:P426, TRUE)/(COUNTIF(P$2:P426,FALSE) + COUNTIF(P$2:P426, TRUE))</f>
        <v>0.48</v>
      </c>
      <c r="R426" s="855">
        <v>263278.40000000002</v>
      </c>
      <c r="S426" s="855">
        <f t="shared" ref="S426:S457" si="210">I426-R426</f>
        <v>99391.829999999958</v>
      </c>
      <c r="T426" s="855">
        <v>-30076</v>
      </c>
      <c r="U426" s="855">
        <f t="shared" ref="U426:U446" si="211">M426-T426</f>
        <v>42746.229999999981</v>
      </c>
      <c r="V426" s="857">
        <f>STDEV(D$2:D426)*SQRT(252)</f>
        <v>0.14914946204860074</v>
      </c>
      <c r="W426" s="857">
        <f>STDEV(L$2:L426)*SQRT(252)</f>
        <v>0.32140007588338698</v>
      </c>
      <c r="X426" s="826">
        <f t="shared" si="199"/>
        <v>0.52737165886067983</v>
      </c>
      <c r="Y426" s="826">
        <f t="shared" si="200"/>
        <v>6.388146047577066E-2</v>
      </c>
      <c r="Z426" s="832">
        <f t="shared" si="201"/>
        <v>-0.10248582142490223</v>
      </c>
    </row>
    <row r="427" spans="1:26" ht="20.100000000000001" customHeight="1" x14ac:dyDescent="0.2">
      <c r="A427" s="801">
        <f t="shared" si="188"/>
        <v>645</v>
      </c>
      <c r="B427" s="849">
        <v>42878</v>
      </c>
      <c r="C427" s="860">
        <v>2398.42</v>
      </c>
      <c r="D427" s="817">
        <f>(C427-C426)/C426</f>
        <v>1.837912799391856E-3</v>
      </c>
      <c r="E427" s="851">
        <f t="shared" si="205"/>
        <v>0.14077928502121345</v>
      </c>
      <c r="F427" s="852">
        <v>6138.71</v>
      </c>
      <c r="G427" s="817">
        <f t="shared" si="202"/>
        <v>8.3148423196133497E-4</v>
      </c>
      <c r="H427" s="853">
        <f t="shared" si="206"/>
        <v>0.20563073236836424</v>
      </c>
      <c r="I427" s="862">
        <v>362550.99</v>
      </c>
      <c r="J427" s="855">
        <v>350000</v>
      </c>
      <c r="K427" s="855">
        <f t="shared" si="207"/>
        <v>-119.23999999999069</v>
      </c>
      <c r="L427" s="817">
        <f t="shared" si="203"/>
        <v>-3.2878353428675603E-4</v>
      </c>
      <c r="M427" s="864">
        <f t="shared" si="208"/>
        <v>12550.989999999991</v>
      </c>
      <c r="N427" s="857">
        <f t="shared" si="189"/>
        <v>3.5859971428571405E-2</v>
      </c>
      <c r="O427" s="811">
        <f t="shared" si="192"/>
        <v>2.0306751262458459E-2</v>
      </c>
      <c r="P427" s="856" t="b">
        <f t="shared" si="209"/>
        <v>0</v>
      </c>
      <c r="Q427" s="857">
        <f>COUNTIF(P$2:P427, TRUE)/(COUNTIF(P$2:P427,FALSE) + COUNTIF(P$2:P427, TRUE))</f>
        <v>0.47887323943661969</v>
      </c>
      <c r="R427" s="855">
        <v>263158.59999999998</v>
      </c>
      <c r="S427" s="855">
        <f t="shared" si="210"/>
        <v>99392.390000000014</v>
      </c>
      <c r="T427" s="855">
        <v>-30424</v>
      </c>
      <c r="U427" s="855">
        <f t="shared" si="211"/>
        <v>42974.989999999991</v>
      </c>
      <c r="V427" s="857">
        <f>STDEV(D$2:D427)*SQRT(252)</f>
        <v>0.1489778784266331</v>
      </c>
      <c r="W427" s="857">
        <f>STDEV(L$2:L427)*SQRT(252)</f>
        <v>0.32102147148537991</v>
      </c>
      <c r="X427" s="826">
        <f t="shared" si="199"/>
        <v>0.53511543731372224</v>
      </c>
      <c r="Y427" s="826">
        <f t="shared" si="200"/>
        <v>6.3256676160937969E-2</v>
      </c>
      <c r="Z427" s="832">
        <f t="shared" si="201"/>
        <v>-0.10491931359264205</v>
      </c>
    </row>
    <row r="428" spans="1:26" ht="20.100000000000001" customHeight="1" x14ac:dyDescent="0.2">
      <c r="A428" s="801">
        <f t="shared" si="188"/>
        <v>646</v>
      </c>
      <c r="B428" s="849">
        <v>42879</v>
      </c>
      <c r="C428" s="860">
        <v>2404.39</v>
      </c>
      <c r="D428" s="817">
        <f>(C428-C427)/C427</f>
        <v>2.4891386829662028E-3</v>
      </c>
      <c r="E428" s="851">
        <f t="shared" si="205"/>
        <v>0.14361884286828627</v>
      </c>
      <c r="F428" s="852">
        <v>6163.02</v>
      </c>
      <c r="G428" s="817">
        <f t="shared" si="202"/>
        <v>3.9601153988379316E-3</v>
      </c>
      <c r="H428" s="853">
        <f t="shared" si="206"/>
        <v>0.21040516919692848</v>
      </c>
      <c r="I428" s="862">
        <v>361217.77</v>
      </c>
      <c r="J428" s="855">
        <v>350000</v>
      </c>
      <c r="K428" s="855">
        <f t="shared" si="207"/>
        <v>-1333.2199999999721</v>
      </c>
      <c r="L428" s="817">
        <f t="shared" si="203"/>
        <v>-3.6773310148731689E-3</v>
      </c>
      <c r="M428" s="864">
        <f t="shared" si="208"/>
        <v>11217.770000000019</v>
      </c>
      <c r="N428" s="857">
        <f t="shared" si="189"/>
        <v>3.2050771428571483E-2</v>
      </c>
      <c r="O428" s="811">
        <f t="shared" si="192"/>
        <v>1.8121585548429929E-2</v>
      </c>
      <c r="P428" s="856" t="b">
        <f t="shared" si="209"/>
        <v>0</v>
      </c>
      <c r="Q428" s="857">
        <f>COUNTIF(P$2:P428, TRUE)/(COUNTIF(P$2:P428,FALSE) + COUNTIF(P$2:P428, TRUE))</f>
        <v>0.47775175644028101</v>
      </c>
      <c r="R428" s="855">
        <v>265004.5</v>
      </c>
      <c r="S428" s="855">
        <f t="shared" si="210"/>
        <v>96213.270000000019</v>
      </c>
      <c r="T428" s="855">
        <v>-30852</v>
      </c>
      <c r="U428" s="855">
        <f t="shared" si="211"/>
        <v>42069.770000000019</v>
      </c>
      <c r="V428" s="857">
        <f>STDEV(D$2:D428)*SQRT(252)</f>
        <v>0.14881157011695953</v>
      </c>
      <c r="W428" s="857">
        <f>STDEV(L$2:L428)*SQRT(252)</f>
        <v>0.32065963038398737</v>
      </c>
      <c r="X428" s="826">
        <f t="shared" si="199"/>
        <v>0.54567295678831784</v>
      </c>
      <c r="Y428" s="826">
        <f t="shared" si="200"/>
        <v>5.651346110119778E-2</v>
      </c>
      <c r="Z428" s="832">
        <f t="shared" si="201"/>
        <v>-0.11156807143971478</v>
      </c>
    </row>
    <row r="429" spans="1:26" ht="20.100000000000001" customHeight="1" x14ac:dyDescent="0.2">
      <c r="A429" s="801">
        <f t="shared" si="188"/>
        <v>647</v>
      </c>
      <c r="B429" s="849">
        <v>42880</v>
      </c>
      <c r="C429" s="860">
        <v>2415.0700000000002</v>
      </c>
      <c r="D429" s="817">
        <f>(C429-C428)/C428</f>
        <v>4.4418750701842426E-3</v>
      </c>
      <c r="E429" s="851">
        <f t="shared" si="205"/>
        <v>0.14869865489621586</v>
      </c>
      <c r="F429" s="852">
        <v>6205.25</v>
      </c>
      <c r="G429" s="817">
        <f t="shared" si="202"/>
        <v>6.8521601422678428E-3</v>
      </c>
      <c r="H429" s="853">
        <f t="shared" si="206"/>
        <v>0.21869905925329461</v>
      </c>
      <c r="I429" s="862">
        <v>353000.67</v>
      </c>
      <c r="J429" s="855">
        <v>350000</v>
      </c>
      <c r="K429" s="855">
        <f t="shared" si="207"/>
        <v>-8217.1000000000349</v>
      </c>
      <c r="L429" s="817">
        <f t="shared" si="203"/>
        <v>-2.2748327137947933E-2</v>
      </c>
      <c r="M429" s="864">
        <f t="shared" si="208"/>
        <v>3000.6699999999837</v>
      </c>
      <c r="N429" s="857">
        <f t="shared" si="189"/>
        <v>8.573342857142811E-3</v>
      </c>
      <c r="O429" s="811">
        <f t="shared" si="192"/>
        <v>4.8398971848089825E-3</v>
      </c>
      <c r="P429" s="856" t="b">
        <f t="shared" si="209"/>
        <v>0</v>
      </c>
      <c r="Q429" s="857">
        <f>COUNTIF(P$2:P429, TRUE)/(COUNTIF(P$2:P429,FALSE) + COUNTIF(P$2:P429, TRUE))</f>
        <v>0.47663551401869159</v>
      </c>
      <c r="R429" s="855">
        <v>264898.2</v>
      </c>
      <c r="S429" s="855">
        <f t="shared" si="210"/>
        <v>88102.469999999972</v>
      </c>
      <c r="T429" s="855">
        <v>-32794</v>
      </c>
      <c r="U429" s="855">
        <f t="shared" si="211"/>
        <v>35794.669999999984</v>
      </c>
      <c r="V429" s="857">
        <f>STDEV(D$2:D429)*SQRT(252)</f>
        <v>0.14866989936871414</v>
      </c>
      <c r="W429" s="857">
        <f>STDEV(L$2:L429)*SQRT(252)</f>
        <v>0.32077996360853689</v>
      </c>
      <c r="X429" s="826">
        <f t="shared" si="199"/>
        <v>0.56463778385278085</v>
      </c>
      <c r="Y429" s="826">
        <f t="shared" si="200"/>
        <v>1.5087903653219875E-2</v>
      </c>
      <c r="Z429" s="832">
        <f t="shared" si="201"/>
        <v>-0.14012531203907305</v>
      </c>
    </row>
    <row r="430" spans="1:26" ht="20.100000000000001" customHeight="1" x14ac:dyDescent="0.2">
      <c r="A430" s="801">
        <f t="shared" si="188"/>
        <v>648</v>
      </c>
      <c r="B430" s="849">
        <v>42881</v>
      </c>
      <c r="C430" s="860">
        <v>2415.8200000000002</v>
      </c>
      <c r="D430" s="817">
        <f t="shared" ref="D430:D441" si="212">(C430-C429)/C429</f>
        <v>3.105500047617667E-4</v>
      </c>
      <c r="E430" s="851">
        <f t="shared" si="205"/>
        <v>0.14905538326896373</v>
      </c>
      <c r="F430" s="852">
        <v>6210.19</v>
      </c>
      <c r="G430" s="817">
        <f t="shared" si="202"/>
        <v>7.9610007654801977E-4</v>
      </c>
      <c r="H430" s="853">
        <f t="shared" si="206"/>
        <v>0.21966926566765516</v>
      </c>
      <c r="I430" s="862">
        <v>353471.67</v>
      </c>
      <c r="J430" s="855">
        <v>350000</v>
      </c>
      <c r="K430" s="855">
        <f t="shared" si="207"/>
        <v>471</v>
      </c>
      <c r="L430" s="817">
        <f t="shared" si="203"/>
        <v>1.3342750879198049E-3</v>
      </c>
      <c r="M430" s="864">
        <f t="shared" si="208"/>
        <v>3471.6699999999837</v>
      </c>
      <c r="N430" s="857">
        <f t="shared" si="189"/>
        <v>9.9190571428570962E-3</v>
      </c>
      <c r="O430" s="811">
        <f t="shared" si="192"/>
        <v>5.5909500330687568E-3</v>
      </c>
      <c r="P430" s="856" t="b">
        <f t="shared" si="209"/>
        <v>1</v>
      </c>
      <c r="Q430" s="857">
        <f>COUNTIF(P$2:P430, TRUE)/(COUNTIF(P$2:P430,FALSE) + COUNTIF(P$2:P430, TRUE))</f>
        <v>0.47785547785547783</v>
      </c>
      <c r="R430" s="855">
        <v>265363.20000000001</v>
      </c>
      <c r="S430" s="855">
        <f t="shared" si="210"/>
        <v>88108.469999999972</v>
      </c>
      <c r="T430" s="855">
        <v>-33110</v>
      </c>
      <c r="U430" s="855">
        <f t="shared" si="211"/>
        <v>36581.669999999984</v>
      </c>
      <c r="V430" s="857">
        <f>STDEV(D$2:D430)*SQRT(252)</f>
        <v>0.14849571742002676</v>
      </c>
      <c r="W430" s="857">
        <f>STDEV(L$2:L430)*SQRT(252)</f>
        <v>0.3204048737589808</v>
      </c>
      <c r="X430" s="826">
        <f t="shared" si="199"/>
        <v>0.56578177709905297</v>
      </c>
      <c r="Y430" s="826">
        <f t="shared" si="200"/>
        <v>1.7449641035343473E-2</v>
      </c>
      <c r="Z430" s="832">
        <f t="shared" si="201"/>
        <v>-0.13913632612610663</v>
      </c>
    </row>
    <row r="431" spans="1:26" ht="20.100000000000001" customHeight="1" x14ac:dyDescent="0.2">
      <c r="A431" s="801">
        <f t="shared" si="188"/>
        <v>652</v>
      </c>
      <c r="B431" s="820">
        <v>42885</v>
      </c>
      <c r="C431" s="845">
        <v>2412.91</v>
      </c>
      <c r="D431" s="817">
        <f t="shared" si="212"/>
        <v>-1.204559942379941E-3</v>
      </c>
      <c r="E431" s="844">
        <f t="shared" si="205"/>
        <v>0.1476712771827019</v>
      </c>
      <c r="F431" s="841">
        <v>6203.18</v>
      </c>
      <c r="G431" s="817">
        <f t="shared" si="202"/>
        <v>-1.1287899404042886E-3</v>
      </c>
      <c r="H431" s="822">
        <f t="shared" si="206"/>
        <v>0.21829251526994922</v>
      </c>
      <c r="I431" s="824">
        <v>350229.07</v>
      </c>
      <c r="J431" s="825">
        <v>350000</v>
      </c>
      <c r="K431" s="825">
        <f t="shared" si="207"/>
        <v>-3242.5999999999767</v>
      </c>
      <c r="L431" s="817">
        <f t="shared" si="203"/>
        <v>-9.1735781823759077E-3</v>
      </c>
      <c r="M431" s="842">
        <f t="shared" si="208"/>
        <v>229.07000000000698</v>
      </c>
      <c r="N431" s="827">
        <f t="shared" si="189"/>
        <v>6.5448571428573419E-4</v>
      </c>
      <c r="O431" s="811">
        <f t="shared" si="192"/>
        <v>3.6664249561789024E-4</v>
      </c>
      <c r="P431" s="842" t="b">
        <f t="shared" si="209"/>
        <v>0</v>
      </c>
      <c r="Q431" s="827">
        <f>COUNTIF(P$2:P431, TRUE)/(COUNTIF(P$2:P431,FALSE) + COUNTIF(P$2:P431, TRUE))</f>
        <v>0.47674418604651164</v>
      </c>
      <c r="R431" s="825">
        <v>262120.6</v>
      </c>
      <c r="S431" s="825">
        <f t="shared" si="210"/>
        <v>88108.47</v>
      </c>
      <c r="T431" s="825">
        <v>-35019</v>
      </c>
      <c r="U431" s="825">
        <f t="shared" si="211"/>
        <v>35248.070000000007</v>
      </c>
      <c r="V431" s="827">
        <f>STDEV(D$2:D431)*SQRT(252)</f>
        <v>0.14832703796630264</v>
      </c>
      <c r="W431" s="827">
        <f>STDEV(L$2:L431)*SQRT(252)</f>
        <v>0.32011502320683888</v>
      </c>
      <c r="X431" s="826">
        <f t="shared" si="199"/>
        <v>0.55772271877139357</v>
      </c>
      <c r="Y431" s="826">
        <f t="shared" si="200"/>
        <v>1.1453461069866381E-3</v>
      </c>
      <c r="Z431" s="832">
        <f t="shared" si="201"/>
        <v>-0.14701679146841617</v>
      </c>
    </row>
    <row r="432" spans="1:26" ht="20.100000000000001" customHeight="1" x14ac:dyDescent="0.2">
      <c r="A432" s="801">
        <f t="shared" si="188"/>
        <v>653</v>
      </c>
      <c r="B432" s="820">
        <v>42886</v>
      </c>
      <c r="C432" s="845">
        <v>2411.8000000000002</v>
      </c>
      <c r="D432" s="817">
        <f t="shared" si="212"/>
        <v>-4.6002544645248791E-4</v>
      </c>
      <c r="E432" s="844">
        <f t="shared" si="205"/>
        <v>0.14714331919103524</v>
      </c>
      <c r="F432" s="841">
        <v>6198.51</v>
      </c>
      <c r="G432" s="817">
        <f t="shared" si="202"/>
        <v>-7.5283967255505607E-4</v>
      </c>
      <c r="H432" s="822">
        <f t="shared" si="206"/>
        <v>0.21737533633167713</v>
      </c>
      <c r="I432" s="848">
        <v>349203.17</v>
      </c>
      <c r="J432" s="825">
        <v>350000</v>
      </c>
      <c r="K432" s="825">
        <f t="shared" si="207"/>
        <v>-1025.9000000000233</v>
      </c>
      <c r="L432" s="817">
        <f t="shared" si="203"/>
        <v>-2.9292257207547715E-3</v>
      </c>
      <c r="M432" s="848">
        <f t="shared" si="208"/>
        <v>-796.8300000000163</v>
      </c>
      <c r="N432" s="827">
        <f t="shared" si="189"/>
        <v>-2.2766571428571893E-3</v>
      </c>
      <c r="O432" s="811">
        <f t="shared" si="192"/>
        <v>-1.2734288230146836E-3</v>
      </c>
      <c r="P432" s="842" t="b">
        <f t="shared" si="209"/>
        <v>0</v>
      </c>
      <c r="Q432" s="827">
        <f>COUNTIF(P$2:P432, TRUE)/(COUNTIF(P$2:P432,FALSE) + COUNTIF(P$2:P432, TRUE))</f>
        <v>0.47563805104408352</v>
      </c>
      <c r="R432" s="825">
        <v>265165.09999999998</v>
      </c>
      <c r="S432" s="825">
        <f t="shared" si="210"/>
        <v>84038.07</v>
      </c>
      <c r="T432" s="825">
        <v>-35731</v>
      </c>
      <c r="U432" s="825">
        <f t="shared" si="211"/>
        <v>34934.169999999984</v>
      </c>
      <c r="V432" s="827">
        <f>STDEV(D$2:D432)*SQRT(252)</f>
        <v>0.14815540660544116</v>
      </c>
      <c r="W432" s="827">
        <f>STDEV(L$2:L432)*SQRT(252)</f>
        <v>0.31975192949675368</v>
      </c>
      <c r="X432" s="826">
        <f t="shared" si="199"/>
        <v>0.55552049614459997</v>
      </c>
      <c r="Y432" s="826">
        <f t="shared" si="200"/>
        <v>-3.9825524274986817E-3</v>
      </c>
      <c r="Z432" s="832">
        <f t="shared" si="201"/>
        <v>-0.14941997633389242</v>
      </c>
    </row>
    <row r="433" spans="1:26" ht="20.100000000000001" customHeight="1" x14ac:dyDescent="0.2">
      <c r="A433" s="801">
        <f t="shared" si="188"/>
        <v>654</v>
      </c>
      <c r="B433" s="820">
        <v>42887</v>
      </c>
      <c r="C433" s="845">
        <v>2430.06</v>
      </c>
      <c r="D433" s="817">
        <f t="shared" si="212"/>
        <v>7.5711087154821137E-3</v>
      </c>
      <c r="E433" s="844">
        <f t="shared" si="205"/>
        <v>0.15582846597286956</v>
      </c>
      <c r="F433" s="841">
        <v>6246.83</v>
      </c>
      <c r="G433" s="817">
        <f t="shared" si="202"/>
        <v>7.7954218029816372E-3</v>
      </c>
      <c r="H433" s="822">
        <f t="shared" si="206"/>
        <v>0.22686529057092919</v>
      </c>
      <c r="I433" s="824">
        <v>353722.21</v>
      </c>
      <c r="J433" s="825">
        <v>350000</v>
      </c>
      <c r="K433" s="825">
        <f t="shared" si="207"/>
        <v>4519.0400000000373</v>
      </c>
      <c r="L433" s="817">
        <f t="shared" si="203"/>
        <v>1.2941005088814163E-2</v>
      </c>
      <c r="M433" s="842">
        <f t="shared" si="208"/>
        <v>3722.210000000021</v>
      </c>
      <c r="N433" s="827">
        <f t="shared" si="189"/>
        <v>1.0634885714285775E-2</v>
      </c>
      <c r="O433" s="811">
        <f t="shared" si="192"/>
        <v>5.9394373197903354E-3</v>
      </c>
      <c r="P433" s="842" t="b">
        <f t="shared" si="209"/>
        <v>1</v>
      </c>
      <c r="Q433" s="827">
        <f>COUNTIF(P$2:P433, TRUE)/(COUNTIF(P$2:P433,FALSE) + COUNTIF(P$2:P433, TRUE))</f>
        <v>0.47685185185185186</v>
      </c>
      <c r="R433" s="825">
        <v>269546.90000000002</v>
      </c>
      <c r="S433" s="825">
        <f t="shared" si="210"/>
        <v>84175.31</v>
      </c>
      <c r="T433" s="825">
        <v>-33352</v>
      </c>
      <c r="U433" s="825">
        <f t="shared" si="211"/>
        <v>37074.210000000021</v>
      </c>
      <c r="V433" s="827">
        <f>STDEV(D$2:D433)*SQRT(252)</f>
        <v>0.14808564864409832</v>
      </c>
      <c r="W433" s="827">
        <f>STDEV(L$2:L433)*SQRT(252)</f>
        <v>0.31952378804389292</v>
      </c>
      <c r="X433" s="826">
        <f t="shared" si="199"/>
        <v>0.58768729187644464</v>
      </c>
      <c r="Y433" s="826">
        <f t="shared" si="200"/>
        <v>1.8588404187842304E-2</v>
      </c>
      <c r="Z433" s="832">
        <f t="shared" si="201"/>
        <v>-0.14519358025858378</v>
      </c>
    </row>
    <row r="434" spans="1:26" ht="20.100000000000001" customHeight="1" x14ac:dyDescent="0.2">
      <c r="A434" s="801">
        <f t="shared" si="188"/>
        <v>655</v>
      </c>
      <c r="B434" s="820">
        <v>42888</v>
      </c>
      <c r="C434" s="845">
        <v>2439.0700000000002</v>
      </c>
      <c r="D434" s="817">
        <f t="shared" si="212"/>
        <v>3.7077273812170146E-3</v>
      </c>
      <c r="E434" s="844">
        <f t="shared" si="205"/>
        <v>0.16011396282414722</v>
      </c>
      <c r="F434" s="841">
        <v>6305.79</v>
      </c>
      <c r="G434" s="817">
        <f t="shared" si="202"/>
        <v>9.4383871499624673E-3</v>
      </c>
      <c r="H434" s="822">
        <f t="shared" si="206"/>
        <v>0.23844492016418881</v>
      </c>
      <c r="I434" s="824">
        <v>351458.31</v>
      </c>
      <c r="J434" s="825">
        <v>350000</v>
      </c>
      <c r="K434" s="825">
        <f t="shared" si="207"/>
        <v>-2263.9000000000233</v>
      </c>
      <c r="L434" s="817">
        <f t="shared" si="203"/>
        <v>-6.4002201049236434E-3</v>
      </c>
      <c r="M434" s="842">
        <f t="shared" si="208"/>
        <v>1458.3099999999977</v>
      </c>
      <c r="N434" s="827">
        <f t="shared" si="189"/>
        <v>4.1665999999999934E-3</v>
      </c>
      <c r="O434" s="811">
        <f t="shared" si="192"/>
        <v>2.3234361068702252E-3</v>
      </c>
      <c r="P434" s="842" t="b">
        <f t="shared" si="209"/>
        <v>0</v>
      </c>
      <c r="Q434" s="827">
        <f>COUNTIF(P$2:P434, TRUE)/(COUNTIF(P$2:P434,FALSE) + COUNTIF(P$2:P434, TRUE))</f>
        <v>0.47575057736720555</v>
      </c>
      <c r="R434" s="825">
        <v>282327.40000000002</v>
      </c>
      <c r="S434" s="825">
        <f t="shared" si="210"/>
        <v>69130.909999999974</v>
      </c>
      <c r="T434" s="825">
        <v>-36002</v>
      </c>
      <c r="U434" s="825">
        <f t="shared" si="211"/>
        <v>37460.31</v>
      </c>
      <c r="V434" s="827">
        <f>STDEV(D$2:D434)*SQRT(252)</f>
        <v>0.14793559836685169</v>
      </c>
      <c r="W434" s="827">
        <f>STDEV(L$2:L434)*SQRT(252)</f>
        <v>0.31919554315894061</v>
      </c>
      <c r="X434" s="826">
        <f t="shared" si="199"/>
        <v>0.60353913817886917</v>
      </c>
      <c r="Y434" s="826">
        <f t="shared" si="200"/>
        <v>7.2790368057027996E-3</v>
      </c>
      <c r="Z434" s="832">
        <f t="shared" si="201"/>
        <v>-0.15594736282414723</v>
      </c>
    </row>
    <row r="435" spans="1:26" ht="20.100000000000001" customHeight="1" x14ac:dyDescent="0.2">
      <c r="A435" s="801">
        <f t="shared" si="188"/>
        <v>658</v>
      </c>
      <c r="B435" s="849">
        <v>42891</v>
      </c>
      <c r="C435" s="860">
        <v>2436.1</v>
      </c>
      <c r="D435" s="817">
        <f t="shared" si="212"/>
        <v>-1.217677229435914E-3</v>
      </c>
      <c r="E435" s="851">
        <f t="shared" si="205"/>
        <v>0.15870131846806559</v>
      </c>
      <c r="F435" s="852">
        <v>6295.68</v>
      </c>
      <c r="G435" s="817">
        <f t="shared" si="202"/>
        <v>-1.6032884063693325E-3</v>
      </c>
      <c r="H435" s="853">
        <f t="shared" si="206"/>
        <v>0.23645933578176256</v>
      </c>
      <c r="I435" s="862">
        <v>351519.71</v>
      </c>
      <c r="J435" s="855">
        <v>350000</v>
      </c>
      <c r="K435" s="855">
        <f t="shared" si="207"/>
        <v>61.400000000023283</v>
      </c>
      <c r="L435" s="817">
        <f t="shared" si="203"/>
        <v>1.7470066364350093E-4</v>
      </c>
      <c r="M435" s="864">
        <f t="shared" si="208"/>
        <v>1519.710000000021</v>
      </c>
      <c r="N435" s="857">
        <f t="shared" si="189"/>
        <v>4.3420285714286314E-3</v>
      </c>
      <c r="O435" s="811">
        <f t="shared" si="192"/>
        <v>2.4102217867998598E-3</v>
      </c>
      <c r="P435" s="856" t="b">
        <f t="shared" si="209"/>
        <v>1</v>
      </c>
      <c r="Q435" s="857">
        <f>COUNTIF(P$2:P435, TRUE)/(COUNTIF(P$2:P435,FALSE) + COUNTIF(P$2:P435, TRUE))</f>
        <v>0.47695852534562211</v>
      </c>
      <c r="R435" s="855">
        <v>282388.8</v>
      </c>
      <c r="S435" s="855">
        <f t="shared" si="210"/>
        <v>69130.910000000033</v>
      </c>
      <c r="T435" s="855">
        <v>-35772</v>
      </c>
      <c r="U435" s="855">
        <f t="shared" si="211"/>
        <v>37291.710000000021</v>
      </c>
      <c r="V435" s="857">
        <f>STDEV(D$2:D435)*SQRT(252)</f>
        <v>0.14776934878372619</v>
      </c>
      <c r="W435" s="857">
        <f>STDEV(L$2:L435)*SQRT(252)</f>
        <v>0.31882594274949316</v>
      </c>
      <c r="X435" s="826">
        <f t="shared" si="199"/>
        <v>0.59615680599333642</v>
      </c>
      <c r="Y435" s="826">
        <f t="shared" si="200"/>
        <v>7.5596790085981523E-3</v>
      </c>
      <c r="Z435" s="832">
        <f t="shared" si="201"/>
        <v>-0.15435928989663697</v>
      </c>
    </row>
    <row r="436" spans="1:26" ht="20.100000000000001" customHeight="1" x14ac:dyDescent="0.2">
      <c r="A436" s="801">
        <f t="shared" si="188"/>
        <v>659</v>
      </c>
      <c r="B436" s="849">
        <v>42892</v>
      </c>
      <c r="C436" s="860">
        <v>2429.33</v>
      </c>
      <c r="D436" s="817">
        <f t="shared" si="212"/>
        <v>-2.7790320594392602E-3</v>
      </c>
      <c r="E436" s="851">
        <f t="shared" si="205"/>
        <v>0.1554812503567283</v>
      </c>
      <c r="F436" s="852">
        <v>6275.02</v>
      </c>
      <c r="G436" s="817">
        <f t="shared" si="202"/>
        <v>-3.2816153298769715E-3</v>
      </c>
      <c r="H436" s="853">
        <f t="shared" si="206"/>
        <v>0.23240175187069165</v>
      </c>
      <c r="I436" s="862">
        <v>351863.31</v>
      </c>
      <c r="J436" s="855">
        <v>350000</v>
      </c>
      <c r="K436" s="855">
        <f t="shared" si="207"/>
        <v>343.59999999997672</v>
      </c>
      <c r="L436" s="817">
        <f t="shared" si="203"/>
        <v>9.7747008268747344E-4</v>
      </c>
      <c r="M436" s="864">
        <f t="shared" si="208"/>
        <v>1863.3099999999977</v>
      </c>
      <c r="N436" s="857">
        <f t="shared" si="189"/>
        <v>5.3237428571428509E-3</v>
      </c>
      <c r="O436" s="811">
        <f t="shared" si="192"/>
        <v>2.9506784196834997E-3</v>
      </c>
      <c r="P436" s="856" t="b">
        <f t="shared" si="209"/>
        <v>1</v>
      </c>
      <c r="Q436" s="857">
        <f>COUNTIF(P$2:P436, TRUE)/(COUNTIF(P$2:P436,FALSE) + COUNTIF(P$2:P436, TRUE))</f>
        <v>0.47816091954022988</v>
      </c>
      <c r="R436" s="855">
        <v>286054.40000000002</v>
      </c>
      <c r="S436" s="855">
        <f t="shared" si="210"/>
        <v>65808.909999999974</v>
      </c>
      <c r="T436" s="855">
        <v>-34862</v>
      </c>
      <c r="U436" s="855">
        <f t="shared" si="211"/>
        <v>36725.31</v>
      </c>
      <c r="V436" s="857">
        <f>STDEV(D$2:D436)*SQRT(252)</f>
        <v>0.14761828585147854</v>
      </c>
      <c r="W436" s="857">
        <f>STDEV(L$2:L436)*SQRT(252)</f>
        <v>0.3184578591374711</v>
      </c>
      <c r="X436" s="826">
        <f t="shared" si="199"/>
        <v>0.58377121480445904</v>
      </c>
      <c r="Y436" s="826">
        <f t="shared" si="200"/>
        <v>9.2655223761011294E-3</v>
      </c>
      <c r="Z436" s="832">
        <f t="shared" si="201"/>
        <v>-0.15015750749958545</v>
      </c>
    </row>
    <row r="437" spans="1:26" ht="20.100000000000001" customHeight="1" x14ac:dyDescent="0.2">
      <c r="A437" s="801">
        <f t="shared" si="188"/>
        <v>660</v>
      </c>
      <c r="B437" s="849">
        <v>42893</v>
      </c>
      <c r="C437" s="860">
        <v>2433.14</v>
      </c>
      <c r="D437" s="817">
        <f t="shared" si="212"/>
        <v>1.5683336557816129E-3</v>
      </c>
      <c r="E437" s="851">
        <f t="shared" si="205"/>
        <v>0.15729343049028738</v>
      </c>
      <c r="F437" s="852">
        <v>6297.38</v>
      </c>
      <c r="G437" s="817">
        <f t="shared" si="202"/>
        <v>3.5633352563019197E-3</v>
      </c>
      <c r="H437" s="853">
        <f t="shared" si="206"/>
        <v>0.23679321248306073</v>
      </c>
      <c r="I437" s="862">
        <v>346982.81</v>
      </c>
      <c r="J437" s="855">
        <v>350000</v>
      </c>
      <c r="K437" s="855">
        <f t="shared" si="207"/>
        <v>-4880.5</v>
      </c>
      <c r="L437" s="817">
        <f t="shared" si="203"/>
        <v>-1.3870443042214319E-2</v>
      </c>
      <c r="M437" s="864">
        <f t="shared" si="208"/>
        <v>-3017.1900000000023</v>
      </c>
      <c r="N437" s="857">
        <f t="shared" si="189"/>
        <v>-8.6205428571428638E-3</v>
      </c>
      <c r="O437" s="811">
        <f t="shared" si="192"/>
        <v>-4.7706867857142893E-3</v>
      </c>
      <c r="P437" s="856" t="b">
        <f t="shared" si="209"/>
        <v>0</v>
      </c>
      <c r="Q437" s="857">
        <f>COUNTIF(P$2:P437, TRUE)/(COUNTIF(P$2:P437,FALSE) + COUNTIF(P$2:P437, TRUE))</f>
        <v>0.47706422018348627</v>
      </c>
      <c r="R437" s="855">
        <v>281173.90000000002</v>
      </c>
      <c r="S437" s="855">
        <f t="shared" si="210"/>
        <v>65808.909999999974</v>
      </c>
      <c r="T437" s="855">
        <v>-40512</v>
      </c>
      <c r="U437" s="855">
        <f t="shared" si="211"/>
        <v>37494.81</v>
      </c>
      <c r="V437" s="857">
        <f>STDEV(D$2:D437)*SQRT(252)</f>
        <v>0.14745091296310839</v>
      </c>
      <c r="W437" s="857">
        <f>STDEV(L$2:L437)*SQRT(252)</f>
        <v>0.31827656927387871</v>
      </c>
      <c r="X437" s="826">
        <f t="shared" si="199"/>
        <v>0.59034978233997903</v>
      </c>
      <c r="Y437" s="826">
        <f t="shared" si="200"/>
        <v>-1.4989123442539961E-2</v>
      </c>
      <c r="Z437" s="832">
        <f t="shared" si="201"/>
        <v>-0.16591397334743024</v>
      </c>
    </row>
    <row r="438" spans="1:26" ht="20.100000000000001" customHeight="1" x14ac:dyDescent="0.2">
      <c r="A438" s="801">
        <f t="shared" si="188"/>
        <v>661</v>
      </c>
      <c r="B438" s="849">
        <v>42894</v>
      </c>
      <c r="C438" s="860">
        <v>2433.79</v>
      </c>
      <c r="D438" s="817">
        <f t="shared" si="212"/>
        <v>2.6714451285174342E-4</v>
      </c>
      <c r="E438" s="851">
        <f t="shared" si="205"/>
        <v>0.15760259508000224</v>
      </c>
      <c r="F438" s="852">
        <v>6321.76</v>
      </c>
      <c r="G438" s="817">
        <f t="shared" si="202"/>
        <v>3.8714513019700429E-3</v>
      </c>
      <c r="H438" s="853">
        <f t="shared" si="206"/>
        <v>0.24158139717579599</v>
      </c>
      <c r="I438" s="862">
        <v>347153.55</v>
      </c>
      <c r="J438" s="855">
        <v>350000</v>
      </c>
      <c r="K438" s="855">
        <f t="shared" si="207"/>
        <v>170.73999999999069</v>
      </c>
      <c r="L438" s="817">
        <f t="shared" si="203"/>
        <v>4.9207048614307637E-4</v>
      </c>
      <c r="M438" s="864">
        <f t="shared" si="208"/>
        <v>-2846.4500000000116</v>
      </c>
      <c r="N438" s="857">
        <f t="shared" si="189"/>
        <v>-8.1327142857143195E-3</v>
      </c>
      <c r="O438" s="811">
        <f t="shared" si="192"/>
        <v>-4.4939090663497052E-3</v>
      </c>
      <c r="P438" s="856" t="b">
        <f t="shared" si="209"/>
        <v>1</v>
      </c>
      <c r="Q438" s="857">
        <f>COUNTIF(P$2:P438, TRUE)/(COUNTIF(P$2:P438,FALSE) + COUNTIF(P$2:P438, TRUE))</f>
        <v>0.47826086956521741</v>
      </c>
      <c r="R438" s="855">
        <v>278494.7</v>
      </c>
      <c r="S438" s="855">
        <f t="shared" si="210"/>
        <v>68658.849999999977</v>
      </c>
      <c r="T438" s="855">
        <v>-41692</v>
      </c>
      <c r="U438" s="855">
        <f t="shared" si="211"/>
        <v>38845.549999999988</v>
      </c>
      <c r="V438" s="857">
        <f>STDEV(D$2:D438)*SQRT(252)</f>
        <v>0.14728135611412443</v>
      </c>
      <c r="W438" s="857">
        <f>STDEV(L$2:L438)*SQRT(252)</f>
        <v>0.31791053438121292</v>
      </c>
      <c r="X438" s="826">
        <f t="shared" si="199"/>
        <v>0.59129520212629594</v>
      </c>
      <c r="Y438" s="826">
        <f t="shared" si="200"/>
        <v>-1.4135766451076353E-2</v>
      </c>
      <c r="Z438" s="832">
        <f t="shared" si="201"/>
        <v>-0.16573530936571657</v>
      </c>
    </row>
    <row r="439" spans="1:26" ht="20.100000000000001" customHeight="1" x14ac:dyDescent="0.2">
      <c r="A439" s="801">
        <f t="shared" si="188"/>
        <v>662</v>
      </c>
      <c r="B439" s="849">
        <v>42895</v>
      </c>
      <c r="C439" s="860">
        <v>2431.77</v>
      </c>
      <c r="D439" s="817">
        <f t="shared" si="212"/>
        <v>-8.2998122270203339E-4</v>
      </c>
      <c r="E439" s="851">
        <f t="shared" si="205"/>
        <v>0.15664180666273469</v>
      </c>
      <c r="F439" s="852">
        <v>6207.91</v>
      </c>
      <c r="G439" s="817">
        <f t="shared" si="202"/>
        <v>-1.8009225279036273E-2</v>
      </c>
      <c r="H439" s="853">
        <f t="shared" si="206"/>
        <v>0.21922147809179646</v>
      </c>
      <c r="I439" s="862">
        <v>354123.05</v>
      </c>
      <c r="J439" s="855">
        <v>350000</v>
      </c>
      <c r="K439" s="855">
        <f t="shared" si="207"/>
        <v>6969.5</v>
      </c>
      <c r="L439" s="817">
        <f t="shared" si="203"/>
        <v>2.0076130576800959E-2</v>
      </c>
      <c r="M439" s="864">
        <f t="shared" si="208"/>
        <v>4123.0499999999884</v>
      </c>
      <c r="N439" s="857">
        <f t="shared" si="189"/>
        <v>1.1780142857142824E-2</v>
      </c>
      <c r="O439" s="811">
        <f t="shared" si="192"/>
        <v>6.4995425658178497E-3</v>
      </c>
      <c r="P439" s="856" t="b">
        <f t="shared" si="209"/>
        <v>1</v>
      </c>
      <c r="Q439" s="857">
        <f>COUNTIF(P$2:P439, TRUE)/(COUNTIF(P$2:P439,FALSE) + COUNTIF(P$2:P439, TRUE))</f>
        <v>0.47945205479452052</v>
      </c>
      <c r="R439" s="855">
        <v>285464.2</v>
      </c>
      <c r="S439" s="855">
        <f t="shared" si="210"/>
        <v>68658.849999999977</v>
      </c>
      <c r="T439" s="855">
        <v>-37482</v>
      </c>
      <c r="U439" s="855">
        <f t="shared" si="211"/>
        <v>41605.049999999988</v>
      </c>
      <c r="V439" s="857">
        <f>STDEV(D$2:D439)*SQRT(252)</f>
        <v>0.14711522117325773</v>
      </c>
      <c r="W439" s="857">
        <f>STDEV(L$2:L439)*SQRT(252)</f>
        <v>0.3178976683829039</v>
      </c>
      <c r="X439" s="826">
        <f t="shared" si="199"/>
        <v>0.5874654225106517</v>
      </c>
      <c r="Y439" s="826">
        <f t="shared" si="200"/>
        <v>2.0445392376987268E-2</v>
      </c>
      <c r="Z439" s="832">
        <f t="shared" si="201"/>
        <v>-0.14486166380559187</v>
      </c>
    </row>
    <row r="440" spans="1:26" ht="20.100000000000001" customHeight="1" x14ac:dyDescent="0.2">
      <c r="A440" s="801">
        <f t="shared" si="188"/>
        <v>665</v>
      </c>
      <c r="B440" s="820">
        <v>42898</v>
      </c>
      <c r="C440" s="845">
        <v>2429.39</v>
      </c>
      <c r="D440" s="817">
        <f t="shared" si="212"/>
        <v>-9.7871098006806125E-4</v>
      </c>
      <c r="E440" s="844">
        <f t="shared" si="205"/>
        <v>0.1555097886265481</v>
      </c>
      <c r="F440" s="841">
        <v>6208.91</v>
      </c>
      <c r="G440" s="817">
        <f t="shared" si="202"/>
        <v>1.6108480954137545E-4</v>
      </c>
      <c r="H440" s="822">
        <f t="shared" si="206"/>
        <v>0.21941787615138364</v>
      </c>
      <c r="I440" s="824">
        <v>354932.43</v>
      </c>
      <c r="J440" s="825">
        <v>350000</v>
      </c>
      <c r="K440" s="825">
        <f t="shared" si="207"/>
        <v>809.38000000000466</v>
      </c>
      <c r="L440" s="817">
        <f t="shared" si="203"/>
        <v>2.2855897123895343E-3</v>
      </c>
      <c r="M440" s="842">
        <f t="shared" si="208"/>
        <v>4932.429999999993</v>
      </c>
      <c r="N440" s="827">
        <f t="shared" si="189"/>
        <v>1.4092657142857123E-2</v>
      </c>
      <c r="O440" s="811">
        <f t="shared" si="192"/>
        <v>7.7403654457572401E-3</v>
      </c>
      <c r="P440" s="842" t="b">
        <f t="shared" si="209"/>
        <v>1</v>
      </c>
      <c r="Q440" s="827">
        <f>COUNTIF(P$2:P440, TRUE)/(COUNTIF(P$2:P440,FALSE) + COUNTIF(P$2:P440, TRUE))</f>
        <v>0.48063781321184512</v>
      </c>
      <c r="R440" s="825">
        <v>278669.75</v>
      </c>
      <c r="S440" s="825">
        <f t="shared" si="210"/>
        <v>76262.679999999993</v>
      </c>
      <c r="T440" s="825">
        <v>-36662</v>
      </c>
      <c r="U440" s="825">
        <f t="shared" si="211"/>
        <v>41594.429999999993</v>
      </c>
      <c r="V440" s="827">
        <f>STDEV(D$2:D440)*SQRT(252)</f>
        <v>0.14695039242949098</v>
      </c>
      <c r="W440" s="827">
        <f>STDEV(L$2:L440)*SQRT(252)</f>
        <v>0.3175368564907623</v>
      </c>
      <c r="X440" s="826">
        <f t="shared" si="199"/>
        <v>0.58124008843652086</v>
      </c>
      <c r="Y440" s="826">
        <f t="shared" si="200"/>
        <v>2.43762740845248E-2</v>
      </c>
      <c r="Z440" s="832">
        <f t="shared" si="201"/>
        <v>-0.14141713148369098</v>
      </c>
    </row>
    <row r="441" spans="1:26" ht="20.100000000000001" customHeight="1" x14ac:dyDescent="0.2">
      <c r="A441" s="801">
        <f t="shared" si="188"/>
        <v>666</v>
      </c>
      <c r="B441" s="820">
        <v>42899</v>
      </c>
      <c r="C441" s="845">
        <v>2440.35</v>
      </c>
      <c r="D441" s="817">
        <f t="shared" si="212"/>
        <v>4.5114205623634071E-3</v>
      </c>
      <c r="E441" s="844">
        <f t="shared" si="205"/>
        <v>0.16072277924697012</v>
      </c>
      <c r="F441" s="841">
        <v>6220.36</v>
      </c>
      <c r="G441" s="817">
        <f t="shared" si="202"/>
        <v>1.8441240088839777E-3</v>
      </c>
      <c r="H441" s="822">
        <f t="shared" si="206"/>
        <v>0.22166663393365671</v>
      </c>
      <c r="I441" s="824">
        <v>359514.03</v>
      </c>
      <c r="J441" s="825">
        <v>350000</v>
      </c>
      <c r="K441" s="825">
        <f t="shared" si="207"/>
        <v>4581.6000000000349</v>
      </c>
      <c r="L441" s="817">
        <f t="shared" si="203"/>
        <v>1.29083724471163E-2</v>
      </c>
      <c r="M441" s="842">
        <f t="shared" si="208"/>
        <v>9514.0300000000279</v>
      </c>
      <c r="N441" s="827">
        <f t="shared" si="189"/>
        <v>2.7182942857142938E-2</v>
      </c>
      <c r="O441" s="811">
        <f t="shared" si="192"/>
        <v>1.4907762580437625E-2</v>
      </c>
      <c r="P441" s="842" t="b">
        <f t="shared" si="209"/>
        <v>1</v>
      </c>
      <c r="Q441" s="827">
        <f>COUNTIF(P$2:P441, TRUE)/(COUNTIF(P$2:P441,FALSE) + COUNTIF(P$2:P441, TRUE))</f>
        <v>0.48181818181818181</v>
      </c>
      <c r="R441" s="825">
        <v>282883.34999999998</v>
      </c>
      <c r="S441" s="825">
        <f t="shared" si="210"/>
        <v>76630.680000000051</v>
      </c>
      <c r="T441" s="825">
        <v>-33012</v>
      </c>
      <c r="U441" s="825">
        <f t="shared" si="211"/>
        <v>42526.030000000028</v>
      </c>
      <c r="V441" s="827">
        <f>STDEV(D$2:D441)*SQRT(252)</f>
        <v>0.14681603465160581</v>
      </c>
      <c r="W441" s="827">
        <f>STDEV(L$2:L441)*SQRT(252)</f>
        <v>0.31731497088300775</v>
      </c>
      <c r="X441" s="826">
        <f t="shared" si="199"/>
        <v>0.60037132201476762</v>
      </c>
      <c r="Y441" s="826">
        <f t="shared" si="200"/>
        <v>4.6980961972746108E-2</v>
      </c>
      <c r="Z441" s="832">
        <f t="shared" si="201"/>
        <v>-0.13353983638982719</v>
      </c>
    </row>
    <row r="442" spans="1:26" ht="20.100000000000001" customHeight="1" x14ac:dyDescent="0.2">
      <c r="A442" s="801">
        <f t="shared" si="188"/>
        <v>667</v>
      </c>
      <c r="B442" s="820">
        <v>42900</v>
      </c>
      <c r="C442" s="845">
        <v>2437.92</v>
      </c>
      <c r="D442" s="817">
        <f t="shared" ref="D442:D483" si="213">(C442-C441)/C441</f>
        <v>-9.9575880508936693E-4</v>
      </c>
      <c r="E442" s="844">
        <f t="shared" si="205"/>
        <v>0.15956697931926714</v>
      </c>
      <c r="F442" s="841">
        <v>6194.89</v>
      </c>
      <c r="G442" s="817">
        <f t="shared" ref="G442:G483" si="214">(F442-F441)/F441</f>
        <v>-4.0946183179107554E-3</v>
      </c>
      <c r="H442" s="822">
        <f t="shared" si="206"/>
        <v>0.21666437535597158</v>
      </c>
      <c r="I442" s="824">
        <v>355660.79999999999</v>
      </c>
      <c r="J442" s="825">
        <v>350000</v>
      </c>
      <c r="K442" s="825">
        <f t="shared" si="207"/>
        <v>-3853.2300000000396</v>
      </c>
      <c r="L442" s="817">
        <f t="shared" ref="L442:L483" si="215">K442/I441</f>
        <v>-1.0717884918149201E-2</v>
      </c>
      <c r="M442" s="842">
        <f t="shared" si="208"/>
        <v>5660.7999999999884</v>
      </c>
      <c r="N442" s="827">
        <f t="shared" si="189"/>
        <v>1.6173714285714253E-2</v>
      </c>
      <c r="O442" s="811">
        <f t="shared" si="192"/>
        <v>8.8567453416148901E-3</v>
      </c>
      <c r="P442" s="842" t="b">
        <f t="shared" si="209"/>
        <v>0</v>
      </c>
      <c r="Q442" s="827">
        <f>COUNTIF(P$2:P442, TRUE)/(COUNTIF(P$2:P442,FALSE) + COUNTIF(P$2:P442, TRUE))</f>
        <v>0.48072562358276644</v>
      </c>
      <c r="R442" s="825">
        <v>283596.25</v>
      </c>
      <c r="S442" s="825">
        <f t="shared" si="210"/>
        <v>72064.549999999988</v>
      </c>
      <c r="T442" s="825">
        <v>-36382</v>
      </c>
      <c r="U442" s="825">
        <f t="shared" si="211"/>
        <v>42042.799999999988</v>
      </c>
      <c r="V442" s="827">
        <f>STDEV(D$2:D442)*SQRT(252)</f>
        <v>0.14665243029152958</v>
      </c>
      <c r="W442" s="827">
        <f>STDEV(L$2:L442)*SQRT(252)</f>
        <v>0.3170662521053495</v>
      </c>
      <c r="X442" s="826">
        <f t="shared" si="199"/>
        <v>0.59582421570657329</v>
      </c>
      <c r="Y442" s="826">
        <f t="shared" si="200"/>
        <v>2.7933421746418215E-2</v>
      </c>
      <c r="Z442" s="832">
        <f t="shared" si="201"/>
        <v>-0.14339326503355287</v>
      </c>
    </row>
    <row r="443" spans="1:26" ht="20.100000000000001" customHeight="1" x14ac:dyDescent="0.2">
      <c r="A443" s="801">
        <f t="shared" si="188"/>
        <v>668</v>
      </c>
      <c r="B443" s="820">
        <v>42901</v>
      </c>
      <c r="C443" s="845">
        <v>2432.46</v>
      </c>
      <c r="D443" s="817">
        <f t="shared" si="213"/>
        <v>-2.2396140972632556E-3</v>
      </c>
      <c r="E443" s="844">
        <f t="shared" si="205"/>
        <v>0.15696999676566273</v>
      </c>
      <c r="F443" s="841">
        <v>6165.5</v>
      </c>
      <c r="G443" s="817">
        <f t="shared" si="214"/>
        <v>-4.7442327466670634E-3</v>
      </c>
      <c r="H443" s="822">
        <f t="shared" si="206"/>
        <v>0.21089223638470456</v>
      </c>
      <c r="I443" s="824">
        <v>343648.95</v>
      </c>
      <c r="J443" s="825">
        <v>350000</v>
      </c>
      <c r="K443" s="825">
        <f t="shared" si="207"/>
        <v>-12011.849999999977</v>
      </c>
      <c r="L443" s="817">
        <f t="shared" si="215"/>
        <v>-3.3773331218959125E-2</v>
      </c>
      <c r="M443" s="842">
        <f t="shared" si="208"/>
        <v>-6351.0499999999884</v>
      </c>
      <c r="N443" s="827">
        <f t="shared" si="189"/>
        <v>-1.8145857142857109E-2</v>
      </c>
      <c r="O443" s="811">
        <f t="shared" si="192"/>
        <v>-9.9218178464499391E-3</v>
      </c>
      <c r="P443" s="842" t="b">
        <f t="shared" si="209"/>
        <v>0</v>
      </c>
      <c r="Q443" s="827">
        <f>COUNTIF(P$2:P443, TRUE)/(COUNTIF(P$2:P443,FALSE) + COUNTIF(P$2:P443, TRUE))</f>
        <v>0.47963800904977377</v>
      </c>
      <c r="R443" s="825">
        <v>276654.45</v>
      </c>
      <c r="S443" s="825">
        <f t="shared" si="210"/>
        <v>66994.5</v>
      </c>
      <c r="T443" s="825">
        <v>-42389</v>
      </c>
      <c r="U443" s="825">
        <f t="shared" si="211"/>
        <v>36037.950000000012</v>
      </c>
      <c r="V443" s="827">
        <f>STDEV(D$2:D443)*SQRT(252)</f>
        <v>0.1464990590899134</v>
      </c>
      <c r="W443" s="827">
        <f>STDEV(L$2:L443)*SQRT(252)</f>
        <v>0.31775974785827971</v>
      </c>
      <c r="X443" s="826">
        <f t="shared" si="199"/>
        <v>0.5858623321565245</v>
      </c>
      <c r="Y443" s="826">
        <f t="shared" si="200"/>
        <v>-3.1224275300202758E-2</v>
      </c>
      <c r="Z443" s="832">
        <f t="shared" si="201"/>
        <v>-0.17511585390851983</v>
      </c>
    </row>
    <row r="444" spans="1:26" ht="20.100000000000001" customHeight="1" x14ac:dyDescent="0.2">
      <c r="A444" s="801">
        <f t="shared" si="188"/>
        <v>669</v>
      </c>
      <c r="B444" s="820">
        <v>42902</v>
      </c>
      <c r="C444" s="845">
        <v>2433.46</v>
      </c>
      <c r="D444" s="817">
        <f t="shared" si="213"/>
        <v>4.1110645190465617E-4</v>
      </c>
      <c r="E444" s="844">
        <f t="shared" si="205"/>
        <v>0.15744563459599323</v>
      </c>
      <c r="F444" s="841">
        <v>6166.5</v>
      </c>
      <c r="G444" s="817">
        <f t="shared" si="214"/>
        <v>1.6219284729543428E-4</v>
      </c>
      <c r="H444" s="822">
        <f t="shared" si="206"/>
        <v>0.21108863444429174</v>
      </c>
      <c r="I444" s="824">
        <v>340685.9</v>
      </c>
      <c r="J444" s="825">
        <v>350000</v>
      </c>
      <c r="K444" s="825">
        <f t="shared" si="207"/>
        <v>-2963.0499999999884</v>
      </c>
      <c r="L444" s="817">
        <f t="shared" si="215"/>
        <v>-8.6223164656839147E-3</v>
      </c>
      <c r="M444" s="842">
        <f t="shared" si="208"/>
        <v>-9314.0999999999767</v>
      </c>
      <c r="N444" s="827">
        <f t="shared" si="189"/>
        <v>-2.6611714285714218E-2</v>
      </c>
      <c r="O444" s="811">
        <f t="shared" si="192"/>
        <v>-1.4529041319666843E-2</v>
      </c>
      <c r="P444" s="842" t="b">
        <f t="shared" si="209"/>
        <v>0</v>
      </c>
      <c r="Q444" s="827">
        <f>COUNTIF(P$2:P444, TRUE)/(COUNTIF(P$2:P444,FALSE) + COUNTIF(P$2:P444, TRUE))</f>
        <v>0.47855530474040631</v>
      </c>
      <c r="R444" s="825">
        <v>280371.40000000002</v>
      </c>
      <c r="S444" s="825">
        <f t="shared" si="210"/>
        <v>60314.5</v>
      </c>
      <c r="T444" s="825">
        <v>-45235</v>
      </c>
      <c r="U444" s="825">
        <f t="shared" si="211"/>
        <v>35920.900000000023</v>
      </c>
      <c r="V444" s="827">
        <f>STDEV(D$2:D444)*SQRT(252)</f>
        <v>0.14633286893407277</v>
      </c>
      <c r="W444" s="827">
        <f>STDEV(L$2:L444)*SQRT(252)</f>
        <v>0.31747170066336466</v>
      </c>
      <c r="X444" s="826">
        <f t="shared" si="199"/>
        <v>0.58742556502635634</v>
      </c>
      <c r="Y444" s="826">
        <f t="shared" si="200"/>
        <v>-4.5764839163012216E-2</v>
      </c>
      <c r="Z444" s="832">
        <f t="shared" si="201"/>
        <v>-0.18405734888170744</v>
      </c>
    </row>
    <row r="445" spans="1:26" ht="20.100000000000001" customHeight="1" x14ac:dyDescent="0.2">
      <c r="A445" s="801">
        <f t="shared" si="188"/>
        <v>670</v>
      </c>
      <c r="B445" s="820">
        <v>42903</v>
      </c>
      <c r="C445" s="845">
        <v>2453.46</v>
      </c>
      <c r="D445" s="817">
        <f t="shared" si="213"/>
        <v>8.2187502568359452E-3</v>
      </c>
      <c r="E445" s="844">
        <f t="shared" si="205"/>
        <v>0.16695839120260267</v>
      </c>
      <c r="F445" s="841">
        <v>6239.01</v>
      </c>
      <c r="G445" s="817">
        <f t="shared" si="214"/>
        <v>1.17586961809779E-2</v>
      </c>
      <c r="H445" s="822">
        <f t="shared" si="206"/>
        <v>0.22532945774495758</v>
      </c>
      <c r="I445" s="824">
        <v>342070.2</v>
      </c>
      <c r="J445" s="825">
        <v>350000</v>
      </c>
      <c r="K445" s="825">
        <f t="shared" si="207"/>
        <v>1384.2999999999884</v>
      </c>
      <c r="L445" s="817">
        <f t="shared" si="215"/>
        <v>4.0632735314258331E-3</v>
      </c>
      <c r="M445" s="842">
        <f t="shared" si="208"/>
        <v>-7929.7999999999884</v>
      </c>
      <c r="N445" s="827">
        <f t="shared" si="189"/>
        <v>-2.2656571428571394E-2</v>
      </c>
      <c r="O445" s="811">
        <f t="shared" si="192"/>
        <v>-1.2351213006396569E-2</v>
      </c>
      <c r="P445" s="842" t="b">
        <f t="shared" si="209"/>
        <v>0</v>
      </c>
      <c r="Q445" s="827">
        <f>COUNTIF(P$2:P445, TRUE)/(COUNTIF(P$2:P445,FALSE) + COUNTIF(P$2:P445, TRUE))</f>
        <v>0.47747747747747749</v>
      </c>
      <c r="R445" s="825">
        <v>281755.7</v>
      </c>
      <c r="S445" s="825">
        <f t="shared" si="210"/>
        <v>60314.5</v>
      </c>
      <c r="T445" s="825">
        <v>-44677</v>
      </c>
      <c r="U445" s="825">
        <f t="shared" si="211"/>
        <v>36747.200000000012</v>
      </c>
      <c r="V445" s="827">
        <f>STDEV(D$2:D445)*SQRT(252)</f>
        <v>0.14628696674144756</v>
      </c>
      <c r="W445" s="827">
        <f>STDEV(L$2:L445)*SQRT(252)</f>
        <v>0.31712481290126882</v>
      </c>
      <c r="X445" s="826">
        <f t="shared" si="199"/>
        <v>0.62218285330333911</v>
      </c>
      <c r="Y445" s="826">
        <f t="shared" si="200"/>
        <v>-3.8947482202352612E-2</v>
      </c>
      <c r="Z445" s="832">
        <f t="shared" si="201"/>
        <v>-0.18961496263117406</v>
      </c>
    </row>
    <row r="446" spans="1:26" ht="20.100000000000001" customHeight="1" x14ac:dyDescent="0.2">
      <c r="A446" s="801">
        <f t="shared" si="188"/>
        <v>684</v>
      </c>
      <c r="B446" s="820">
        <v>42917</v>
      </c>
      <c r="C446" s="845">
        <v>2423.41</v>
      </c>
      <c r="D446" s="817">
        <f t="shared" si="213"/>
        <v>-1.2248008934321399E-2</v>
      </c>
      <c r="E446" s="844">
        <f t="shared" si="205"/>
        <v>0.15266547440117187</v>
      </c>
      <c r="F446" s="841">
        <v>6140.42</v>
      </c>
      <c r="G446" s="817">
        <f t="shared" si="214"/>
        <v>-1.5802186564855665E-2</v>
      </c>
      <c r="H446" s="822">
        <f t="shared" si="206"/>
        <v>0.20596657305025831</v>
      </c>
      <c r="I446" s="848">
        <v>340097.61</v>
      </c>
      <c r="J446" s="825">
        <v>350000</v>
      </c>
      <c r="K446" s="825">
        <f t="shared" si="207"/>
        <v>-1972.5900000000256</v>
      </c>
      <c r="L446" s="817">
        <f t="shared" si="215"/>
        <v>-5.7666233422263196E-3</v>
      </c>
      <c r="M446" s="848">
        <f t="shared" si="208"/>
        <v>-9902.390000000014</v>
      </c>
      <c r="N446" s="827">
        <f t="shared" si="189"/>
        <v>-2.8292542857142899E-2</v>
      </c>
      <c r="O446" s="811">
        <f t="shared" si="192"/>
        <v>-1.5107969705513806E-2</v>
      </c>
      <c r="P446" s="842" t="b">
        <f t="shared" si="209"/>
        <v>1</v>
      </c>
      <c r="Q446" s="827">
        <f>COUNTIF(P$2:P446, TRUE)/(COUNTIF(P$2:P446,FALSE) + COUNTIF(P$2:P446, TRUE))</f>
        <v>0.47865168539325842</v>
      </c>
      <c r="R446" s="825">
        <v>265669.75</v>
      </c>
      <c r="S446" s="825">
        <f t="shared" si="210"/>
        <v>74427.859999999986</v>
      </c>
      <c r="T446" s="825">
        <v>-48327</v>
      </c>
      <c r="U446" s="825">
        <f t="shared" si="211"/>
        <v>38424.609999999986</v>
      </c>
      <c r="V446" s="827">
        <f>STDEV(D$2:D446)*SQRT(252)</f>
        <v>0.14643166967945351</v>
      </c>
      <c r="W446" s="827">
        <f>STDEV(L$2:L446)*SQRT(252)</f>
        <v>0.31680015908275011</v>
      </c>
      <c r="X446" s="826">
        <f t="shared" si="199"/>
        <v>0.55672399514294701</v>
      </c>
      <c r="Y446" s="826">
        <f t="shared" si="200"/>
        <v>-4.7689274365444727E-2</v>
      </c>
      <c r="Z446" s="832">
        <f t="shared" si="201"/>
        <v>-0.18095801725831476</v>
      </c>
    </row>
    <row r="447" spans="1:26" ht="20.100000000000001" customHeight="1" x14ac:dyDescent="0.2">
      <c r="A447" s="801">
        <f t="shared" si="188"/>
        <v>699</v>
      </c>
      <c r="B447" s="820">
        <v>42932</v>
      </c>
      <c r="C447" s="845">
        <v>2459.27</v>
      </c>
      <c r="D447" s="817">
        <f t="shared" si="213"/>
        <v>1.4797331033543696E-2</v>
      </c>
      <c r="E447" s="844">
        <f t="shared" si="205"/>
        <v>0.16972184699682269</v>
      </c>
      <c r="F447" s="841">
        <v>6312.46</v>
      </c>
      <c r="G447" s="817">
        <f t="shared" si="214"/>
        <v>2.801762745870803E-2</v>
      </c>
      <c r="H447" s="822">
        <f t="shared" si="206"/>
        <v>0.23975489522163526</v>
      </c>
      <c r="I447" s="824">
        <v>337505.3</v>
      </c>
      <c r="J447" s="825">
        <v>350000</v>
      </c>
      <c r="K447" s="825">
        <f t="shared" si="207"/>
        <v>-2592.3099999999977</v>
      </c>
      <c r="L447" s="817">
        <f t="shared" si="215"/>
        <v>-7.6222529173315791E-3</v>
      </c>
      <c r="M447" s="842">
        <f t="shared" si="208"/>
        <v>-12494.700000000012</v>
      </c>
      <c r="N447" s="827">
        <f t="shared" si="189"/>
        <v>-3.5699142857142888E-2</v>
      </c>
      <c r="O447" s="811">
        <f t="shared" si="192"/>
        <v>-1.8653951256897627E-2</v>
      </c>
      <c r="P447" s="842" t="b">
        <f t="shared" si="209"/>
        <v>0</v>
      </c>
      <c r="Q447" s="827">
        <f>COUNTIF(P$2:P447, TRUE)/(COUNTIF(P$2:P447,FALSE) + COUNTIF(P$2:P447, TRUE))</f>
        <v>0.47757847533632286</v>
      </c>
      <c r="R447" s="825">
        <v>271259.02</v>
      </c>
      <c r="S447" s="825">
        <f t="shared" si="210"/>
        <v>66246.27999999997</v>
      </c>
      <c r="T447" s="825"/>
      <c r="U447" s="825"/>
      <c r="V447" s="827">
        <f>STDEV(D$2:D447)*SQRT(252)</f>
        <v>0.14666948290901966</v>
      </c>
      <c r="W447" s="827">
        <f>STDEV(L$2:L447)*SQRT(252)</f>
        <v>0.31649981867146626</v>
      </c>
      <c r="X447" s="826">
        <f t="shared" si="199"/>
        <v>0.60465971820759368</v>
      </c>
      <c r="Y447" s="826">
        <f t="shared" si="200"/>
        <v>-5.8938268385742225E-2</v>
      </c>
      <c r="Z447" s="832">
        <f t="shared" si="201"/>
        <v>-0.20542098985396556</v>
      </c>
    </row>
    <row r="448" spans="1:26" ht="20.100000000000001" customHeight="1" x14ac:dyDescent="0.2">
      <c r="A448" s="801">
        <f t="shared" si="188"/>
        <v>702</v>
      </c>
      <c r="B448" s="820">
        <v>42935</v>
      </c>
      <c r="C448" s="845">
        <v>2473.83</v>
      </c>
      <c r="D448" s="817">
        <f t="shared" si="213"/>
        <v>5.9204560702972612E-3</v>
      </c>
      <c r="E448" s="844">
        <f t="shared" si="205"/>
        <v>0.17664713380643438</v>
      </c>
      <c r="F448" s="841">
        <v>6385.04</v>
      </c>
      <c r="G448" s="817">
        <f t="shared" si="214"/>
        <v>1.1497894640124441E-2</v>
      </c>
      <c r="H448" s="822">
        <f t="shared" si="206"/>
        <v>0.25400946638647215</v>
      </c>
      <c r="I448" s="824">
        <v>343410.37</v>
      </c>
      <c r="J448" s="825">
        <v>350000</v>
      </c>
      <c r="K448" s="825">
        <f t="shared" si="207"/>
        <v>5905.070000000007</v>
      </c>
      <c r="L448" s="817">
        <f t="shared" si="215"/>
        <v>1.7496228948108393E-2</v>
      </c>
      <c r="M448" s="842">
        <f t="shared" si="208"/>
        <v>-6589.6300000000047</v>
      </c>
      <c r="N448" s="827">
        <f t="shared" si="189"/>
        <v>-1.8827514285714299E-2</v>
      </c>
      <c r="O448" s="811">
        <f t="shared" si="192"/>
        <v>-9.7959395909645985E-3</v>
      </c>
      <c r="P448" s="842" t="b">
        <f t="shared" si="209"/>
        <v>1</v>
      </c>
      <c r="Q448" s="827">
        <f>COUNTIF(P$2:P448, TRUE)/(COUNTIF(P$2:P448,FALSE) + COUNTIF(P$2:P448, TRUE))</f>
        <v>0.47874720357941836</v>
      </c>
      <c r="R448" s="825">
        <v>277164.09000000003</v>
      </c>
      <c r="S448" s="825">
        <f t="shared" si="210"/>
        <v>66246.27999999997</v>
      </c>
      <c r="T448" s="825"/>
      <c r="U448" s="825"/>
      <c r="V448" s="827">
        <f>STDEV(D$2:D448)*SQRT(252)</f>
        <v>0.14656345819426395</v>
      </c>
      <c r="W448" s="827">
        <f>STDEV(L$2:L448)*SQRT(252)</f>
        <v>0.31640768671182717</v>
      </c>
      <c r="X448" s="826">
        <f t="shared" si="199"/>
        <v>0.62709596151319946</v>
      </c>
      <c r="Y448" s="826">
        <f t="shared" si="200"/>
        <v>-3.0959866028433092E-2</v>
      </c>
      <c r="Z448" s="832">
        <f t="shared" si="201"/>
        <v>-0.19547464809214868</v>
      </c>
    </row>
    <row r="449" spans="1:26" ht="20.100000000000001" customHeight="1" x14ac:dyDescent="0.2">
      <c r="A449" s="801">
        <f t="shared" ref="A449:A512" si="216">B449-$B$2</f>
        <v>706</v>
      </c>
      <c r="B449" s="820">
        <v>42939</v>
      </c>
      <c r="C449" s="845">
        <v>2472.54</v>
      </c>
      <c r="D449" s="817">
        <f t="shared" si="213"/>
        <v>-5.214586289275996E-4</v>
      </c>
      <c r="E449" s="844">
        <f t="shared" si="205"/>
        <v>0.17603356100530806</v>
      </c>
      <c r="F449" s="841">
        <v>6387.75</v>
      </c>
      <c r="G449" s="817">
        <f t="shared" si="214"/>
        <v>4.2442960419982275E-4</v>
      </c>
      <c r="H449" s="822">
        <f t="shared" si="206"/>
        <v>0.25454170512795338</v>
      </c>
      <c r="I449" s="824">
        <v>341551.16</v>
      </c>
      <c r="J449" s="825">
        <v>350000</v>
      </c>
      <c r="K449" s="825">
        <f t="shared" si="207"/>
        <v>-1859.210000000021</v>
      </c>
      <c r="L449" s="817">
        <f t="shared" si="215"/>
        <v>-5.4139599803000151E-3</v>
      </c>
      <c r="M449" s="842">
        <f t="shared" si="208"/>
        <v>-8448.8400000000256</v>
      </c>
      <c r="N449" s="827">
        <f t="shared" ref="N449:N512" si="217">M449/J449</f>
        <v>-2.4139542857142929E-2</v>
      </c>
      <c r="O449" s="811">
        <f t="shared" si="192"/>
        <v>-1.248862326993124E-2</v>
      </c>
      <c r="P449" s="842" t="b">
        <f t="shared" si="209"/>
        <v>0</v>
      </c>
      <c r="Q449" s="827">
        <f>COUNTIF(P$2:P449, TRUE)/(COUNTIF(P$2:P449,FALSE) + COUNTIF(P$2:P449, TRUE))</f>
        <v>0.47767857142857145</v>
      </c>
      <c r="R449" s="825">
        <v>272191.45</v>
      </c>
      <c r="S449" s="825">
        <f t="shared" si="210"/>
        <v>69359.709999999963</v>
      </c>
      <c r="T449" s="825"/>
      <c r="U449" s="825"/>
      <c r="V449" s="827">
        <f>STDEV(D$2:D449)*SQRT(252)</f>
        <v>0.14640071777698352</v>
      </c>
      <c r="W449" s="827">
        <f>STDEV(L$2:L449)*SQRT(252)</f>
        <v>0.3160824345317183</v>
      </c>
      <c r="X449" s="826">
        <f t="shared" si="199"/>
        <v>0.62206790085699526</v>
      </c>
      <c r="Y449" s="826">
        <f t="shared" si="200"/>
        <v>-3.9510652619571714E-2</v>
      </c>
      <c r="Z449" s="832">
        <f t="shared" si="201"/>
        <v>-0.20017310386245099</v>
      </c>
    </row>
    <row r="450" spans="1:26" ht="20.100000000000001" customHeight="1" x14ac:dyDescent="0.2">
      <c r="A450" s="801">
        <f t="shared" si="216"/>
        <v>707</v>
      </c>
      <c r="B450" s="820">
        <v>42940</v>
      </c>
      <c r="C450" s="845">
        <v>2469.91</v>
      </c>
      <c r="D450" s="817">
        <f t="shared" si="213"/>
        <v>-1.0636834995592019E-3</v>
      </c>
      <c r="E450" s="844">
        <f t="shared" si="205"/>
        <v>0.17478263351153889</v>
      </c>
      <c r="F450" s="841">
        <v>6410.8</v>
      </c>
      <c r="G450" s="817">
        <f t="shared" si="214"/>
        <v>3.6084693358381563E-3</v>
      </c>
      <c r="H450" s="822">
        <f t="shared" si="206"/>
        <v>0.25906868040143771</v>
      </c>
      <c r="I450" s="824">
        <v>340982.83</v>
      </c>
      <c r="J450" s="825">
        <v>350000</v>
      </c>
      <c r="K450" s="825">
        <f t="shared" si="207"/>
        <v>-568.32999999995809</v>
      </c>
      <c r="L450" s="817">
        <f t="shared" si="215"/>
        <v>-1.6639674126709397E-3</v>
      </c>
      <c r="M450" s="842">
        <f t="shared" si="208"/>
        <v>-9017.1699999999837</v>
      </c>
      <c r="N450" s="827">
        <f t="shared" si="217"/>
        <v>-2.576334285714281E-2</v>
      </c>
      <c r="O450" s="811">
        <f t="shared" si="192"/>
        <v>-1.3309845797130709E-2</v>
      </c>
      <c r="P450" s="842" t="b">
        <f t="shared" si="209"/>
        <v>0</v>
      </c>
      <c r="Q450" s="827">
        <f>COUNTIF(P$2:P450, TRUE)/(COUNTIF(P$2:P450,FALSE) + COUNTIF(P$2:P450, TRUE))</f>
        <v>0.47661469933184858</v>
      </c>
      <c r="R450" s="825">
        <v>270948.21000000002</v>
      </c>
      <c r="S450" s="825">
        <f t="shared" si="210"/>
        <v>70034.62</v>
      </c>
      <c r="T450" s="825"/>
      <c r="U450" s="825"/>
      <c r="V450" s="827">
        <f>STDEV(D$2:D450)*SQRT(252)</f>
        <v>0.14624101621643504</v>
      </c>
      <c r="W450" s="827">
        <f>STDEV(L$2:L450)*SQRT(252)</f>
        <v>0.31573225572131869</v>
      </c>
      <c r="X450" s="826">
        <f t="shared" si="199"/>
        <v>0.61744729629894557</v>
      </c>
      <c r="Y450" s="826">
        <f t="shared" si="200"/>
        <v>-4.2155483185343769E-2</v>
      </c>
      <c r="Z450" s="832">
        <f t="shared" si="201"/>
        <v>-0.20054597636868171</v>
      </c>
    </row>
    <row r="451" spans="1:26" ht="20.100000000000001" customHeight="1" x14ac:dyDescent="0.2">
      <c r="A451" s="801">
        <f t="shared" si="216"/>
        <v>708</v>
      </c>
      <c r="B451" s="820">
        <v>42941</v>
      </c>
      <c r="C451" s="845">
        <v>2477.13</v>
      </c>
      <c r="D451" s="817">
        <f t="shared" si="213"/>
        <v>2.9231834358337976E-3</v>
      </c>
      <c r="E451" s="844">
        <f t="shared" si="205"/>
        <v>0.17821673864652501</v>
      </c>
      <c r="F451" s="841">
        <v>6412.17</v>
      </c>
      <c r="G451" s="817">
        <f t="shared" si="214"/>
        <v>2.1370187808072172E-4</v>
      </c>
      <c r="H451" s="822">
        <f t="shared" si="206"/>
        <v>0.25933774574307211</v>
      </c>
      <c r="I451" s="824">
        <v>346881.69</v>
      </c>
      <c r="J451" s="825">
        <v>350000</v>
      </c>
      <c r="K451" s="825">
        <f t="shared" si="207"/>
        <v>5898.859999999986</v>
      </c>
      <c r="L451" s="817">
        <f t="shared" si="215"/>
        <v>1.7299580744285527E-2</v>
      </c>
      <c r="M451" s="842">
        <f t="shared" si="208"/>
        <v>-3118.3099999999977</v>
      </c>
      <c r="N451" s="827">
        <f t="shared" si="217"/>
        <v>-8.9094571428571367E-3</v>
      </c>
      <c r="O451" s="811">
        <f t="shared" si="192"/>
        <v>-4.5962983353510858E-3</v>
      </c>
      <c r="P451" s="842" t="b">
        <f t="shared" si="209"/>
        <v>1</v>
      </c>
      <c r="Q451" s="827">
        <f>COUNTIF(P$2:P451, TRUE)/(COUNTIF(P$2:P451,FALSE) + COUNTIF(P$2:P451, TRUE))</f>
        <v>0.4777777777777778</v>
      </c>
      <c r="R451" s="825">
        <v>271847.19</v>
      </c>
      <c r="S451" s="825">
        <f t="shared" si="210"/>
        <v>75034.5</v>
      </c>
      <c r="T451" s="825"/>
      <c r="U451" s="825"/>
      <c r="V451" s="827">
        <f>STDEV(D$2:D451)*SQRT(252)</f>
        <v>0.14608992125066686</v>
      </c>
      <c r="W451" s="827">
        <f>STDEV(L$2:L451)*SQRT(252)</f>
        <v>0.31563562645422927</v>
      </c>
      <c r="X451" s="826">
        <f t="shared" si="199"/>
        <v>0.62933980870846162</v>
      </c>
      <c r="Y451" s="826">
        <f t="shared" si="200"/>
        <v>-1.4562039104979175E-2</v>
      </c>
      <c r="Z451" s="832">
        <f t="shared" si="201"/>
        <v>-0.18712619578938214</v>
      </c>
    </row>
    <row r="452" spans="1:26" ht="20.100000000000001" customHeight="1" x14ac:dyDescent="0.2">
      <c r="A452" s="801">
        <f t="shared" si="216"/>
        <v>709</v>
      </c>
      <c r="B452" s="820">
        <v>42942</v>
      </c>
      <c r="C452" s="845">
        <v>2477.83</v>
      </c>
      <c r="D452" s="817">
        <f t="shared" si="213"/>
        <v>2.8258508838850525E-4</v>
      </c>
      <c r="E452" s="844">
        <f t="shared" si="205"/>
        <v>0.17854968512775626</v>
      </c>
      <c r="F452" s="841">
        <v>6422.74</v>
      </c>
      <c r="G452" s="817">
        <f t="shared" si="214"/>
        <v>1.6484279112998733E-3</v>
      </c>
      <c r="H452" s="822">
        <f t="shared" si="206"/>
        <v>0.26141367323290848</v>
      </c>
      <c r="I452" s="824">
        <v>344935.7</v>
      </c>
      <c r="J452" s="825">
        <v>350000</v>
      </c>
      <c r="K452" s="825">
        <f t="shared" si="207"/>
        <v>-1945.9899999999907</v>
      </c>
      <c r="L452" s="817">
        <f t="shared" si="215"/>
        <v>-5.6099530649772571E-3</v>
      </c>
      <c r="M452" s="842">
        <f t="shared" si="208"/>
        <v>-5064.2999999999884</v>
      </c>
      <c r="N452" s="827">
        <f t="shared" si="217"/>
        <v>-1.4469428571428538E-2</v>
      </c>
      <c r="O452" s="811">
        <f t="shared" si="192"/>
        <v>-7.4541026596816268E-3</v>
      </c>
      <c r="P452" s="842" t="b">
        <f t="shared" si="209"/>
        <v>0</v>
      </c>
      <c r="Q452" s="827">
        <f>COUNTIF(P$2:P452, TRUE)/(COUNTIF(P$2:P452,FALSE) + COUNTIF(P$2:P452, TRUE))</f>
        <v>0.47671840354767187</v>
      </c>
      <c r="R452" s="825">
        <v>271848.19</v>
      </c>
      <c r="S452" s="825">
        <f t="shared" si="210"/>
        <v>73087.510000000009</v>
      </c>
      <c r="T452" s="825"/>
      <c r="U452" s="825"/>
      <c r="V452" s="827">
        <f>STDEV(D$2:D452)*SQRT(252)</f>
        <v>0.14592717685018944</v>
      </c>
      <c r="W452" s="827">
        <f>STDEV(L$2:L452)*SQRT(252)</f>
        <v>0.31531573939865265</v>
      </c>
      <c r="X452" s="826">
        <f t="shared" si="199"/>
        <v>0.63032843254768567</v>
      </c>
      <c r="Y452" s="826">
        <f t="shared" si="200"/>
        <v>-2.3640122354493157E-2</v>
      </c>
      <c r="Z452" s="832">
        <f t="shared" si="201"/>
        <v>-0.19301911369918481</v>
      </c>
    </row>
    <row r="453" spans="1:26" ht="20.100000000000001" customHeight="1" x14ac:dyDescent="0.2">
      <c r="A453" s="801">
        <f t="shared" si="216"/>
        <v>710</v>
      </c>
      <c r="B453" s="820">
        <v>42943</v>
      </c>
      <c r="C453" s="845">
        <v>2475.42</v>
      </c>
      <c r="D453" s="817">
        <f t="shared" si="213"/>
        <v>-9.7262524063388312E-4</v>
      </c>
      <c r="E453" s="844">
        <f t="shared" si="205"/>
        <v>0.17740339795665988</v>
      </c>
      <c r="F453" s="841">
        <v>6382.18</v>
      </c>
      <c r="G453" s="817">
        <f t="shared" si="214"/>
        <v>-6.3150617960558101E-3</v>
      </c>
      <c r="H453" s="822">
        <f t="shared" si="206"/>
        <v>0.25344776793605289</v>
      </c>
      <c r="I453" s="824">
        <v>347779.66</v>
      </c>
      <c r="J453" s="825">
        <v>350000</v>
      </c>
      <c r="K453" s="825">
        <f t="shared" si="207"/>
        <v>2843.9599999999627</v>
      </c>
      <c r="L453" s="817">
        <f t="shared" si="215"/>
        <v>8.2448989768236884E-3</v>
      </c>
      <c r="M453" s="842">
        <f t="shared" si="208"/>
        <v>-2220.3400000000256</v>
      </c>
      <c r="N453" s="827">
        <f t="shared" si="217"/>
        <v>-6.343828571428645E-3</v>
      </c>
      <c r="O453" s="811">
        <f t="shared" si="192"/>
        <v>-3.2634977263581869E-3</v>
      </c>
      <c r="P453" s="842" t="b">
        <f t="shared" si="209"/>
        <v>1</v>
      </c>
      <c r="Q453" s="827">
        <f>COUNTIF(P$2:P453, TRUE)/(COUNTIF(P$2:P453,FALSE) + COUNTIF(P$2:P453, TRUE))</f>
        <v>0.47787610619469029</v>
      </c>
      <c r="R453" s="825">
        <v>282618.7</v>
      </c>
      <c r="S453" s="825">
        <f t="shared" si="210"/>
        <v>65160.959999999963</v>
      </c>
      <c r="T453" s="825"/>
      <c r="U453" s="825"/>
      <c r="V453" s="827">
        <f>STDEV(D$2:D453)*SQRT(252)</f>
        <v>0.14576859451697097</v>
      </c>
      <c r="W453" s="827">
        <f>STDEV(L$2:L453)*SQRT(252)</f>
        <v>0.31502032970329025</v>
      </c>
      <c r="X453" s="826">
        <f t="shared" si="199"/>
        <v>0.62608001863351337</v>
      </c>
      <c r="Y453" s="826">
        <f t="shared" si="200"/>
        <v>-1.0359641644182118E-2</v>
      </c>
      <c r="Z453" s="832">
        <f t="shared" si="201"/>
        <v>-0.18374722652808853</v>
      </c>
    </row>
    <row r="454" spans="1:26" ht="20.100000000000001" customHeight="1" x14ac:dyDescent="0.2">
      <c r="A454" s="801">
        <f t="shared" si="216"/>
        <v>711</v>
      </c>
      <c r="B454" s="820">
        <v>42944</v>
      </c>
      <c r="C454" s="845">
        <v>2472.1</v>
      </c>
      <c r="D454" s="817">
        <f t="shared" si="213"/>
        <v>-1.3411865461215324E-3</v>
      </c>
      <c r="E454" s="844">
        <f t="shared" si="205"/>
        <v>0.17582428035996264</v>
      </c>
      <c r="F454" s="841">
        <v>6374.37</v>
      </c>
      <c r="G454" s="817">
        <f t="shared" si="214"/>
        <v>-1.223719794803719E-3</v>
      </c>
      <c r="H454" s="822">
        <f t="shared" si="206"/>
        <v>0.25191389909067702</v>
      </c>
      <c r="I454" s="824">
        <v>349490.54</v>
      </c>
      <c r="J454" s="825">
        <v>350000</v>
      </c>
      <c r="K454" s="825">
        <f t="shared" si="207"/>
        <v>1710.8800000000047</v>
      </c>
      <c r="L454" s="817">
        <f t="shared" si="215"/>
        <v>4.919436634103342E-3</v>
      </c>
      <c r="M454" s="842">
        <f t="shared" si="208"/>
        <v>-509.46000000002095</v>
      </c>
      <c r="N454" s="827">
        <f t="shared" si="217"/>
        <v>-1.4556000000000599E-3</v>
      </c>
      <c r="O454" s="811">
        <f t="shared" si="192"/>
        <v>-7.4776075949370164E-4</v>
      </c>
      <c r="P454" s="842" t="b">
        <f t="shared" si="209"/>
        <v>1</v>
      </c>
      <c r="Q454" s="827">
        <f>COUNTIF(P$2:P454, TRUE)/(COUNTIF(P$2:P454,FALSE) + COUNTIF(P$2:P454, TRUE))</f>
        <v>0.47902869757174393</v>
      </c>
      <c r="R454" s="825">
        <v>280096.03000000003</v>
      </c>
      <c r="S454" s="825">
        <f t="shared" si="210"/>
        <v>69394.509999999951</v>
      </c>
      <c r="T454" s="825"/>
      <c r="U454" s="825"/>
      <c r="V454" s="827">
        <f>STDEV(D$2:D454)*SQRT(252)</f>
        <v>0.14561273064343241</v>
      </c>
      <c r="W454" s="827">
        <f>STDEV(L$2:L454)*SQRT(252)</f>
        <v>0.3146891603387108</v>
      </c>
      <c r="X454" s="826">
        <f t="shared" si="199"/>
        <v>0.62029763629220669</v>
      </c>
      <c r="Y454" s="826">
        <f t="shared" si="200"/>
        <v>-2.3761884860884976E-3</v>
      </c>
      <c r="Z454" s="832">
        <f t="shared" si="201"/>
        <v>-0.1772798803599627</v>
      </c>
    </row>
    <row r="455" spans="1:26" ht="20.100000000000001" customHeight="1" x14ac:dyDescent="0.2">
      <c r="A455" s="801">
        <f t="shared" si="216"/>
        <v>714</v>
      </c>
      <c r="B455" s="820">
        <v>42947</v>
      </c>
      <c r="C455" s="845">
        <v>2470.3000000000002</v>
      </c>
      <c r="D455" s="817">
        <f t="shared" si="213"/>
        <v>-7.2812588487509696E-4</v>
      </c>
      <c r="E455" s="844">
        <f t="shared" si="205"/>
        <v>0.17496813226536792</v>
      </c>
      <c r="F455" s="841">
        <v>6348.12</v>
      </c>
      <c r="G455" s="817">
        <f t="shared" si="214"/>
        <v>-4.1180540194560404E-3</v>
      </c>
      <c r="H455" s="822">
        <f t="shared" si="206"/>
        <v>0.24675845002651375</v>
      </c>
      <c r="I455" s="847">
        <v>348754.42</v>
      </c>
      <c r="J455" s="825">
        <v>350000</v>
      </c>
      <c r="K455" s="825">
        <f t="shared" si="207"/>
        <v>-736.11999999999534</v>
      </c>
      <c r="L455" s="817">
        <f t="shared" si="215"/>
        <v>-2.1062658806158111E-3</v>
      </c>
      <c r="M455" s="847">
        <f t="shared" si="208"/>
        <v>-1245.5800000000163</v>
      </c>
      <c r="N455" s="827">
        <f t="shared" si="217"/>
        <v>-3.5588000000000464E-3</v>
      </c>
      <c r="O455" s="811">
        <f t="shared" ref="O455:O518" si="218">N455/(A455/365.25)</f>
        <v>-1.8205205882353178E-3</v>
      </c>
      <c r="P455" s="842" t="b">
        <f t="shared" si="209"/>
        <v>0</v>
      </c>
      <c r="Q455" s="827">
        <f>COUNTIF(P$2:P455, TRUE)/(COUNTIF(P$2:P455,FALSE) + COUNTIF(P$2:P455, TRUE))</f>
        <v>0.47797356828193832</v>
      </c>
      <c r="R455" s="825">
        <v>280782.40999999997</v>
      </c>
      <c r="S455" s="825">
        <f t="shared" si="210"/>
        <v>67972.010000000009</v>
      </c>
      <c r="T455" s="825"/>
      <c r="U455" s="825"/>
      <c r="V455" s="827">
        <f>STDEV(D$2:D455)*SQRT(252)</f>
        <v>0.14545400037786788</v>
      </c>
      <c r="W455" s="827">
        <f>STDEV(L$2:L455)*SQRT(252)</f>
        <v>0.31434636500825969</v>
      </c>
      <c r="X455" s="826">
        <f t="shared" si="199"/>
        <v>0.61535438354440486</v>
      </c>
      <c r="Y455" s="826">
        <f t="shared" si="200"/>
        <v>-5.791447876890456E-3</v>
      </c>
      <c r="Z455" s="832">
        <f t="shared" si="201"/>
        <v>-0.17852693226536798</v>
      </c>
    </row>
    <row r="456" spans="1:26" ht="20.100000000000001" customHeight="1" x14ac:dyDescent="0.2">
      <c r="A456" s="801">
        <f t="shared" si="216"/>
        <v>716</v>
      </c>
      <c r="B456" s="820">
        <v>42949</v>
      </c>
      <c r="C456" s="845">
        <v>2477.5700000000002</v>
      </c>
      <c r="D456" s="817">
        <f t="shared" si="213"/>
        <v>2.9429623932315839E-3</v>
      </c>
      <c r="E456" s="844">
        <f t="shared" si="205"/>
        <v>0.17842601929187044</v>
      </c>
      <c r="F456" s="841">
        <v>6362.64</v>
      </c>
      <c r="G456" s="817">
        <f t="shared" si="214"/>
        <v>2.2872913555510035E-3</v>
      </c>
      <c r="H456" s="822">
        <f t="shared" si="206"/>
        <v>0.24961014985171959</v>
      </c>
      <c r="I456" s="824">
        <v>346224.68</v>
      </c>
      <c r="J456" s="825">
        <v>350000</v>
      </c>
      <c r="K456" s="825">
        <f t="shared" si="207"/>
        <v>-2529.7399999999907</v>
      </c>
      <c r="L456" s="817">
        <f t="shared" si="215"/>
        <v>-7.2536428355517062E-3</v>
      </c>
      <c r="M456" s="842">
        <f t="shared" si="208"/>
        <v>-3775.320000000007</v>
      </c>
      <c r="N456" s="827">
        <f t="shared" si="217"/>
        <v>-1.0786628571428591E-2</v>
      </c>
      <c r="O456" s="811">
        <f t="shared" si="218"/>
        <v>-5.5025364325618619E-3</v>
      </c>
      <c r="P456" s="842" t="b">
        <f t="shared" si="209"/>
        <v>0</v>
      </c>
      <c r="Q456" s="827">
        <f>COUNTIF(P$2:P456, TRUE)/(COUNTIF(P$2:P456,FALSE) + COUNTIF(P$2:P456, TRUE))</f>
        <v>0.47692307692307695</v>
      </c>
      <c r="R456" s="825">
        <v>285608.7</v>
      </c>
      <c r="S456" s="825">
        <f t="shared" si="210"/>
        <v>60615.979999999981</v>
      </c>
      <c r="T456" s="825"/>
      <c r="U456" s="825"/>
      <c r="V456" s="827">
        <f>STDEV(D$2:D456)*SQRT(252)</f>
        <v>0.14530573959175411</v>
      </c>
      <c r="W456" s="827">
        <f>STDEV(L$2:L456)*SQRT(252)</f>
        <v>0.31405074697791074</v>
      </c>
      <c r="X456" s="826">
        <f t="shared" si="199"/>
        <v>0.62640125535416991</v>
      </c>
      <c r="Y456" s="826">
        <f t="shared" si="200"/>
        <v>-1.7521169701114871E-2</v>
      </c>
      <c r="Z456" s="832">
        <f t="shared" si="201"/>
        <v>-0.18921264786329903</v>
      </c>
    </row>
    <row r="457" spans="1:26" ht="20.100000000000001" customHeight="1" x14ac:dyDescent="0.2">
      <c r="A457" s="801">
        <f t="shared" si="216"/>
        <v>717</v>
      </c>
      <c r="B457" s="820">
        <v>42950</v>
      </c>
      <c r="C457" s="845">
        <v>2472.16</v>
      </c>
      <c r="D457" s="817">
        <f t="shared" si="213"/>
        <v>-2.1835911800676907E-3</v>
      </c>
      <c r="E457" s="844">
        <f t="shared" si="205"/>
        <v>0.17585281862978244</v>
      </c>
      <c r="F457" s="841">
        <v>6340.34</v>
      </c>
      <c r="G457" s="817">
        <f t="shared" si="214"/>
        <v>-3.5048344712258089E-3</v>
      </c>
      <c r="H457" s="822">
        <f t="shared" si="206"/>
        <v>0.24523047312292562</v>
      </c>
      <c r="I457" s="824">
        <v>348198.95</v>
      </c>
      <c r="J457" s="825">
        <v>350000</v>
      </c>
      <c r="K457" s="825">
        <f t="shared" si="207"/>
        <v>1974.2700000000186</v>
      </c>
      <c r="L457" s="817">
        <f t="shared" si="215"/>
        <v>5.7022798028148044E-3</v>
      </c>
      <c r="M457" s="842">
        <f t="shared" si="208"/>
        <v>-1801.0499999999884</v>
      </c>
      <c r="N457" s="827">
        <f t="shared" si="217"/>
        <v>-5.1458571428571092E-3</v>
      </c>
      <c r="O457" s="811">
        <f t="shared" si="218"/>
        <v>-2.6213728332336946E-3</v>
      </c>
      <c r="P457" s="842" t="b">
        <f t="shared" si="209"/>
        <v>1</v>
      </c>
      <c r="Q457" s="827">
        <f>COUNTIF(P$2:P457, TRUE)/(COUNTIF(P$2:P457,FALSE) + COUNTIF(P$2:P457, TRUE))</f>
        <v>0.47807017543859648</v>
      </c>
      <c r="R457" s="825">
        <v>289835.09999999998</v>
      </c>
      <c r="S457" s="825">
        <f t="shared" si="210"/>
        <v>58363.850000000035</v>
      </c>
      <c r="T457" s="825">
        <v>-40278</v>
      </c>
      <c r="U457" s="825">
        <f t="shared" ref="U457:U462" si="219">M457-T457</f>
        <v>38476.950000000012</v>
      </c>
      <c r="V457" s="827">
        <f>STDEV(D$2:D457)*SQRT(252)</f>
        <v>0.14515839119279755</v>
      </c>
      <c r="W457" s="827">
        <f>STDEV(L$2:L457)*SQRT(252)</f>
        <v>0.31372982471955946</v>
      </c>
      <c r="X457" s="826">
        <f t="shared" si="199"/>
        <v>0.61713227010711635</v>
      </c>
      <c r="Y457" s="826">
        <f t="shared" si="200"/>
        <v>-8.3555104637466921E-3</v>
      </c>
      <c r="Z457" s="832">
        <f t="shared" si="201"/>
        <v>-0.18099867577263956</v>
      </c>
    </row>
    <row r="458" spans="1:26" ht="20.100000000000001" customHeight="1" x14ac:dyDescent="0.2">
      <c r="A458" s="801">
        <f t="shared" si="216"/>
        <v>718</v>
      </c>
      <c r="B458" s="820">
        <v>42951</v>
      </c>
      <c r="C458" s="845">
        <v>2476.83</v>
      </c>
      <c r="D458" s="817">
        <f t="shared" si="213"/>
        <v>1.8890363083295875E-3</v>
      </c>
      <c r="E458" s="844">
        <f t="shared" si="205"/>
        <v>0.17807404729742579</v>
      </c>
      <c r="F458" s="841">
        <v>6351.56</v>
      </c>
      <c r="G458" s="817">
        <f t="shared" si="214"/>
        <v>1.7696211875073346E-3</v>
      </c>
      <c r="H458" s="822">
        <f t="shared" ref="H458:H483" si="220">(F458-F$2)/F$2</f>
        <v>0.24743405935149373</v>
      </c>
      <c r="I458" s="824">
        <v>352188.09</v>
      </c>
      <c r="J458" s="825">
        <v>350000</v>
      </c>
      <c r="K458" s="825">
        <f t="shared" ref="K458:K483" si="221">I458-I457-J458+J457</f>
        <v>3989.140000000014</v>
      </c>
      <c r="L458" s="817">
        <f t="shared" si="215"/>
        <v>1.1456496350721374E-2</v>
      </c>
      <c r="M458" s="842">
        <f t="shared" si="208"/>
        <v>2188.0900000000256</v>
      </c>
      <c r="N458" s="827">
        <f t="shared" si="217"/>
        <v>6.2516857142857875E-3</v>
      </c>
      <c r="O458" s="811">
        <f t="shared" si="218"/>
        <v>3.1802621269399495E-3</v>
      </c>
      <c r="P458" s="842" t="b">
        <f t="shared" si="209"/>
        <v>1</v>
      </c>
      <c r="Q458" s="827">
        <f>COUNTIF(P$2:P458, TRUE)/(COUNTIF(P$2:P458,FALSE) + COUNTIF(P$2:P458, TRUE))</f>
        <v>0.47921225382932164</v>
      </c>
      <c r="R458" s="825">
        <v>296464.17</v>
      </c>
      <c r="S458" s="825">
        <f t="shared" ref="S458:S489" si="222">I458-R458</f>
        <v>55723.920000000042</v>
      </c>
      <c r="T458" s="825">
        <v>-36936</v>
      </c>
      <c r="U458" s="825">
        <f t="shared" si="219"/>
        <v>39124.090000000026</v>
      </c>
      <c r="V458" s="827">
        <f>STDEV(D$2:D458)*SQRT(252)</f>
        <v>0.14500302685679403</v>
      </c>
      <c r="W458" s="827">
        <f>STDEV(L$2:L458)*SQRT(252)</f>
        <v>0.31349308569145112</v>
      </c>
      <c r="X458" s="826">
        <f t="shared" si="199"/>
        <v>0.62472565622538812</v>
      </c>
      <c r="Y458" s="826">
        <f t="shared" si="200"/>
        <v>1.0144600541748646E-2</v>
      </c>
      <c r="Z458" s="832">
        <f t="shared" si="201"/>
        <v>-0.17182236158314002</v>
      </c>
    </row>
    <row r="459" spans="1:26" ht="20.100000000000001" customHeight="1" x14ac:dyDescent="0.2">
      <c r="A459" s="801">
        <f t="shared" si="216"/>
        <v>719</v>
      </c>
      <c r="B459" s="820">
        <v>42952</v>
      </c>
      <c r="C459" s="845">
        <v>2480.91</v>
      </c>
      <c r="D459" s="817">
        <f t="shared" si="213"/>
        <v>1.6472668693450609E-3</v>
      </c>
      <c r="E459" s="844">
        <f t="shared" si="205"/>
        <v>0.18001464964517408</v>
      </c>
      <c r="F459" s="841">
        <v>6383.77</v>
      </c>
      <c r="G459" s="817">
        <f t="shared" si="214"/>
        <v>5.0711951079734797E-3</v>
      </c>
      <c r="H459" s="822">
        <f t="shared" si="220"/>
        <v>0.25376004085079651</v>
      </c>
      <c r="I459" s="824">
        <v>348235.03</v>
      </c>
      <c r="J459" s="825">
        <v>350000</v>
      </c>
      <c r="K459" s="825">
        <f t="shared" si="221"/>
        <v>-3953.0599999999977</v>
      </c>
      <c r="L459" s="817">
        <f t="shared" si="215"/>
        <v>-1.1224286431718907E-2</v>
      </c>
      <c r="M459" s="842">
        <f t="shared" si="208"/>
        <v>-1764.9699999999721</v>
      </c>
      <c r="N459" s="827">
        <f t="shared" si="217"/>
        <v>-5.0427714285713491E-3</v>
      </c>
      <c r="O459" s="811">
        <f t="shared" si="218"/>
        <v>-2.5617138585336376E-3</v>
      </c>
      <c r="P459" s="842" t="b">
        <f t="shared" si="209"/>
        <v>0</v>
      </c>
      <c r="Q459" s="827">
        <f>COUNTIF(P$2:P459, TRUE)/(COUNTIF(P$2:P459,FALSE) + COUNTIF(P$2:P459, TRUE))</f>
        <v>0.47816593886462883</v>
      </c>
      <c r="R459" s="825">
        <v>292511.11</v>
      </c>
      <c r="S459" s="825">
        <f t="shared" si="222"/>
        <v>55723.920000000042</v>
      </c>
      <c r="T459" s="825">
        <v>-40990</v>
      </c>
      <c r="U459" s="825">
        <f t="shared" si="219"/>
        <v>39225.030000000028</v>
      </c>
      <c r="V459" s="827">
        <f>STDEV(D$2:D459)*SQRT(252)</f>
        <v>0.14484690154006488</v>
      </c>
      <c r="W459" s="827">
        <f>STDEV(L$2:L459)*SQRT(252)</f>
        <v>0.31326813608511911</v>
      </c>
      <c r="X459" s="826">
        <f t="shared" si="199"/>
        <v>0.63133515671575291</v>
      </c>
      <c r="Y459" s="826">
        <f t="shared" si="200"/>
        <v>-8.1773840472482203E-3</v>
      </c>
      <c r="Z459" s="832">
        <f t="shared" si="201"/>
        <v>-0.18505742107374543</v>
      </c>
    </row>
    <row r="460" spans="1:26" ht="20.100000000000001" customHeight="1" x14ac:dyDescent="0.2">
      <c r="A460" s="801">
        <f t="shared" si="216"/>
        <v>722</v>
      </c>
      <c r="B460" s="820">
        <v>42955</v>
      </c>
      <c r="C460" s="845">
        <v>2474.92</v>
      </c>
      <c r="D460" s="817">
        <f t="shared" si="213"/>
        <v>-2.4144366381689711E-3</v>
      </c>
      <c r="E460" s="844">
        <f t="shared" si="205"/>
        <v>0.17716557904149466</v>
      </c>
      <c r="F460" s="841">
        <v>6370.46</v>
      </c>
      <c r="G460" s="817">
        <f t="shared" si="214"/>
        <v>-2.0849748659491803E-3</v>
      </c>
      <c r="H460" s="822">
        <f t="shared" si="220"/>
        <v>0.25114598267769117</v>
      </c>
      <c r="I460" s="824">
        <v>347445.16</v>
      </c>
      <c r="J460" s="825">
        <v>350000</v>
      </c>
      <c r="K460" s="825">
        <f t="shared" si="221"/>
        <v>-789.87000000005355</v>
      </c>
      <c r="L460" s="817">
        <f t="shared" si="215"/>
        <v>-2.2682094905847167E-3</v>
      </c>
      <c r="M460" s="842">
        <f t="shared" si="208"/>
        <v>-2554.8400000000256</v>
      </c>
      <c r="N460" s="827">
        <f t="shared" si="217"/>
        <v>-7.2995428571429304E-3</v>
      </c>
      <c r="O460" s="811">
        <f t="shared" si="218"/>
        <v>-3.6927396517610184E-3</v>
      </c>
      <c r="P460" s="842" t="b">
        <f t="shared" si="209"/>
        <v>1</v>
      </c>
      <c r="Q460" s="827">
        <f>COUNTIF(P$2:P460, TRUE)/(COUNTIF(P$2:P460,FALSE) + COUNTIF(P$2:P460, TRUE))</f>
        <v>0.47930283224400871</v>
      </c>
      <c r="R460" s="825">
        <v>282925.45</v>
      </c>
      <c r="S460" s="825">
        <f t="shared" si="222"/>
        <v>64519.709999999963</v>
      </c>
      <c r="T460" s="825">
        <v>-41466</v>
      </c>
      <c r="U460" s="825">
        <f t="shared" si="219"/>
        <v>38911.159999999974</v>
      </c>
      <c r="V460" s="827">
        <f>STDEV(D$2:D460)*SQRT(252)</f>
        <v>0.14470343899895807</v>
      </c>
      <c r="W460" s="827">
        <f>STDEV(L$2:L460)*SQRT(252)</f>
        <v>0.31293135224758201</v>
      </c>
      <c r="X460" s="826">
        <f t="shared" si="199"/>
        <v>0.61937478691982528</v>
      </c>
      <c r="Y460" s="826">
        <f t="shared" si="200"/>
        <v>-1.1800478364467081E-2</v>
      </c>
      <c r="Z460" s="832">
        <f t="shared" si="201"/>
        <v>-0.18446512189863759</v>
      </c>
    </row>
    <row r="461" spans="1:26" ht="20.100000000000001" customHeight="1" x14ac:dyDescent="0.2">
      <c r="A461" s="801">
        <f t="shared" si="216"/>
        <v>723</v>
      </c>
      <c r="B461" s="820">
        <v>42956</v>
      </c>
      <c r="C461" s="845">
        <v>2474.02</v>
      </c>
      <c r="D461" s="817">
        <f t="shared" si="213"/>
        <v>-3.6364811791899976E-4</v>
      </c>
      <c r="E461" s="844">
        <f t="shared" si="205"/>
        <v>0.17673750499419719</v>
      </c>
      <c r="F461" s="841">
        <v>6352.33</v>
      </c>
      <c r="G461" s="817">
        <f t="shared" si="214"/>
        <v>-2.8459483302618821E-3</v>
      </c>
      <c r="H461" s="822">
        <f t="shared" si="220"/>
        <v>0.24758528585737577</v>
      </c>
      <c r="I461" s="824">
        <v>344663.89</v>
      </c>
      <c r="J461" s="825">
        <v>350000</v>
      </c>
      <c r="K461" s="825">
        <f t="shared" si="221"/>
        <v>-2781.2699999999604</v>
      </c>
      <c r="L461" s="817">
        <f t="shared" si="215"/>
        <v>-8.0049179559731395E-3</v>
      </c>
      <c r="M461" s="842">
        <f t="shared" si="208"/>
        <v>-5336.109999999986</v>
      </c>
      <c r="N461" s="827">
        <f t="shared" si="217"/>
        <v>-1.5246028571428531E-2</v>
      </c>
      <c r="O461" s="811">
        <f t="shared" si="218"/>
        <v>-7.7020911973917994E-3</v>
      </c>
      <c r="P461" s="842" t="b">
        <f t="shared" si="209"/>
        <v>0</v>
      </c>
      <c r="Q461" s="827">
        <f>COUNTIF(P$2:P461, TRUE)/(COUNTIF(P$2:P461,FALSE) + COUNTIF(P$2:P461, TRUE))</f>
        <v>0.47826086956521741</v>
      </c>
      <c r="R461" s="825">
        <v>285894.18</v>
      </c>
      <c r="S461" s="825">
        <f t="shared" si="222"/>
        <v>58769.710000000021</v>
      </c>
      <c r="T461" s="825">
        <v>-43506</v>
      </c>
      <c r="U461" s="825">
        <f t="shared" si="219"/>
        <v>38169.890000000014</v>
      </c>
      <c r="V461" s="827">
        <f>STDEV(D$2:D461)*SQRT(252)</f>
        <v>0.14454647992700137</v>
      </c>
      <c r="W461" s="827">
        <f>STDEV(L$2:L461)*SQRT(252)</f>
        <v>0.31265113323308852</v>
      </c>
      <c r="X461" s="826">
        <f t="shared" si="199"/>
        <v>0.61769363630370799</v>
      </c>
      <c r="Y461" s="826">
        <f t="shared" si="200"/>
        <v>-2.4634777804082724E-2</v>
      </c>
      <c r="Z461" s="832">
        <f t="shared" si="201"/>
        <v>-0.19198353356562572</v>
      </c>
    </row>
    <row r="462" spans="1:26" ht="20.100000000000001" customHeight="1" x14ac:dyDescent="0.2">
      <c r="A462" s="801">
        <f t="shared" si="216"/>
        <v>724</v>
      </c>
      <c r="B462" s="820">
        <v>42957</v>
      </c>
      <c r="C462" s="845">
        <v>2438.21</v>
      </c>
      <c r="D462" s="817">
        <f t="shared" si="213"/>
        <v>-1.4474418153450637E-2</v>
      </c>
      <c r="E462" s="844">
        <f t="shared" si="205"/>
        <v>0.15970491429006295</v>
      </c>
      <c r="F462" s="841">
        <v>6216.87</v>
      </c>
      <c r="G462" s="817">
        <f t="shared" si="214"/>
        <v>-2.1324458899333005E-2</v>
      </c>
      <c r="H462" s="822">
        <f t="shared" si="220"/>
        <v>0.22098120470569754</v>
      </c>
      <c r="I462" s="824">
        <v>338857.2</v>
      </c>
      <c r="J462" s="825">
        <v>350000</v>
      </c>
      <c r="K462" s="825">
        <f t="shared" si="221"/>
        <v>-5806.6900000000023</v>
      </c>
      <c r="L462" s="817">
        <f t="shared" si="215"/>
        <v>-1.6847398780301594E-2</v>
      </c>
      <c r="M462" s="842">
        <f t="shared" si="208"/>
        <v>-11142.799999999988</v>
      </c>
      <c r="N462" s="827">
        <f t="shared" si="217"/>
        <v>-3.1836571428571395E-2</v>
      </c>
      <c r="O462" s="811">
        <f t="shared" si="218"/>
        <v>-1.6061198500394617E-2</v>
      </c>
      <c r="P462" s="842" t="b">
        <f t="shared" si="209"/>
        <v>0</v>
      </c>
      <c r="Q462" s="827">
        <f>COUNTIF(P$2:P462, TRUE)/(COUNTIF(P$2:P462,FALSE) + COUNTIF(P$2:P462, TRUE))</f>
        <v>0.47722342733188722</v>
      </c>
      <c r="R462" s="825">
        <v>288927.49</v>
      </c>
      <c r="S462" s="825">
        <f t="shared" si="222"/>
        <v>49929.710000000021</v>
      </c>
      <c r="T462" s="825">
        <v>-45429</v>
      </c>
      <c r="U462" s="825">
        <f t="shared" si="219"/>
        <v>34286.200000000012</v>
      </c>
      <c r="V462" s="827">
        <f>STDEV(D$2:D462)*SQRT(252)</f>
        <v>0.14480781665948367</v>
      </c>
      <c r="W462" s="827">
        <f>STDEV(L$2:L462)*SQRT(252)</f>
        <v>0.31256971763489261</v>
      </c>
      <c r="X462" s="826">
        <f t="shared" si="199"/>
        <v>0.55638822836208146</v>
      </c>
      <c r="Y462" s="826">
        <f t="shared" si="200"/>
        <v>-5.1384371531331227E-2</v>
      </c>
      <c r="Z462" s="832">
        <f t="shared" si="201"/>
        <v>-0.19154148571863433</v>
      </c>
    </row>
    <row r="463" spans="1:26" ht="20.100000000000001" customHeight="1" x14ac:dyDescent="0.2">
      <c r="A463" s="801">
        <f t="shared" si="216"/>
        <v>729</v>
      </c>
      <c r="B463" s="820">
        <v>42962</v>
      </c>
      <c r="C463" s="845">
        <v>2464.61</v>
      </c>
      <c r="D463" s="817">
        <f t="shared" si="213"/>
        <v>1.0827615340762318E-2</v>
      </c>
      <c r="E463" s="844">
        <f t="shared" si="205"/>
        <v>0.1722617530107875</v>
      </c>
      <c r="F463" s="841">
        <v>6333.01</v>
      </c>
      <c r="G463" s="817">
        <f t="shared" si="214"/>
        <v>1.8681426505621049E-2</v>
      </c>
      <c r="H463" s="822">
        <f t="shared" si="220"/>
        <v>0.24379087534615168</v>
      </c>
      <c r="I463" s="824">
        <v>332438.64</v>
      </c>
      <c r="J463" s="825">
        <v>350000</v>
      </c>
      <c r="K463" s="825">
        <f t="shared" si="221"/>
        <v>-6418.5599999999977</v>
      </c>
      <c r="L463" s="817">
        <f t="shared" si="215"/>
        <v>-1.8941784326849179E-2</v>
      </c>
      <c r="M463" s="842">
        <f t="shared" si="208"/>
        <v>-17561.359999999986</v>
      </c>
      <c r="N463" s="827">
        <f t="shared" si="217"/>
        <v>-5.0175314285714243E-2</v>
      </c>
      <c r="O463" s="811">
        <f t="shared" si="218"/>
        <v>-2.5139277836566703E-2</v>
      </c>
      <c r="P463" s="842" t="b">
        <f t="shared" si="209"/>
        <v>0</v>
      </c>
      <c r="Q463" s="827">
        <f>COUNTIF(P$2:P463, TRUE)/(COUNTIF(P$2:P463,FALSE) + COUNTIF(P$2:P463, TRUE))</f>
        <v>0.47619047619047616</v>
      </c>
      <c r="R463" s="825">
        <v>295365.94</v>
      </c>
      <c r="S463" s="825">
        <f t="shared" si="222"/>
        <v>37072.700000000012</v>
      </c>
      <c r="T463" s="825"/>
      <c r="U463" s="825"/>
      <c r="V463" s="827">
        <f>STDEV(D$2:D463)*SQRT(252)</f>
        <v>0.14485707775910978</v>
      </c>
      <c r="W463" s="827">
        <f>STDEV(L$2:L463)*SQRT(252)</f>
        <v>0.31255421973327635</v>
      </c>
      <c r="X463" s="826">
        <f t="shared" si="199"/>
        <v>0.59581555741895575</v>
      </c>
      <c r="Y463" s="826">
        <f t="shared" si="200"/>
        <v>-8.0431733918101475E-2</v>
      </c>
      <c r="Z463" s="832">
        <f t="shared" si="201"/>
        <v>-0.22243706729650176</v>
      </c>
    </row>
    <row r="464" spans="1:26" ht="20.100000000000001" customHeight="1" x14ac:dyDescent="0.2">
      <c r="A464" s="801">
        <f t="shared" si="216"/>
        <v>730</v>
      </c>
      <c r="B464" s="820">
        <v>42963</v>
      </c>
      <c r="C464" s="845">
        <v>2468.11</v>
      </c>
      <c r="D464" s="817">
        <f t="shared" si="213"/>
        <v>1.4201029777530724E-3</v>
      </c>
      <c r="E464" s="844">
        <f t="shared" si="205"/>
        <v>0.17392648541694417</v>
      </c>
      <c r="F464" s="841">
        <v>6345.1</v>
      </c>
      <c r="G464" s="817">
        <f t="shared" si="214"/>
        <v>1.9090448301834586E-3</v>
      </c>
      <c r="H464" s="822">
        <f t="shared" si="220"/>
        <v>0.24616532788656059</v>
      </c>
      <c r="I464" s="824">
        <v>331487.06</v>
      </c>
      <c r="J464" s="825">
        <v>350000</v>
      </c>
      <c r="K464" s="825">
        <f t="shared" si="221"/>
        <v>-951.5800000000163</v>
      </c>
      <c r="L464" s="817">
        <f t="shared" si="215"/>
        <v>-2.8624229722514095E-3</v>
      </c>
      <c r="M464" s="842">
        <f t="shared" si="208"/>
        <v>-18512.940000000002</v>
      </c>
      <c r="N464" s="827">
        <f t="shared" si="217"/>
        <v>-5.2894114285714292E-2</v>
      </c>
      <c r="O464" s="811">
        <f t="shared" si="218"/>
        <v>-2.6465171565557732E-2</v>
      </c>
      <c r="P464" s="842" t="b">
        <f t="shared" si="209"/>
        <v>0</v>
      </c>
      <c r="Q464" s="827">
        <f>COUNTIF(P$2:P464, TRUE)/(COUNTIF(P$2:P464,FALSE) + COUNTIF(P$2:P464, TRUE))</f>
        <v>0.47516198704103674</v>
      </c>
      <c r="R464" s="825">
        <v>287776.84999999998</v>
      </c>
      <c r="S464" s="825">
        <f t="shared" si="222"/>
        <v>43710.210000000021</v>
      </c>
      <c r="T464" s="825"/>
      <c r="U464" s="825"/>
      <c r="V464" s="827">
        <f>STDEV(D$2:D464)*SQRT(252)</f>
        <v>0.14470189508724368</v>
      </c>
      <c r="W464" s="827">
        <f>STDEV(L$2:L464)*SQRT(252)</f>
        <v>0.312223627542843</v>
      </c>
      <c r="X464" s="826">
        <f t="shared" si="199"/>
        <v>0.60139368956345107</v>
      </c>
      <c r="Y464" s="826">
        <f t="shared" si="200"/>
        <v>-8.4763513171104282E-2</v>
      </c>
      <c r="Z464" s="832">
        <f t="shared" si="201"/>
        <v>-0.22682059970265844</v>
      </c>
    </row>
    <row r="465" spans="1:26" ht="20.100000000000001" customHeight="1" x14ac:dyDescent="0.2">
      <c r="A465" s="801">
        <f t="shared" si="216"/>
        <v>731</v>
      </c>
      <c r="B465" s="820">
        <v>42964</v>
      </c>
      <c r="C465" s="845">
        <v>2430.0100000000002</v>
      </c>
      <c r="D465" s="817">
        <f t="shared" si="213"/>
        <v>-1.5436913265616163E-2</v>
      </c>
      <c r="E465" s="844">
        <f t="shared" si="205"/>
        <v>0.15580468408135317</v>
      </c>
      <c r="F465" s="841">
        <v>6221.91</v>
      </c>
      <c r="G465" s="817">
        <f t="shared" si="214"/>
        <v>-1.9414981639375346E-2</v>
      </c>
      <c r="H465" s="822">
        <f t="shared" si="220"/>
        <v>0.22197105092601688</v>
      </c>
      <c r="I465" s="824">
        <v>325889.02</v>
      </c>
      <c r="J465" s="825">
        <v>350000</v>
      </c>
      <c r="K465" s="825">
        <f t="shared" si="221"/>
        <v>-5598.039999999979</v>
      </c>
      <c r="L465" s="817">
        <f t="shared" si="215"/>
        <v>-1.6887657696200809E-2</v>
      </c>
      <c r="M465" s="842">
        <f t="shared" si="208"/>
        <v>-24110.979999999981</v>
      </c>
      <c r="N465" s="827">
        <f t="shared" si="217"/>
        <v>-6.8888514285714228E-2</v>
      </c>
      <c r="O465" s="811">
        <f t="shared" si="218"/>
        <v>-3.4420697459448868E-2</v>
      </c>
      <c r="P465" s="842" t="b">
        <f t="shared" si="209"/>
        <v>0</v>
      </c>
      <c r="Q465" s="827">
        <f>COUNTIF(P$2:P465, TRUE)/(COUNTIF(P$2:P465,FALSE) + COUNTIF(P$2:P465, TRUE))</f>
        <v>0.47413793103448276</v>
      </c>
      <c r="R465" s="825">
        <v>282178.81</v>
      </c>
      <c r="S465" s="825">
        <f t="shared" si="222"/>
        <v>43710.210000000021</v>
      </c>
      <c r="T465" s="825"/>
      <c r="U465" s="825"/>
      <c r="V465" s="827">
        <f>STDEV(D$2:D465)*SQRT(252)</f>
        <v>0.14501595644672607</v>
      </c>
      <c r="W465" s="827">
        <f>STDEV(L$2:L465)*SQRT(252)</f>
        <v>0.31214219131133292</v>
      </c>
      <c r="X465" s="826">
        <f t="shared" si="199"/>
        <v>0.53683097482860831</v>
      </c>
      <c r="Y465" s="826">
        <f t="shared" si="200"/>
        <v>-0.11027249252926981</v>
      </c>
      <c r="Z465" s="832">
        <f t="shared" si="201"/>
        <v>-0.22469319836706741</v>
      </c>
    </row>
    <row r="466" spans="1:26" ht="20.100000000000001" customHeight="1" x14ac:dyDescent="0.2">
      <c r="A466" s="801">
        <f t="shared" si="216"/>
        <v>734</v>
      </c>
      <c r="B466" s="820">
        <v>42967</v>
      </c>
      <c r="C466" s="845">
        <v>2425.5500000000002</v>
      </c>
      <c r="D466" s="817">
        <f t="shared" si="213"/>
        <v>-1.8353833934839922E-3</v>
      </c>
      <c r="E466" s="844">
        <f t="shared" si="205"/>
        <v>0.15368333935807924</v>
      </c>
      <c r="F466" s="841">
        <v>6216.52</v>
      </c>
      <c r="G466" s="817">
        <f t="shared" si="214"/>
        <v>-8.6629346936863724E-4</v>
      </c>
      <c r="H466" s="822">
        <f t="shared" si="220"/>
        <v>0.22091246538484213</v>
      </c>
      <c r="I466" s="824">
        <v>347339.95</v>
      </c>
      <c r="J466" s="825">
        <v>370000</v>
      </c>
      <c r="K466" s="825">
        <f t="shared" si="221"/>
        <v>1450.929999999993</v>
      </c>
      <c r="L466" s="817">
        <f t="shared" si="215"/>
        <v>4.4522211886733496E-3</v>
      </c>
      <c r="M466" s="842">
        <f t="shared" si="208"/>
        <v>-22660.049999999988</v>
      </c>
      <c r="N466" s="827">
        <f t="shared" si="217"/>
        <v>-6.1243378378378344E-2</v>
      </c>
      <c r="O466" s="811">
        <f t="shared" si="218"/>
        <v>-3.0475672960085409E-2</v>
      </c>
      <c r="P466" s="842" t="b">
        <f t="shared" si="209"/>
        <v>1</v>
      </c>
      <c r="Q466" s="827">
        <f>COUNTIF(P$2:P466, TRUE)/(COUNTIF(P$2:P466,FALSE) + COUNTIF(P$2:P466, TRUE))</f>
        <v>0.47526881720430109</v>
      </c>
      <c r="R466" s="825">
        <v>291149.86</v>
      </c>
      <c r="S466" s="825">
        <f t="shared" si="222"/>
        <v>56190.090000000026</v>
      </c>
      <c r="T466" s="825"/>
      <c r="U466" s="825"/>
      <c r="V466" s="827">
        <f>STDEV(D$2:D466)*SQRT(252)</f>
        <v>0.14486825523803426</v>
      </c>
      <c r="W466" s="827">
        <f>STDEV(L$2:L466)*SQRT(252)</f>
        <v>0.31182045349782028</v>
      </c>
      <c r="X466" s="826">
        <f t="shared" si="199"/>
        <v>0.52789521294325603</v>
      </c>
      <c r="Y466" s="826">
        <f t="shared" si="200"/>
        <v>-9.7734682309088633E-2</v>
      </c>
      <c r="Z466" s="832">
        <f t="shared" si="201"/>
        <v>-0.21492671773645758</v>
      </c>
    </row>
    <row r="467" spans="1:26" ht="20.100000000000001" customHeight="1" x14ac:dyDescent="0.2">
      <c r="A467" s="801">
        <f t="shared" si="216"/>
        <v>736</v>
      </c>
      <c r="B467" s="820">
        <v>42969</v>
      </c>
      <c r="C467" s="845">
        <v>2452.5100000000002</v>
      </c>
      <c r="D467" s="817">
        <f t="shared" si="213"/>
        <v>1.1115004844262141E-2</v>
      </c>
      <c r="E467" s="844">
        <f t="shared" si="205"/>
        <v>0.16650653526378881</v>
      </c>
      <c r="F467" s="841">
        <v>6297.47</v>
      </c>
      <c r="G467" s="817">
        <f t="shared" si="214"/>
        <v>1.3021754936845665E-2</v>
      </c>
      <c r="H467" s="822">
        <f t="shared" si="220"/>
        <v>0.23681088830842362</v>
      </c>
      <c r="I467" s="824">
        <v>347918.93</v>
      </c>
      <c r="J467" s="825">
        <v>370000</v>
      </c>
      <c r="K467" s="825">
        <f t="shared" si="221"/>
        <v>578.97999999998137</v>
      </c>
      <c r="L467" s="817">
        <f t="shared" si="215"/>
        <v>1.6668972284932422E-3</v>
      </c>
      <c r="M467" s="842">
        <f t="shared" si="208"/>
        <v>-22081.070000000007</v>
      </c>
      <c r="N467" s="827">
        <f t="shared" si="217"/>
        <v>-5.9678567567567585E-2</v>
      </c>
      <c r="O467" s="811">
        <f t="shared" si="218"/>
        <v>-2.9616300005508238E-2</v>
      </c>
      <c r="P467" s="842" t="b">
        <f t="shared" si="209"/>
        <v>0</v>
      </c>
      <c r="Q467" s="827">
        <f>COUNTIF(P$2:P467, TRUE)/(COUNTIF(P$2:P467,FALSE) + COUNTIF(P$2:P467, TRUE))</f>
        <v>0.47424892703862659</v>
      </c>
      <c r="R467" s="825">
        <v>294443.84000000003</v>
      </c>
      <c r="S467" s="825">
        <f t="shared" si="222"/>
        <v>53475.089999999967</v>
      </c>
      <c r="T467" s="825"/>
      <c r="U467" s="825"/>
      <c r="V467" s="827">
        <f>STDEV(D$2:D467)*SQRT(252)</f>
        <v>0.14492890674225326</v>
      </c>
      <c r="W467" s="827">
        <f>STDEV(L$2:L467)*SQRT(252)</f>
        <v>0.31148603418004434</v>
      </c>
      <c r="X467" s="826">
        <f t="shared" si="199"/>
        <v>0.57014940841763584</v>
      </c>
      <c r="Y467" s="826">
        <f t="shared" si="200"/>
        <v>-9.5080667367544003E-2</v>
      </c>
      <c r="Z467" s="832">
        <f t="shared" si="201"/>
        <v>-0.2261851028313564</v>
      </c>
    </row>
    <row r="468" spans="1:26" ht="20.100000000000001" customHeight="1" x14ac:dyDescent="0.2">
      <c r="A468" s="801">
        <f t="shared" si="216"/>
        <v>739</v>
      </c>
      <c r="B468" s="820">
        <v>42972</v>
      </c>
      <c r="C468" s="845">
        <v>2443.0500000000002</v>
      </c>
      <c r="D468" s="817">
        <f t="shared" si="213"/>
        <v>-3.8572727532201847E-3</v>
      </c>
      <c r="E468" s="844">
        <f t="shared" si="205"/>
        <v>0.16200700138886251</v>
      </c>
      <c r="F468" s="841">
        <v>6265.64</v>
      </c>
      <c r="G468" s="817">
        <f t="shared" si="214"/>
        <v>-5.0544107395509505E-3</v>
      </c>
      <c r="H468" s="822">
        <f t="shared" si="220"/>
        <v>0.23055953807176396</v>
      </c>
      <c r="I468" s="824">
        <v>350194.37</v>
      </c>
      <c r="J468" s="825">
        <v>370000</v>
      </c>
      <c r="K468" s="825">
        <f t="shared" si="221"/>
        <v>2275.4400000000023</v>
      </c>
      <c r="L468" s="817">
        <f t="shared" si="215"/>
        <v>6.5401442801632046E-3</v>
      </c>
      <c r="M468" s="842">
        <f t="shared" si="208"/>
        <v>-19805.630000000005</v>
      </c>
      <c r="N468" s="827">
        <f t="shared" si="217"/>
        <v>-5.3528729729729739E-2</v>
      </c>
      <c r="O468" s="811">
        <f t="shared" si="218"/>
        <v>-2.6456520343415137E-2</v>
      </c>
      <c r="P468" s="842" t="b">
        <f t="shared" si="209"/>
        <v>1</v>
      </c>
      <c r="Q468" s="827">
        <f>COUNTIF(P$2:P468, TRUE)/(COUNTIF(P$2:P468,FALSE) + COUNTIF(P$2:P468, TRUE))</f>
        <v>0.47537473233404709</v>
      </c>
      <c r="R468" s="825">
        <v>301558.38</v>
      </c>
      <c r="S468" s="825">
        <f t="shared" si="222"/>
        <v>48635.989999999991</v>
      </c>
      <c r="T468" s="825"/>
      <c r="U468" s="825"/>
      <c r="V468" s="827">
        <f>STDEV(D$2:D468)*SQRT(252)</f>
        <v>0.14480639993993136</v>
      </c>
      <c r="W468" s="827">
        <f>STDEV(L$2:L468)*SQRT(252)</f>
        <v>0.31118539712304355</v>
      </c>
      <c r="X468" s="826">
        <f t="shared" si="199"/>
        <v>0.55295757681420421</v>
      </c>
      <c r="Y468" s="826">
        <f t="shared" si="200"/>
        <v>-8.5018514968921113E-2</v>
      </c>
      <c r="Z468" s="832">
        <f t="shared" si="201"/>
        <v>-0.21553573111859226</v>
      </c>
    </row>
    <row r="469" spans="1:26" ht="20.100000000000001" customHeight="1" x14ac:dyDescent="0.2">
      <c r="A469" s="801">
        <f t="shared" si="216"/>
        <v>743</v>
      </c>
      <c r="B469" s="820">
        <v>42976</v>
      </c>
      <c r="C469" s="845">
        <v>2446.3000000000002</v>
      </c>
      <c r="D469" s="817">
        <f t="shared" si="213"/>
        <v>1.3303043326988804E-3</v>
      </c>
      <c r="E469" s="844">
        <f t="shared" si="205"/>
        <v>0.16355282433743656</v>
      </c>
      <c r="F469" s="841">
        <v>6301.88</v>
      </c>
      <c r="G469" s="817">
        <f t="shared" si="214"/>
        <v>5.7839263028197883E-3</v>
      </c>
      <c r="H469" s="822">
        <f t="shared" si="220"/>
        <v>0.23767700375120301</v>
      </c>
      <c r="I469" s="824">
        <v>348569.19</v>
      </c>
      <c r="J469" s="825">
        <v>370000</v>
      </c>
      <c r="K469" s="825">
        <f t="shared" si="221"/>
        <v>-1625.179999999993</v>
      </c>
      <c r="L469" s="817">
        <f t="shared" si="215"/>
        <v>-4.6407941966628216E-3</v>
      </c>
      <c r="M469" s="842">
        <f t="shared" si="208"/>
        <v>-21430.809999999998</v>
      </c>
      <c r="N469" s="827">
        <f t="shared" si="217"/>
        <v>-5.7921108108108105E-2</v>
      </c>
      <c r="O469" s="811">
        <f t="shared" si="218"/>
        <v>-2.847333073551344E-2</v>
      </c>
      <c r="P469" s="842" t="b">
        <f t="shared" si="209"/>
        <v>0</v>
      </c>
      <c r="Q469" s="827">
        <f>COUNTIF(P$2:P469, TRUE)/(COUNTIF(P$2:P469,FALSE) + COUNTIF(P$2:P469, TRUE))</f>
        <v>0.47435897435897434</v>
      </c>
      <c r="R469" s="825">
        <v>299933.2</v>
      </c>
      <c r="S469" s="825">
        <f t="shared" si="222"/>
        <v>48635.989999999991</v>
      </c>
      <c r="T469" s="825"/>
      <c r="U469" s="825"/>
      <c r="V469" s="827">
        <f>STDEV(D$2:D469)*SQRT(252)</f>
        <v>0.14465268757046457</v>
      </c>
      <c r="W469" s="827">
        <f>STDEV(L$2:L469)*SQRT(252)</f>
        <v>0.31087213053146129</v>
      </c>
      <c r="X469" s="826">
        <f t="shared" si="199"/>
        <v>0.55581844136645131</v>
      </c>
      <c r="Y469" s="826">
        <f t="shared" si="200"/>
        <v>-9.1591776615150278E-2</v>
      </c>
      <c r="Z469" s="832">
        <f t="shared" si="201"/>
        <v>-0.22147393244554467</v>
      </c>
    </row>
    <row r="470" spans="1:26" ht="20.100000000000001" customHeight="1" x14ac:dyDescent="0.2">
      <c r="A470" s="801">
        <f t="shared" si="216"/>
        <v>744</v>
      </c>
      <c r="B470" s="820">
        <v>42977</v>
      </c>
      <c r="C470" s="845">
        <v>2457.59</v>
      </c>
      <c r="D470" s="817">
        <f t="shared" si="213"/>
        <v>4.6151330580877087E-3</v>
      </c>
      <c r="E470" s="844">
        <f t="shared" si="205"/>
        <v>0.1689227754418676</v>
      </c>
      <c r="F470" s="841">
        <v>6368.3</v>
      </c>
      <c r="G470" s="817">
        <f t="shared" si="214"/>
        <v>1.0539711958970984E-2</v>
      </c>
      <c r="H470" s="822">
        <f t="shared" si="220"/>
        <v>0.25072176286898296</v>
      </c>
      <c r="I470" s="824">
        <v>350684.01</v>
      </c>
      <c r="J470" s="825">
        <v>370000</v>
      </c>
      <c r="K470" s="825">
        <f t="shared" si="221"/>
        <v>2114.820000000007</v>
      </c>
      <c r="L470" s="817">
        <f t="shared" si="215"/>
        <v>6.0671455213812987E-3</v>
      </c>
      <c r="M470" s="842">
        <f t="shared" si="208"/>
        <v>-19315.989999999991</v>
      </c>
      <c r="N470" s="827">
        <f t="shared" si="217"/>
        <v>-5.2205378378378353E-2</v>
      </c>
      <c r="O470" s="811">
        <f t="shared" si="218"/>
        <v>-2.5629051683740179E-2</v>
      </c>
      <c r="P470" s="842" t="b">
        <f t="shared" si="209"/>
        <v>1</v>
      </c>
      <c r="Q470" s="827">
        <f>COUNTIF(P$2:P470, TRUE)/(COUNTIF(P$2:P470,FALSE) + COUNTIF(P$2:P470, TRUE))</f>
        <v>0.47547974413646055</v>
      </c>
      <c r="R470" s="825">
        <v>295643.7</v>
      </c>
      <c r="S470" s="825">
        <f t="shared" si="222"/>
        <v>55040.31</v>
      </c>
      <c r="T470" s="825"/>
      <c r="U470" s="825"/>
      <c r="V470" s="827">
        <f>STDEV(D$2:D470)*SQRT(252)</f>
        <v>0.14453137067764452</v>
      </c>
      <c r="W470" s="827">
        <f>STDEV(L$2:L470)*SQRT(252)</f>
        <v>0.31056850522583535</v>
      </c>
      <c r="X470" s="826">
        <f t="shared" si="199"/>
        <v>0.57377731788687758</v>
      </c>
      <c r="Y470" s="826">
        <f t="shared" si="200"/>
        <v>-8.2523022304220969E-2</v>
      </c>
      <c r="Z470" s="832">
        <f t="shared" si="201"/>
        <v>-0.22112815382024595</v>
      </c>
    </row>
    <row r="471" spans="1:26" ht="20.100000000000001" customHeight="1" x14ac:dyDescent="0.2">
      <c r="A471" s="801">
        <f t="shared" si="216"/>
        <v>745</v>
      </c>
      <c r="B471" s="820">
        <v>42978</v>
      </c>
      <c r="C471" s="845">
        <v>2471.65</v>
      </c>
      <c r="D471" s="817">
        <f t="shared" si="213"/>
        <v>5.7210519248531875E-3</v>
      </c>
      <c r="E471" s="844">
        <f t="shared" si="205"/>
        <v>0.175610243336314</v>
      </c>
      <c r="F471" s="841">
        <v>6428.66</v>
      </c>
      <c r="G471" s="817">
        <f t="shared" si="214"/>
        <v>9.4781966929949387E-3</v>
      </c>
      <c r="H471" s="822">
        <f t="shared" si="220"/>
        <v>0.26257634974566452</v>
      </c>
      <c r="I471" s="848">
        <v>352584.03</v>
      </c>
      <c r="J471" s="825">
        <v>370000</v>
      </c>
      <c r="K471" s="825">
        <f t="shared" si="221"/>
        <v>1900.0200000000186</v>
      </c>
      <c r="L471" s="817">
        <f t="shared" si="215"/>
        <v>5.4180400184200544E-3</v>
      </c>
      <c r="M471" s="848">
        <f t="shared" si="208"/>
        <v>-17415.969999999972</v>
      </c>
      <c r="N471" s="827">
        <f t="shared" si="217"/>
        <v>-4.7070189189189114E-2</v>
      </c>
      <c r="O471" s="811">
        <f t="shared" si="218"/>
        <v>-2.3077028995102448E-2</v>
      </c>
      <c r="P471" s="842" t="b">
        <f t="shared" si="209"/>
        <v>0</v>
      </c>
      <c r="Q471" s="827">
        <f>COUNTIF(P$2:P471, TRUE)/(COUNTIF(P$2:P471,FALSE) + COUNTIF(P$2:P471, TRUE))</f>
        <v>0.474468085106383</v>
      </c>
      <c r="R471" s="825">
        <v>289110.77</v>
      </c>
      <c r="S471" s="825">
        <f t="shared" si="222"/>
        <v>63473.260000000009</v>
      </c>
      <c r="T471" s="825"/>
      <c r="U471" s="825"/>
      <c r="V471" s="827">
        <f>STDEV(D$2:D471)*SQRT(252)</f>
        <v>0.14443004981901336</v>
      </c>
      <c r="W471" s="827">
        <f>STDEV(L$2:L471)*SQRT(252)</f>
        <v>0.31025959043644818</v>
      </c>
      <c r="X471" s="826">
        <f t="shared" si="199"/>
        <v>0.59610976408419181</v>
      </c>
      <c r="Y471" s="826">
        <f t="shared" si="200"/>
        <v>-7.4379744273624371E-2</v>
      </c>
      <c r="Z471" s="832">
        <f t="shared" si="201"/>
        <v>-0.22268043252550312</v>
      </c>
    </row>
    <row r="472" spans="1:26" ht="20.100000000000001" customHeight="1" x14ac:dyDescent="0.2">
      <c r="A472" s="801">
        <f t="shared" si="216"/>
        <v>746</v>
      </c>
      <c r="B472" s="820">
        <v>42979</v>
      </c>
      <c r="C472" s="845">
        <v>2476.5500000000002</v>
      </c>
      <c r="D472" s="817">
        <f t="shared" si="213"/>
        <v>1.9824813383772341E-3</v>
      </c>
      <c r="E472" s="844">
        <f t="shared" si="205"/>
        <v>0.17794086870493336</v>
      </c>
      <c r="F472" s="841">
        <v>6435.33</v>
      </c>
      <c r="G472" s="817">
        <f t="shared" si="214"/>
        <v>1.0375412605426438E-3</v>
      </c>
      <c r="H472" s="822">
        <f t="shared" si="220"/>
        <v>0.26388632480311097</v>
      </c>
      <c r="I472" s="824">
        <v>336954.37</v>
      </c>
      <c r="J472" s="825">
        <v>350000</v>
      </c>
      <c r="K472" s="825">
        <f t="shared" si="221"/>
        <v>4370.3399999999674</v>
      </c>
      <c r="L472" s="817">
        <f t="shared" si="215"/>
        <v>1.2395172861345895E-2</v>
      </c>
      <c r="M472" s="842">
        <f t="shared" si="208"/>
        <v>-13045.630000000005</v>
      </c>
      <c r="N472" s="827">
        <f t="shared" si="217"/>
        <v>-3.7273228571428584E-2</v>
      </c>
      <c r="O472" s="811">
        <f t="shared" si="218"/>
        <v>-1.8249392407123713E-2</v>
      </c>
      <c r="P472" s="842" t="b">
        <f t="shared" si="209"/>
        <v>1</v>
      </c>
      <c r="Q472" s="827">
        <f>COUNTIF(P$2:P472, TRUE)/(COUNTIF(P$2:P472,FALSE) + COUNTIF(P$2:P472, TRUE))</f>
        <v>0.47558386411889597</v>
      </c>
      <c r="R472" s="825">
        <v>291479.53000000003</v>
      </c>
      <c r="S472" s="825">
        <f t="shared" si="222"/>
        <v>45474.839999999967</v>
      </c>
      <c r="T472" s="825">
        <v>-52981</v>
      </c>
      <c r="U472" s="825">
        <f t="shared" ref="U472:U513" si="223">M472-T472</f>
        <v>39935.369999999995</v>
      </c>
      <c r="V472" s="827">
        <f>STDEV(D$2:D472)*SQRT(252)</f>
        <v>0.1442807254907349</v>
      </c>
      <c r="W472" s="827">
        <f>STDEV(L$2:L472)*SQRT(252)</f>
        <v>0.31005583574297191</v>
      </c>
      <c r="X472" s="826">
        <f t="shared" si="199"/>
        <v>0.60383570047443835</v>
      </c>
      <c r="Y472" s="826">
        <f t="shared" si="200"/>
        <v>-5.8858406465382505E-2</v>
      </c>
      <c r="Z472" s="832">
        <f t="shared" si="201"/>
        <v>-0.21521409727636195</v>
      </c>
    </row>
    <row r="473" spans="1:26" ht="20.100000000000001" customHeight="1" x14ac:dyDescent="0.2">
      <c r="A473" s="801">
        <f t="shared" si="216"/>
        <v>750</v>
      </c>
      <c r="B473" s="820">
        <v>42983</v>
      </c>
      <c r="C473" s="845">
        <v>2457.85</v>
      </c>
      <c r="D473" s="817">
        <f t="shared" si="213"/>
        <v>-7.5508267549616488E-3</v>
      </c>
      <c r="E473" s="844">
        <f t="shared" si="205"/>
        <v>0.1690464412777534</v>
      </c>
      <c r="F473" s="841">
        <v>6375.57</v>
      </c>
      <c r="G473" s="817">
        <f t="shared" si="214"/>
        <v>-9.2862370694277094E-3</v>
      </c>
      <c r="H473" s="822">
        <f t="shared" si="220"/>
        <v>0.25214957676218158</v>
      </c>
      <c r="I473" s="824">
        <v>336250.61</v>
      </c>
      <c r="J473" s="825">
        <v>350000</v>
      </c>
      <c r="K473" s="825">
        <f t="shared" si="221"/>
        <v>-703.76000000000931</v>
      </c>
      <c r="L473" s="817">
        <f t="shared" si="215"/>
        <v>-2.0885914018566056E-3</v>
      </c>
      <c r="M473" s="842">
        <f t="shared" si="208"/>
        <v>-13749.390000000014</v>
      </c>
      <c r="N473" s="827">
        <f t="shared" si="217"/>
        <v>-3.9283971428571471E-2</v>
      </c>
      <c r="O473" s="811">
        <f t="shared" si="218"/>
        <v>-1.9131294085714307E-2</v>
      </c>
      <c r="P473" s="842" t="b">
        <f t="shared" si="209"/>
        <v>1</v>
      </c>
      <c r="Q473" s="827">
        <f>COUNTIF(P$2:P473, TRUE)/(COUNTIF(P$2:P473,FALSE) + COUNTIF(P$2:P473, TRUE))</f>
        <v>0.47669491525423729</v>
      </c>
      <c r="R473" s="825">
        <v>296076.46999999997</v>
      </c>
      <c r="S473" s="825">
        <f t="shared" si="222"/>
        <v>40174.140000000014</v>
      </c>
      <c r="T473" s="825">
        <v>-52601</v>
      </c>
      <c r="U473" s="825">
        <f t="shared" si="223"/>
        <v>38851.609999999986</v>
      </c>
      <c r="V473" s="827">
        <f>STDEV(D$2:D473)*SQRT(252)</f>
        <v>0.14424413570977887</v>
      </c>
      <c r="W473" s="827">
        <f>STDEV(L$2:L473)*SQRT(252)</f>
        <v>0.30973071524404033</v>
      </c>
      <c r="X473" s="826">
        <f t="shared" si="199"/>
        <v>0.57073805113232579</v>
      </c>
      <c r="Y473" s="826">
        <f t="shared" si="200"/>
        <v>-6.1767506883004947E-2</v>
      </c>
      <c r="Z473" s="832">
        <f t="shared" si="201"/>
        <v>-0.20833041270632485</v>
      </c>
    </row>
    <row r="474" spans="1:26" ht="20.100000000000001" customHeight="1" x14ac:dyDescent="0.2">
      <c r="A474" s="801">
        <f t="shared" si="216"/>
        <v>751</v>
      </c>
      <c r="B474" s="820">
        <v>42984</v>
      </c>
      <c r="C474" s="845">
        <v>2465.54</v>
      </c>
      <c r="D474" s="817">
        <f t="shared" si="213"/>
        <v>3.128750737433145E-3</v>
      </c>
      <c r="E474" s="844">
        <f t="shared" si="205"/>
        <v>0.17270409619299476</v>
      </c>
      <c r="F474" s="841">
        <v>6393.31</v>
      </c>
      <c r="G474" s="817">
        <f t="shared" si="214"/>
        <v>2.7824963101339474E-3</v>
      </c>
      <c r="H474" s="822">
        <f t="shared" si="220"/>
        <v>0.25563367833925815</v>
      </c>
      <c r="I474" s="824">
        <v>342369.21</v>
      </c>
      <c r="J474" s="825">
        <v>350000</v>
      </c>
      <c r="K474" s="825">
        <f t="shared" si="221"/>
        <v>6118.6000000000349</v>
      </c>
      <c r="L474" s="817">
        <f t="shared" si="215"/>
        <v>1.8196546914814624E-2</v>
      </c>
      <c r="M474" s="842">
        <f t="shared" si="208"/>
        <v>-7630.789999999979</v>
      </c>
      <c r="N474" s="827">
        <f t="shared" si="217"/>
        <v>-2.1802257142857082E-2</v>
      </c>
      <c r="O474" s="811">
        <f t="shared" si="218"/>
        <v>-1.0603561147042008E-2</v>
      </c>
      <c r="P474" s="842" t="b">
        <f t="shared" si="209"/>
        <v>1</v>
      </c>
      <c r="Q474" s="827">
        <f>COUNTIF(P$2:P474, TRUE)/(COUNTIF(P$2:P474,FALSE) + COUNTIF(P$2:P474, TRUE))</f>
        <v>0.47780126849894294</v>
      </c>
      <c r="R474" s="825">
        <v>255392.65</v>
      </c>
      <c r="S474" s="825">
        <f t="shared" si="222"/>
        <v>86976.560000000027</v>
      </c>
      <c r="T474" s="825">
        <v>-48637</v>
      </c>
      <c r="U474" s="825">
        <f t="shared" si="223"/>
        <v>41006.210000000021</v>
      </c>
      <c r="V474" s="827">
        <f>STDEV(D$2:D474)*SQRT(252)</f>
        <v>0.14410499979088631</v>
      </c>
      <c r="W474" s="827">
        <f>STDEV(L$2:L474)*SQRT(252)</f>
        <v>0.30967830740703384</v>
      </c>
      <c r="X474" s="826">
        <f t="shared" si="199"/>
        <v>0.58287291742606717</v>
      </c>
      <c r="Y474" s="826">
        <f t="shared" si="200"/>
        <v>-3.4240568013389899E-2</v>
      </c>
      <c r="Z474" s="832">
        <f t="shared" si="201"/>
        <v>-0.19450635333585184</v>
      </c>
    </row>
    <row r="475" spans="1:26" ht="20.100000000000001" customHeight="1" x14ac:dyDescent="0.2">
      <c r="A475" s="801">
        <f t="shared" si="216"/>
        <v>752</v>
      </c>
      <c r="B475" s="820">
        <v>42985</v>
      </c>
      <c r="C475" s="845">
        <v>2465.1</v>
      </c>
      <c r="D475" s="817">
        <f t="shared" si="213"/>
        <v>-1.7845989113948854E-4</v>
      </c>
      <c r="E475" s="844">
        <f t="shared" si="205"/>
        <v>0.17249481554764931</v>
      </c>
      <c r="F475" s="841">
        <v>6397.86</v>
      </c>
      <c r="G475" s="817">
        <f t="shared" si="214"/>
        <v>7.1168142949415436E-4</v>
      </c>
      <c r="H475" s="822">
        <f t="shared" si="220"/>
        <v>0.25652728951037962</v>
      </c>
      <c r="I475" s="824">
        <v>342957.79</v>
      </c>
      <c r="J475" s="825">
        <v>350000</v>
      </c>
      <c r="K475" s="825">
        <f t="shared" si="221"/>
        <v>588.57999999995809</v>
      </c>
      <c r="L475" s="817">
        <f t="shared" si="215"/>
        <v>1.7191382367589599E-3</v>
      </c>
      <c r="M475" s="842">
        <f t="shared" si="208"/>
        <v>-7042.210000000021</v>
      </c>
      <c r="N475" s="827">
        <f t="shared" si="217"/>
        <v>-2.0120600000000061E-2</v>
      </c>
      <c r="O475" s="811">
        <f t="shared" si="218"/>
        <v>-9.7726717420213056E-3</v>
      </c>
      <c r="P475" s="842" t="b">
        <f t="shared" si="209"/>
        <v>1</v>
      </c>
      <c r="Q475" s="827">
        <f>COUNTIF(P$2:P475, TRUE)/(COUNTIF(P$2:P475,FALSE) + COUNTIF(P$2:P475, TRUE))</f>
        <v>0.47890295358649787</v>
      </c>
      <c r="R475" s="825">
        <v>258228.56</v>
      </c>
      <c r="S475" s="825">
        <f t="shared" si="222"/>
        <v>84729.229999999981</v>
      </c>
      <c r="T475" s="825">
        <v>-47786</v>
      </c>
      <c r="U475" s="825">
        <f t="shared" si="223"/>
        <v>40743.789999999979</v>
      </c>
      <c r="V475" s="827">
        <f>STDEV(D$2:D475)*SQRT(252)</f>
        <v>0.14395283952494337</v>
      </c>
      <c r="W475" s="827">
        <f>STDEV(L$2:L475)*SQRT(252)</f>
        <v>0.30935175432104961</v>
      </c>
      <c r="X475" s="826">
        <f t="shared" ref="X475:X538" si="224">E475/(A475/365.25)/V475</f>
        <v>0.58200698201600387</v>
      </c>
      <c r="Y475" s="826">
        <f t="shared" ref="Y475:Y538" si="225">O475/W475</f>
        <v>-3.1590807569428198E-2</v>
      </c>
      <c r="Z475" s="832">
        <f t="shared" ref="Z475:Z538" si="226">-(E475-N475)</f>
        <v>-0.19261541554764938</v>
      </c>
    </row>
    <row r="476" spans="1:26" ht="20.100000000000001" customHeight="1" x14ac:dyDescent="0.2">
      <c r="A476" s="801">
        <f t="shared" si="216"/>
        <v>753</v>
      </c>
      <c r="B476" s="820">
        <v>42986</v>
      </c>
      <c r="C476" s="845">
        <v>2461.4299999999998</v>
      </c>
      <c r="D476" s="817">
        <f t="shared" si="213"/>
        <v>-1.4887834164942894E-3</v>
      </c>
      <c r="E476" s="844">
        <f t="shared" si="205"/>
        <v>0.17074922471033646</v>
      </c>
      <c r="F476" s="841">
        <v>6360.39</v>
      </c>
      <c r="G476" s="817">
        <f t="shared" si="214"/>
        <v>-5.8566458159446041E-3</v>
      </c>
      <c r="H476" s="822">
        <f t="shared" si="220"/>
        <v>0.24916825421764843</v>
      </c>
      <c r="I476" s="824">
        <v>335342.87</v>
      </c>
      <c r="J476" s="825">
        <v>350000</v>
      </c>
      <c r="K476" s="825">
        <f t="shared" si="221"/>
        <v>-7614.9199999999837</v>
      </c>
      <c r="L476" s="817">
        <f t="shared" si="215"/>
        <v>-2.2203665354853099E-2</v>
      </c>
      <c r="M476" s="842">
        <f t="shared" si="208"/>
        <v>-14657.130000000005</v>
      </c>
      <c r="N476" s="827">
        <f t="shared" si="217"/>
        <v>-4.1877514285714297E-2</v>
      </c>
      <c r="O476" s="811">
        <f t="shared" si="218"/>
        <v>-2.0313097068867393E-2</v>
      </c>
      <c r="P476" s="842" t="b">
        <f t="shared" si="209"/>
        <v>0</v>
      </c>
      <c r="Q476" s="827">
        <f>COUNTIF(P$2:P476, TRUE)/(COUNTIF(P$2:P476,FALSE) + COUNTIF(P$2:P476, TRUE))</f>
        <v>0.47789473684210526</v>
      </c>
      <c r="R476" s="825">
        <v>249990.63</v>
      </c>
      <c r="S476" s="825">
        <f t="shared" si="222"/>
        <v>85352.239999999991</v>
      </c>
      <c r="T476" s="825">
        <v>-54714</v>
      </c>
      <c r="U476" s="825">
        <f t="shared" si="223"/>
        <v>40056.869999999995</v>
      </c>
      <c r="V476" s="827">
        <f>STDEV(D$2:D476)*SQRT(252)</f>
        <v>0.1438070269592682</v>
      </c>
      <c r="W476" s="827">
        <f>STDEV(L$2:L476)*SQRT(252)</f>
        <v>0.30946102397648323</v>
      </c>
      <c r="X476" s="826">
        <f t="shared" si="224"/>
        <v>0.57593554273886038</v>
      </c>
      <c r="Y476" s="826">
        <f t="shared" si="225"/>
        <v>-6.5640243827316494E-2</v>
      </c>
      <c r="Z476" s="832">
        <f t="shared" si="226"/>
        <v>-0.21262673899605075</v>
      </c>
    </row>
    <row r="477" spans="1:26" ht="20.100000000000001" customHeight="1" x14ac:dyDescent="0.2">
      <c r="A477" s="801">
        <f t="shared" si="216"/>
        <v>756</v>
      </c>
      <c r="B477" s="820">
        <v>42989</v>
      </c>
      <c r="C477" s="845">
        <v>2488.11</v>
      </c>
      <c r="D477" s="817">
        <f t="shared" si="213"/>
        <v>1.0839227603466397E-2</v>
      </c>
      <c r="E477" s="844">
        <f t="shared" si="205"/>
        <v>0.18343924202355361</v>
      </c>
      <c r="F477" s="841">
        <v>6432.26</v>
      </c>
      <c r="G477" s="817">
        <f t="shared" si="214"/>
        <v>1.1299621564086461E-2</v>
      </c>
      <c r="H477" s="822">
        <f t="shared" si="220"/>
        <v>0.26328338276017843</v>
      </c>
      <c r="I477" s="824">
        <v>339751.59</v>
      </c>
      <c r="J477" s="825">
        <v>350000</v>
      </c>
      <c r="K477" s="825">
        <f t="shared" si="221"/>
        <v>4408.7200000000303</v>
      </c>
      <c r="L477" s="817">
        <f t="shared" si="215"/>
        <v>1.3146902452406489E-2</v>
      </c>
      <c r="M477" s="842">
        <f t="shared" si="208"/>
        <v>-10248.409999999974</v>
      </c>
      <c r="N477" s="827">
        <f t="shared" si="217"/>
        <v>-2.9281171428571354E-2</v>
      </c>
      <c r="O477" s="811">
        <f t="shared" si="218"/>
        <v>-1.4146756434240326E-2</v>
      </c>
      <c r="P477" s="842" t="b">
        <f t="shared" si="209"/>
        <v>1</v>
      </c>
      <c r="Q477" s="827">
        <f>COUNTIF(P$2:P477, TRUE)/(COUNTIF(P$2:P477,FALSE) + COUNTIF(P$2:P477, TRUE))</f>
        <v>0.47899159663865548</v>
      </c>
      <c r="R477" s="825">
        <v>243718.12</v>
      </c>
      <c r="S477" s="825">
        <f t="shared" si="222"/>
        <v>96033.47000000003</v>
      </c>
      <c r="T477" s="825">
        <v>-52678</v>
      </c>
      <c r="U477" s="825">
        <f t="shared" si="223"/>
        <v>42429.590000000026</v>
      </c>
      <c r="V477" s="827">
        <f>STDEV(D$2:D477)*SQRT(252)</f>
        <v>0.14385736210567479</v>
      </c>
      <c r="W477" s="827">
        <f>STDEV(L$2:L477)*SQRT(252)</f>
        <v>0.30927640165645359</v>
      </c>
      <c r="X477" s="826">
        <f t="shared" si="224"/>
        <v>0.6160679046184423</v>
      </c>
      <c r="Y477" s="826">
        <f t="shared" si="225"/>
        <v>-4.574146736857939E-2</v>
      </c>
      <c r="Z477" s="832">
        <f t="shared" si="226"/>
        <v>-0.21272041345212495</v>
      </c>
    </row>
    <row r="478" spans="1:26" ht="20.100000000000001" customHeight="1" x14ac:dyDescent="0.2">
      <c r="A478" s="801">
        <f t="shared" si="216"/>
        <v>757</v>
      </c>
      <c r="B478" s="820">
        <v>42990</v>
      </c>
      <c r="C478" s="845">
        <v>2496.48</v>
      </c>
      <c r="D478" s="817">
        <f t="shared" si="213"/>
        <v>3.3639991801005143E-3</v>
      </c>
      <c r="E478" s="844">
        <f t="shared" si="205"/>
        <v>0.18742033066341962</v>
      </c>
      <c r="F478" s="841">
        <v>6454.28</v>
      </c>
      <c r="G478" s="817">
        <f t="shared" si="214"/>
        <v>3.4233690802298921E-3</v>
      </c>
      <c r="H478" s="822">
        <f t="shared" si="220"/>
        <v>0.26760806803228782</v>
      </c>
      <c r="I478" s="824">
        <v>342729.25</v>
      </c>
      <c r="J478" s="825">
        <v>350000</v>
      </c>
      <c r="K478" s="825">
        <f t="shared" si="221"/>
        <v>2977.6599999999744</v>
      </c>
      <c r="L478" s="817">
        <f t="shared" si="215"/>
        <v>8.7642268281951947E-3</v>
      </c>
      <c r="M478" s="842">
        <f t="shared" si="208"/>
        <v>-7270.75</v>
      </c>
      <c r="N478" s="827">
        <f t="shared" si="217"/>
        <v>-2.0773571428571429E-2</v>
      </c>
      <c r="O478" s="811">
        <f t="shared" si="218"/>
        <v>-1.0023179609360257E-2</v>
      </c>
      <c r="P478" s="842" t="b">
        <f t="shared" si="209"/>
        <v>1</v>
      </c>
      <c r="Q478" s="827">
        <f>COUNTIF(P$2:P478, TRUE)/(COUNTIF(P$2:P478,FALSE) + COUNTIF(P$2:P478, TRUE))</f>
        <v>0.48008385744234799</v>
      </c>
      <c r="R478" s="825">
        <v>243287.86</v>
      </c>
      <c r="S478" s="825">
        <f t="shared" si="222"/>
        <v>99441.390000000014</v>
      </c>
      <c r="T478" s="825">
        <v>-50978</v>
      </c>
      <c r="U478" s="825">
        <f t="shared" si="223"/>
        <v>43707.25</v>
      </c>
      <c r="V478" s="827">
        <f>STDEV(D$2:D478)*SQRT(252)</f>
        <v>0.14372208387906182</v>
      </c>
      <c r="W478" s="827">
        <f>STDEV(L$2:L478)*SQRT(252)</f>
        <v>0.30901192178328862</v>
      </c>
      <c r="X478" s="826">
        <f t="shared" si="224"/>
        <v>0.62919829818008466</v>
      </c>
      <c r="Y478" s="826">
        <f t="shared" si="225"/>
        <v>-3.2436223015335816E-2</v>
      </c>
      <c r="Z478" s="832">
        <f t="shared" si="226"/>
        <v>-0.20819390209199104</v>
      </c>
    </row>
    <row r="479" spans="1:26" ht="20.100000000000001" customHeight="1" x14ac:dyDescent="0.2">
      <c r="A479" s="801">
        <f t="shared" si="216"/>
        <v>758</v>
      </c>
      <c r="B479" s="820">
        <v>42991</v>
      </c>
      <c r="C479" s="845">
        <v>2498.37</v>
      </c>
      <c r="D479" s="817">
        <f t="shared" si="213"/>
        <v>7.5706594885593817E-4</v>
      </c>
      <c r="E479" s="844">
        <f t="shared" si="205"/>
        <v>0.18831928616274415</v>
      </c>
      <c r="F479" s="841">
        <v>6460.18</v>
      </c>
      <c r="G479" s="817">
        <f t="shared" si="214"/>
        <v>9.1412210192314957E-4</v>
      </c>
      <c r="H479" s="822">
        <f t="shared" si="220"/>
        <v>0.26876681658385226</v>
      </c>
      <c r="I479" s="824">
        <v>346163.11</v>
      </c>
      <c r="J479" s="825">
        <v>350000</v>
      </c>
      <c r="K479" s="825">
        <f t="shared" si="221"/>
        <v>3433.859999999986</v>
      </c>
      <c r="L479" s="817">
        <f t="shared" si="215"/>
        <v>1.0019162356291404E-2</v>
      </c>
      <c r="M479" s="842">
        <f t="shared" si="208"/>
        <v>-3836.890000000014</v>
      </c>
      <c r="N479" s="827">
        <f t="shared" si="217"/>
        <v>-1.0962542857142897E-2</v>
      </c>
      <c r="O479" s="811">
        <f t="shared" si="218"/>
        <v>-5.2824126366377878E-3</v>
      </c>
      <c r="P479" s="842" t="b">
        <f t="shared" si="209"/>
        <v>1</v>
      </c>
      <c r="Q479" s="827">
        <f>COUNTIF(P$2:P479, TRUE)/(COUNTIF(P$2:P479,FALSE) + COUNTIF(P$2:P479, TRUE))</f>
        <v>0.48117154811715479</v>
      </c>
      <c r="R479" s="825">
        <v>236800.45</v>
      </c>
      <c r="S479" s="825">
        <f t="shared" si="222"/>
        <v>109362.65999999997</v>
      </c>
      <c r="T479" s="825">
        <v>-48114</v>
      </c>
      <c r="U479" s="825">
        <f t="shared" si="223"/>
        <v>44277.109999999986</v>
      </c>
      <c r="V479" s="827">
        <f>STDEV(D$2:D479)*SQRT(252)</f>
        <v>0.14357126818301891</v>
      </c>
      <c r="W479" s="827">
        <f>STDEV(L$2:L479)*SQRT(252)</f>
        <v>0.30876753627425929</v>
      </c>
      <c r="X479" s="826">
        <f t="shared" si="224"/>
        <v>0.63204540986420232</v>
      </c>
      <c r="Y479" s="826">
        <f t="shared" si="225"/>
        <v>-1.7108057085203882E-2</v>
      </c>
      <c r="Z479" s="832">
        <f t="shared" si="226"/>
        <v>-0.19928182901988706</v>
      </c>
    </row>
    <row r="480" spans="1:26" ht="20.100000000000001" customHeight="1" x14ac:dyDescent="0.2">
      <c r="A480" s="801">
        <f t="shared" si="216"/>
        <v>759</v>
      </c>
      <c r="B480" s="820">
        <v>42992</v>
      </c>
      <c r="C480" s="845">
        <v>2495.62</v>
      </c>
      <c r="D480" s="817">
        <f t="shared" si="213"/>
        <v>-1.1007176679194836E-3</v>
      </c>
      <c r="E480" s="844">
        <f t="shared" si="205"/>
        <v>0.18701128212933535</v>
      </c>
      <c r="F480" s="841">
        <v>6429.08</v>
      </c>
      <c r="G480" s="817">
        <f t="shared" si="214"/>
        <v>-4.8141073468541684E-3</v>
      </c>
      <c r="H480" s="822">
        <f t="shared" si="220"/>
        <v>0.26265883693069114</v>
      </c>
      <c r="I480" s="824">
        <v>344939.43</v>
      </c>
      <c r="J480" s="825">
        <v>350000</v>
      </c>
      <c r="K480" s="825">
        <f t="shared" si="221"/>
        <v>-1223.679999999993</v>
      </c>
      <c r="L480" s="817">
        <f t="shared" si="215"/>
        <v>-3.5349809516097572E-3</v>
      </c>
      <c r="M480" s="842">
        <f t="shared" si="208"/>
        <v>-5060.570000000007</v>
      </c>
      <c r="N480" s="827">
        <f t="shared" si="217"/>
        <v>-1.4458771428571448E-2</v>
      </c>
      <c r="O480" s="811">
        <f t="shared" si="218"/>
        <v>-6.9579265669113587E-3</v>
      </c>
      <c r="P480" s="842" t="b">
        <f t="shared" si="209"/>
        <v>0</v>
      </c>
      <c r="Q480" s="827">
        <f>COUNTIF(P$2:P480, TRUE)/(COUNTIF(P$2:P480,FALSE) + COUNTIF(P$2:P480, TRUE))</f>
        <v>0.4801670146137787</v>
      </c>
      <c r="R480" s="825">
        <v>235576.77</v>
      </c>
      <c r="S480" s="825">
        <f t="shared" si="222"/>
        <v>109362.66</v>
      </c>
      <c r="T480" s="825">
        <v>-48830</v>
      </c>
      <c r="U480" s="825">
        <f t="shared" si="223"/>
        <v>43769.429999999993</v>
      </c>
      <c r="V480" s="827">
        <f>STDEV(D$2:D480)*SQRT(252)</f>
        <v>0.14342484838502698</v>
      </c>
      <c r="W480" s="827">
        <f>STDEV(L$2:L480)*SQRT(252)</f>
        <v>0.30845659017030708</v>
      </c>
      <c r="X480" s="826">
        <f t="shared" si="224"/>
        <v>0.62746839682357036</v>
      </c>
      <c r="Y480" s="826">
        <f t="shared" si="225"/>
        <v>-2.2557231029071877E-2</v>
      </c>
      <c r="Z480" s="832">
        <f t="shared" si="226"/>
        <v>-0.20147005355790679</v>
      </c>
    </row>
    <row r="481" spans="1:26" ht="20.100000000000001" customHeight="1" x14ac:dyDescent="0.2">
      <c r="A481" s="801">
        <f t="shared" si="216"/>
        <v>760</v>
      </c>
      <c r="B481" s="820">
        <v>42993</v>
      </c>
      <c r="C481" s="845">
        <v>2500.23</v>
      </c>
      <c r="D481" s="817">
        <f t="shared" si="213"/>
        <v>1.8472363580994413E-3</v>
      </c>
      <c r="E481" s="844">
        <f t="shared" si="205"/>
        <v>0.1892039725271589</v>
      </c>
      <c r="F481" s="841">
        <v>6448.66</v>
      </c>
      <c r="G481" s="817">
        <f t="shared" si="214"/>
        <v>3.0455368419742682E-3</v>
      </c>
      <c r="H481" s="822">
        <f t="shared" si="220"/>
        <v>0.26650431093740795</v>
      </c>
      <c r="I481" s="824">
        <v>346855.18</v>
      </c>
      <c r="J481" s="825">
        <v>350000</v>
      </c>
      <c r="K481" s="825">
        <f t="shared" si="221"/>
        <v>1915.75</v>
      </c>
      <c r="L481" s="817">
        <f t="shared" si="215"/>
        <v>5.5538736177537023E-3</v>
      </c>
      <c r="M481" s="842">
        <f t="shared" si="208"/>
        <v>-3144.820000000007</v>
      </c>
      <c r="N481" s="827">
        <f t="shared" si="217"/>
        <v>-8.9852000000000196E-3</v>
      </c>
      <c r="O481" s="811">
        <f t="shared" si="218"/>
        <v>-4.3182161842105363E-3</v>
      </c>
      <c r="P481" s="842" t="b">
        <f t="shared" si="209"/>
        <v>1</v>
      </c>
      <c r="Q481" s="827">
        <f>COUNTIF(P$2:P481, TRUE)/(COUNTIF(P$2:P481,FALSE) + COUNTIF(P$2:P481, TRUE))</f>
        <v>0.48125000000000001</v>
      </c>
      <c r="R481" s="825">
        <v>244138.62</v>
      </c>
      <c r="S481" s="825">
        <f t="shared" si="222"/>
        <v>102716.56</v>
      </c>
      <c r="T481" s="825">
        <v>-47636</v>
      </c>
      <c r="U481" s="825">
        <f t="shared" si="223"/>
        <v>44491.179999999993</v>
      </c>
      <c r="V481" s="827">
        <f>STDEV(D$2:D481)*SQRT(252)</f>
        <v>0.14327859255827297</v>
      </c>
      <c r="W481" s="827">
        <f>STDEV(L$2:L481)*SQRT(252)</f>
        <v>0.30815698264983843</v>
      </c>
      <c r="X481" s="826">
        <f t="shared" si="224"/>
        <v>0.63463727453909613</v>
      </c>
      <c r="Y481" s="826">
        <f t="shared" si="225"/>
        <v>-1.4013040194897561E-2</v>
      </c>
      <c r="Z481" s="832">
        <f t="shared" si="226"/>
        <v>-0.19818917252715892</v>
      </c>
    </row>
    <row r="482" spans="1:26" ht="20.100000000000001" customHeight="1" x14ac:dyDescent="0.2">
      <c r="A482" s="801">
        <f t="shared" si="216"/>
        <v>763</v>
      </c>
      <c r="B482" s="820">
        <v>42996</v>
      </c>
      <c r="C482" s="845">
        <v>2503.87</v>
      </c>
      <c r="D482" s="817">
        <f t="shared" si="213"/>
        <v>1.4558660603223993E-3</v>
      </c>
      <c r="E482" s="844">
        <f t="shared" si="205"/>
        <v>0.19093529422956176</v>
      </c>
      <c r="F482" s="841">
        <v>6454.63</v>
      </c>
      <c r="G482" s="817">
        <f t="shared" si="214"/>
        <v>9.2577372663472024E-4</v>
      </c>
      <c r="H482" s="822">
        <f t="shared" si="220"/>
        <v>0.26767680735314342</v>
      </c>
      <c r="I482" s="824">
        <v>347277.37</v>
      </c>
      <c r="J482" s="825">
        <v>350000</v>
      </c>
      <c r="K482" s="825">
        <f t="shared" si="221"/>
        <v>422.19000000000233</v>
      </c>
      <c r="L482" s="817">
        <f t="shared" si="215"/>
        <v>1.217193873247049E-3</v>
      </c>
      <c r="M482" s="842">
        <f t="shared" si="208"/>
        <v>-2722.6300000000047</v>
      </c>
      <c r="N482" s="827">
        <f t="shared" si="217"/>
        <v>-7.7789428571428702E-3</v>
      </c>
      <c r="O482" s="811">
        <f t="shared" si="218"/>
        <v>-3.7237993166073834E-3</v>
      </c>
      <c r="P482" s="842" t="b">
        <f t="shared" si="209"/>
        <v>0</v>
      </c>
      <c r="Q482" s="827">
        <f>COUNTIF(P$2:P482, TRUE)/(COUNTIF(P$2:P482,FALSE) + COUNTIF(P$2:P482, TRUE))</f>
        <v>0.48024948024948028</v>
      </c>
      <c r="R482" s="825">
        <v>245606.42</v>
      </c>
      <c r="S482" s="825">
        <f t="shared" si="222"/>
        <v>101670.94999999998</v>
      </c>
      <c r="T482" s="825">
        <v>-47720</v>
      </c>
      <c r="U482" s="825">
        <f t="shared" si="223"/>
        <v>44997.369999999995</v>
      </c>
      <c r="V482" s="827">
        <f>STDEV(D$2:D482)*SQRT(252)</f>
        <v>0.143130989675923</v>
      </c>
      <c r="W482" s="827">
        <f>STDEV(L$2:L482)*SQRT(252)</f>
        <v>0.30783578900658637</v>
      </c>
      <c r="X482" s="826">
        <f t="shared" si="224"/>
        <v>0.63858428573753245</v>
      </c>
      <c r="Y482" s="826">
        <f t="shared" si="225"/>
        <v>-1.2096706911903963E-2</v>
      </c>
      <c r="Z482" s="832">
        <f t="shared" si="226"/>
        <v>-0.19871423708670463</v>
      </c>
    </row>
    <row r="483" spans="1:26" ht="20.100000000000001" customHeight="1" x14ac:dyDescent="0.2">
      <c r="A483" s="801">
        <f t="shared" si="216"/>
        <v>764</v>
      </c>
      <c r="B483" s="820">
        <v>42997</v>
      </c>
      <c r="C483" s="845">
        <v>2506.65</v>
      </c>
      <c r="D483" s="817">
        <f t="shared" si="213"/>
        <v>1.1102812845715632E-3</v>
      </c>
      <c r="E483" s="844">
        <f t="shared" si="205"/>
        <v>0.19225756739788058</v>
      </c>
      <c r="F483" s="841">
        <v>6461.32</v>
      </c>
      <c r="G483" s="817">
        <f t="shared" si="214"/>
        <v>1.036465297003794E-3</v>
      </c>
      <c r="H483" s="822">
        <f t="shared" si="220"/>
        <v>0.26899071037178152</v>
      </c>
      <c r="I483" s="824">
        <v>345709.56</v>
      </c>
      <c r="J483" s="825">
        <v>350000</v>
      </c>
      <c r="K483" s="825">
        <f t="shared" si="221"/>
        <v>-1567.8099999999977</v>
      </c>
      <c r="L483" s="817">
        <f t="shared" si="215"/>
        <v>-4.5145757697946098E-3</v>
      </c>
      <c r="M483" s="842">
        <f t="shared" si="208"/>
        <v>-4290.4400000000023</v>
      </c>
      <c r="N483" s="827">
        <f t="shared" si="217"/>
        <v>-1.2258400000000006E-2</v>
      </c>
      <c r="O483" s="811">
        <f t="shared" si="218"/>
        <v>-5.8604458115183271E-3</v>
      </c>
      <c r="P483" s="842" t="b">
        <f t="shared" si="209"/>
        <v>0</v>
      </c>
      <c r="Q483" s="827">
        <f>COUNTIF(P$2:P483, TRUE)/(COUNTIF(P$2:P483,FALSE) + COUNTIF(P$2:P483, TRUE))</f>
        <v>0.47925311203319504</v>
      </c>
      <c r="R483" s="825">
        <v>246242.24</v>
      </c>
      <c r="S483" s="825">
        <f t="shared" si="222"/>
        <v>99467.32</v>
      </c>
      <c r="T483" s="825">
        <v>-48500</v>
      </c>
      <c r="U483" s="825">
        <f t="shared" si="223"/>
        <v>44209.56</v>
      </c>
      <c r="V483" s="827">
        <f>STDEV(D$2:D483)*SQRT(252)</f>
        <v>0.14298272953663635</v>
      </c>
      <c r="W483" s="827">
        <f>STDEV(L$2:L483)*SQRT(252)</f>
        <v>0.3075351311503991</v>
      </c>
      <c r="X483" s="826">
        <f t="shared" si="224"/>
        <v>0.64283087183905108</v>
      </c>
      <c r="Y483" s="826">
        <f t="shared" si="225"/>
        <v>-1.9056183238630692E-2</v>
      </c>
      <c r="Z483" s="832">
        <f t="shared" si="226"/>
        <v>-0.20451596739788058</v>
      </c>
    </row>
    <row r="484" spans="1:26" ht="20.100000000000001" customHeight="1" x14ac:dyDescent="0.2">
      <c r="A484" s="801">
        <f t="shared" si="216"/>
        <v>765</v>
      </c>
      <c r="B484" s="820">
        <v>42998</v>
      </c>
      <c r="C484" s="845">
        <v>2508.2399999999998</v>
      </c>
      <c r="D484" s="817">
        <f t="shared" ref="D484:D490" si="227">(C484-C483)/C483</f>
        <v>6.3431272814301587E-4</v>
      </c>
      <c r="E484" s="844">
        <f t="shared" si="205"/>
        <v>0.19301383154810586</v>
      </c>
      <c r="F484" s="841">
        <v>6456.04</v>
      </c>
      <c r="G484" s="817">
        <f t="shared" ref="G484:G490" si="228">(F484-F483)/F483</f>
        <v>-8.1717048528779659E-4</v>
      </c>
      <c r="H484" s="822">
        <f t="shared" ref="H484:H489" si="229">(F484-F$2)/F$2</f>
        <v>0.26795372861716132</v>
      </c>
      <c r="I484" s="824">
        <v>347542.31</v>
      </c>
      <c r="J484" s="825">
        <v>350000</v>
      </c>
      <c r="K484" s="825">
        <f t="shared" ref="K484:K489" si="230">I484-I483-J484+J483</f>
        <v>1832.75</v>
      </c>
      <c r="L484" s="817">
        <f t="shared" ref="L484:L489" si="231">K484/I483</f>
        <v>5.3014154424887759E-3</v>
      </c>
      <c r="M484" s="842">
        <f t="shared" si="208"/>
        <v>-2457.6900000000023</v>
      </c>
      <c r="N484" s="827">
        <f t="shared" si="217"/>
        <v>-7.0219714285714354E-3</v>
      </c>
      <c r="O484" s="811">
        <f t="shared" si="218"/>
        <v>-3.3526471428571456E-3</v>
      </c>
      <c r="P484" s="842" t="b">
        <f t="shared" si="209"/>
        <v>1</v>
      </c>
      <c r="Q484" s="827">
        <f>COUNTIF(P$2:P484, TRUE)/(COUNTIF(P$2:P484,FALSE) + COUNTIF(P$2:P484, TRUE))</f>
        <v>0.48033126293995859</v>
      </c>
      <c r="R484" s="825">
        <v>261969.09</v>
      </c>
      <c r="S484" s="825">
        <f t="shared" si="222"/>
        <v>85573.22</v>
      </c>
      <c r="T484" s="825">
        <v>-45800</v>
      </c>
      <c r="U484" s="825">
        <f t="shared" si="223"/>
        <v>43342.31</v>
      </c>
      <c r="V484" s="827">
        <f>STDEV(D$2:D484)*SQRT(252)</f>
        <v>0.14283411686318409</v>
      </c>
      <c r="W484" s="827">
        <f>STDEV(L$2:L484)*SQRT(252)</f>
        <v>0.30723621311065613</v>
      </c>
      <c r="X484" s="826">
        <f t="shared" si="224"/>
        <v>0.64518649413544193</v>
      </c>
      <c r="Y484" s="826">
        <f t="shared" si="225"/>
        <v>-1.0912278565449038E-2</v>
      </c>
      <c r="Z484" s="832">
        <f t="shared" si="226"/>
        <v>-0.20003580297667731</v>
      </c>
    </row>
    <row r="485" spans="1:26" ht="20.100000000000001" customHeight="1" x14ac:dyDescent="0.2">
      <c r="A485" s="801">
        <f t="shared" si="216"/>
        <v>766</v>
      </c>
      <c r="B485" s="820">
        <v>42999</v>
      </c>
      <c r="C485" s="845">
        <v>2500.6</v>
      </c>
      <c r="D485" s="817">
        <f t="shared" si="227"/>
        <v>-3.0459605141453265E-3</v>
      </c>
      <c r="E485" s="844">
        <f t="shared" si="205"/>
        <v>0.18937995852438111</v>
      </c>
      <c r="F485" s="841">
        <v>6422.69</v>
      </c>
      <c r="G485" s="817">
        <f t="shared" si="228"/>
        <v>-5.1657052930279808E-3</v>
      </c>
      <c r="H485" s="822">
        <f t="shared" si="229"/>
        <v>0.26140385332992905</v>
      </c>
      <c r="I485" s="824">
        <v>348466.58</v>
      </c>
      <c r="J485" s="825">
        <v>350000</v>
      </c>
      <c r="K485" s="825">
        <f t="shared" si="230"/>
        <v>924.27000000001863</v>
      </c>
      <c r="L485" s="817">
        <f t="shared" si="231"/>
        <v>2.6594459822748447E-3</v>
      </c>
      <c r="M485" s="842">
        <f t="shared" si="208"/>
        <v>-1533.4199999999837</v>
      </c>
      <c r="N485" s="827">
        <f t="shared" si="217"/>
        <v>-4.3811999999999532E-3</v>
      </c>
      <c r="O485" s="811">
        <f t="shared" si="218"/>
        <v>-2.0890774151435805E-3</v>
      </c>
      <c r="P485" s="842" t="b">
        <f t="shared" si="209"/>
        <v>1</v>
      </c>
      <c r="Q485" s="827">
        <f>COUNTIF(P$2:P485, TRUE)/(COUNTIF(P$2:P485,FALSE) + COUNTIF(P$2:P485, TRUE))</f>
        <v>0.48140495867768596</v>
      </c>
      <c r="R485" s="825">
        <v>266943.35999999999</v>
      </c>
      <c r="S485" s="825">
        <f t="shared" si="222"/>
        <v>81523.22000000003</v>
      </c>
      <c r="T485" s="825">
        <v>-44486</v>
      </c>
      <c r="U485" s="825">
        <f t="shared" si="223"/>
        <v>42952.580000000016</v>
      </c>
      <c r="V485" s="827">
        <f>STDEV(D$2:D485)*SQRT(252)</f>
        <v>0.14270766261353252</v>
      </c>
      <c r="W485" s="827">
        <f>STDEV(L$2:L485)*SQRT(252)</f>
        <v>0.30692186377022179</v>
      </c>
      <c r="X485" s="826">
        <f t="shared" si="224"/>
        <v>0.63277334864767631</v>
      </c>
      <c r="Y485" s="826">
        <f t="shared" si="225"/>
        <v>-6.8065447976934489E-3</v>
      </c>
      <c r="Z485" s="832">
        <f t="shared" si="226"/>
        <v>-0.19376115852438106</v>
      </c>
    </row>
    <row r="486" spans="1:26" ht="20.100000000000001" customHeight="1" x14ac:dyDescent="0.2">
      <c r="A486" s="801">
        <f t="shared" si="216"/>
        <v>767</v>
      </c>
      <c r="B486" s="820">
        <v>43000</v>
      </c>
      <c r="C486" s="845">
        <v>2502.2199999999998</v>
      </c>
      <c r="D486" s="817">
        <f t="shared" si="227"/>
        <v>6.4784451731580062E-4</v>
      </c>
      <c r="E486" s="844">
        <f t="shared" si="205"/>
        <v>0.19015049180951643</v>
      </c>
      <c r="F486" s="841">
        <v>6426.92</v>
      </c>
      <c r="G486" s="817">
        <f t="shared" si="228"/>
        <v>6.586025481535732E-4</v>
      </c>
      <c r="H486" s="822">
        <f t="shared" si="229"/>
        <v>0.26223461712198287</v>
      </c>
      <c r="I486" s="824">
        <v>349263.92</v>
      </c>
      <c r="J486" s="825">
        <v>350000</v>
      </c>
      <c r="K486" s="825">
        <f t="shared" si="230"/>
        <v>797.3399999999674</v>
      </c>
      <c r="L486" s="817">
        <f t="shared" si="231"/>
        <v>2.2881390806543554E-3</v>
      </c>
      <c r="M486" s="842">
        <f t="shared" si="208"/>
        <v>-736.0800000000163</v>
      </c>
      <c r="N486" s="827">
        <f t="shared" si="217"/>
        <v>-2.1030857142857609E-3</v>
      </c>
      <c r="O486" s="811">
        <f t="shared" si="218"/>
        <v>-1.0015020301732387E-3</v>
      </c>
      <c r="P486" s="842" t="b">
        <f t="shared" si="209"/>
        <v>1</v>
      </c>
      <c r="Q486" s="827">
        <f>COUNTIF(P$2:P486, TRUE)/(COUNTIF(P$2:P486,FALSE) + COUNTIF(P$2:P486, TRUE))</f>
        <v>0.48247422680412372</v>
      </c>
      <c r="R486" s="825">
        <v>254711</v>
      </c>
      <c r="S486" s="825">
        <f t="shared" si="222"/>
        <v>94552.919999999984</v>
      </c>
      <c r="T486" s="825">
        <v>-44478</v>
      </c>
      <c r="U486" s="825">
        <f t="shared" si="223"/>
        <v>43741.919999999984</v>
      </c>
      <c r="V486" s="827">
        <f>STDEV(D$2:D486)*SQRT(252)</f>
        <v>0.14255996830243736</v>
      </c>
      <c r="W486" s="827">
        <f>STDEV(L$2:L486)*SQRT(252)</f>
        <v>0.30660714220309959</v>
      </c>
      <c r="X486" s="826">
        <f t="shared" si="224"/>
        <v>0.63517694122035828</v>
      </c>
      <c r="Y486" s="826">
        <f t="shared" si="225"/>
        <v>-3.2664015031647043E-3</v>
      </c>
      <c r="Z486" s="832">
        <f t="shared" si="226"/>
        <v>-0.1922535775238022</v>
      </c>
    </row>
    <row r="487" spans="1:26" ht="20.100000000000001" customHeight="1" x14ac:dyDescent="0.2">
      <c r="A487" s="801">
        <f t="shared" si="216"/>
        <v>768</v>
      </c>
      <c r="B487" s="820">
        <v>43001</v>
      </c>
      <c r="C487" s="845">
        <v>2496.66</v>
      </c>
      <c r="D487" s="817">
        <f t="shared" si="227"/>
        <v>-2.222026840165911E-3</v>
      </c>
      <c r="E487" s="844">
        <f t="shared" si="205"/>
        <v>0.18750594547287902</v>
      </c>
      <c r="F487" s="841">
        <v>6370.59</v>
      </c>
      <c r="G487" s="817">
        <f t="shared" si="228"/>
        <v>-8.764695997460669E-3</v>
      </c>
      <c r="H487" s="822">
        <f t="shared" si="229"/>
        <v>0.25117151442543756</v>
      </c>
      <c r="I487" s="824">
        <v>353035.89</v>
      </c>
      <c r="J487" s="825">
        <v>350000</v>
      </c>
      <c r="K487" s="825">
        <f t="shared" si="230"/>
        <v>3771.9700000000303</v>
      </c>
      <c r="L487" s="817">
        <f t="shared" si="231"/>
        <v>1.0799769984829897E-2</v>
      </c>
      <c r="M487" s="842">
        <f t="shared" si="208"/>
        <v>3035.890000000014</v>
      </c>
      <c r="N487" s="827">
        <f t="shared" si="217"/>
        <v>8.6739714285714691E-3</v>
      </c>
      <c r="O487" s="811">
        <f t="shared" si="218"/>
        <v>4.1252188337053764E-3</v>
      </c>
      <c r="P487" s="842" t="b">
        <f t="shared" si="209"/>
        <v>1</v>
      </c>
      <c r="Q487" s="827">
        <f>COUNTIF(P$2:P487, TRUE)/(COUNTIF(P$2:P487,FALSE) + COUNTIF(P$2:P487, TRUE))</f>
        <v>0.48353909465020578</v>
      </c>
      <c r="R487" s="825">
        <v>258482.97</v>
      </c>
      <c r="S487" s="825">
        <f t="shared" si="222"/>
        <v>94552.920000000013</v>
      </c>
      <c r="T487" s="825">
        <v>-44802</v>
      </c>
      <c r="U487" s="825">
        <f t="shared" si="223"/>
        <v>47837.890000000014</v>
      </c>
      <c r="V487" s="827">
        <f>STDEV(D$2:D487)*SQRT(252)</f>
        <v>0.14242515955078755</v>
      </c>
      <c r="W487" s="827">
        <f>STDEV(L$2:L487)*SQRT(252)</f>
        <v>0.30638265374051055</v>
      </c>
      <c r="X487" s="826">
        <f t="shared" si="224"/>
        <v>0.62611964870394943</v>
      </c>
      <c r="Y487" s="826">
        <f t="shared" si="225"/>
        <v>1.3464270197226024E-2</v>
      </c>
      <c r="Z487" s="832">
        <f t="shared" si="226"/>
        <v>-0.17883197404430756</v>
      </c>
    </row>
    <row r="488" spans="1:26" ht="20.100000000000001" customHeight="1" x14ac:dyDescent="0.2">
      <c r="A488" s="801">
        <f t="shared" si="216"/>
        <v>771</v>
      </c>
      <c r="B488" s="820">
        <v>43004</v>
      </c>
      <c r="C488" s="845">
        <v>2496.84</v>
      </c>
      <c r="D488" s="817">
        <f t="shared" si="227"/>
        <v>7.2096320684550985E-5</v>
      </c>
      <c r="E488" s="844">
        <f t="shared" si="205"/>
        <v>0.18759156028233864</v>
      </c>
      <c r="F488" s="841">
        <v>6380.16</v>
      </c>
      <c r="G488" s="817">
        <f t="shared" si="228"/>
        <v>1.5022156503557299E-3</v>
      </c>
      <c r="H488" s="822">
        <f t="shared" si="229"/>
        <v>0.25305104385568672</v>
      </c>
      <c r="I488" s="824">
        <v>354979.17</v>
      </c>
      <c r="J488" s="825">
        <v>350000</v>
      </c>
      <c r="K488" s="825">
        <f t="shared" si="230"/>
        <v>1943.2799999999697</v>
      </c>
      <c r="L488" s="817">
        <f t="shared" si="231"/>
        <v>5.5044828445061766E-3</v>
      </c>
      <c r="M488" s="842">
        <f t="shared" si="208"/>
        <v>4979.1699999999837</v>
      </c>
      <c r="N488" s="827">
        <f t="shared" si="217"/>
        <v>1.4226199999999953E-2</v>
      </c>
      <c r="O488" s="811">
        <f t="shared" si="218"/>
        <v>6.7394546692606779E-3</v>
      </c>
      <c r="P488" s="842" t="b">
        <f t="shared" si="209"/>
        <v>1</v>
      </c>
      <c r="Q488" s="827">
        <f>COUNTIF(P$2:P488, TRUE)/(COUNTIF(P$2:P488,FALSE) + COUNTIF(P$2:P488, TRUE))</f>
        <v>0.48459958932238195</v>
      </c>
      <c r="R488" s="825">
        <v>256460.34</v>
      </c>
      <c r="S488" s="825">
        <f t="shared" si="222"/>
        <v>98518.829999999987</v>
      </c>
      <c r="T488" s="825">
        <v>-44286</v>
      </c>
      <c r="U488" s="825">
        <f t="shared" si="223"/>
        <v>49265.169999999984</v>
      </c>
      <c r="V488" s="827">
        <f>STDEV(D$2:D488)*SQRT(252)</f>
        <v>0.1422784431195839</v>
      </c>
      <c r="W488" s="827">
        <f>STDEV(L$2:L488)*SQRT(252)</f>
        <v>0.30608885692923749</v>
      </c>
      <c r="X488" s="826">
        <f t="shared" si="224"/>
        <v>0.62461158910859371</v>
      </c>
      <c r="Y488" s="826">
        <f t="shared" si="225"/>
        <v>2.2017968039975806E-2</v>
      </c>
      <c r="Z488" s="832">
        <f t="shared" si="226"/>
        <v>-0.17336536028233868</v>
      </c>
    </row>
    <row r="489" spans="1:26" ht="20.100000000000001" customHeight="1" x14ac:dyDescent="0.2">
      <c r="A489" s="801">
        <f t="shared" si="216"/>
        <v>772</v>
      </c>
      <c r="B489" s="820">
        <v>43005</v>
      </c>
      <c r="C489" s="845">
        <v>2507.2399999999998</v>
      </c>
      <c r="D489" s="817">
        <f t="shared" si="227"/>
        <v>4.1652648948269158E-3</v>
      </c>
      <c r="E489" s="844">
        <f t="shared" si="205"/>
        <v>0.19253819371777539</v>
      </c>
      <c r="F489" s="841">
        <v>6453.26</v>
      </c>
      <c r="G489" s="817">
        <f t="shared" si="228"/>
        <v>1.1457392918045999E-2</v>
      </c>
      <c r="H489" s="822">
        <f t="shared" si="229"/>
        <v>0.26740774201150902</v>
      </c>
      <c r="I489" s="824">
        <v>358361.96</v>
      </c>
      <c r="J489" s="825">
        <v>350000</v>
      </c>
      <c r="K489" s="825">
        <f t="shared" si="230"/>
        <v>3382.7900000000373</v>
      </c>
      <c r="L489" s="817">
        <f t="shared" si="231"/>
        <v>9.5295450716165603E-3</v>
      </c>
      <c r="M489" s="842">
        <f t="shared" si="208"/>
        <v>8361.960000000021</v>
      </c>
      <c r="N489" s="827">
        <f t="shared" si="217"/>
        <v>2.3891314285714345E-2</v>
      </c>
      <c r="O489" s="811">
        <f t="shared" si="218"/>
        <v>1.1303500703182855E-2</v>
      </c>
      <c r="P489" s="842" t="b">
        <f t="shared" si="209"/>
        <v>1</v>
      </c>
      <c r="Q489" s="827">
        <f>COUNTIF(P$2:P489, TRUE)/(COUNTIF(P$2:P489,FALSE) + COUNTIF(P$2:P489, TRUE))</f>
        <v>0.48565573770491804</v>
      </c>
      <c r="R489" s="825">
        <v>243509.71</v>
      </c>
      <c r="S489" s="825">
        <f t="shared" si="222"/>
        <v>114852.25000000003</v>
      </c>
      <c r="T489" s="825">
        <v>-44153</v>
      </c>
      <c r="U489" s="825">
        <f t="shared" si="223"/>
        <v>52514.960000000021</v>
      </c>
      <c r="V489" s="827">
        <f>STDEV(D$2:D489)*SQRT(252)</f>
        <v>0.14215788029055842</v>
      </c>
      <c r="W489" s="827">
        <f>STDEV(L$2:L489)*SQRT(252)</f>
        <v>0.30584441738354512</v>
      </c>
      <c r="X489" s="826">
        <f t="shared" si="224"/>
        <v>0.64079465177745243</v>
      </c>
      <c r="Y489" s="826">
        <f t="shared" si="225"/>
        <v>3.6958335875091897E-2</v>
      </c>
      <c r="Z489" s="832">
        <f t="shared" si="226"/>
        <v>-0.16864687943206105</v>
      </c>
    </row>
    <row r="490" spans="1:26" ht="20.100000000000001" customHeight="1" x14ac:dyDescent="0.2">
      <c r="A490" s="801">
        <f t="shared" si="216"/>
        <v>773</v>
      </c>
      <c r="B490" s="820">
        <v>43006</v>
      </c>
      <c r="C490" s="845">
        <v>2510.06</v>
      </c>
      <c r="D490" s="817">
        <f t="shared" si="227"/>
        <v>1.1247427450105151E-3</v>
      </c>
      <c r="E490" s="844">
        <f t="shared" ref="E490:E553" si="232">(C490-$C$2)/$C$2</f>
        <v>0.19387949239930741</v>
      </c>
      <c r="F490" s="841">
        <v>6453.45</v>
      </c>
      <c r="G490" s="817">
        <f t="shared" si="228"/>
        <v>2.9442483333942816E-5</v>
      </c>
      <c r="H490" s="822">
        <f t="shared" ref="H490:H525" si="233">(F490-F$2)/F$2</f>
        <v>0.2674450576428305</v>
      </c>
      <c r="I490" s="824">
        <v>356533.28</v>
      </c>
      <c r="J490" s="825">
        <v>350000</v>
      </c>
      <c r="K490" s="825">
        <f t="shared" ref="K490:K525" si="234">I490-I489-J490+J489</f>
        <v>-1828.679999999993</v>
      </c>
      <c r="L490" s="817">
        <f t="shared" ref="L490:L524" si="235">K490/I489</f>
        <v>-5.1028853620512429E-3</v>
      </c>
      <c r="M490" s="842">
        <f t="shared" ref="M490:M553" si="236">I490-J490</f>
        <v>6533.2800000000279</v>
      </c>
      <c r="N490" s="827">
        <f t="shared" si="217"/>
        <v>1.8666514285714364E-2</v>
      </c>
      <c r="O490" s="811">
        <f t="shared" si="218"/>
        <v>8.8201091110700798E-3</v>
      </c>
      <c r="P490" s="842" t="b">
        <f t="shared" ref="P490:P553" si="237">L490&gt;D490</f>
        <v>0</v>
      </c>
      <c r="Q490" s="827">
        <f>COUNTIF(P$2:P490, TRUE)/(COUNTIF(P$2:P490,FALSE) + COUNTIF(P$2:P490, TRUE))</f>
        <v>0.48466257668711654</v>
      </c>
      <c r="R490" s="825">
        <v>245698.28</v>
      </c>
      <c r="S490" s="825">
        <f t="shared" ref="S490:S521" si="238">I490-R490</f>
        <v>110835.00000000003</v>
      </c>
      <c r="T490" s="825">
        <v>-44103</v>
      </c>
      <c r="U490" s="825">
        <f t="shared" si="223"/>
        <v>50636.280000000028</v>
      </c>
      <c r="V490" s="827">
        <f>STDEV(D$2:D490)*SQRT(252)</f>
        <v>0.14201280348305981</v>
      </c>
      <c r="W490" s="827">
        <f>STDEV(L$2:L490)*SQRT(252)</f>
        <v>0.30555594359067673</v>
      </c>
      <c r="X490" s="826">
        <f t="shared" si="224"/>
        <v>0.64508226736911156</v>
      </c>
      <c r="Y490" s="826">
        <f t="shared" si="225"/>
        <v>2.8865774978625563E-2</v>
      </c>
      <c r="Z490" s="832">
        <f t="shared" si="226"/>
        <v>-0.17521297811359304</v>
      </c>
    </row>
    <row r="491" spans="1:26" ht="20.100000000000001" customHeight="1" x14ac:dyDescent="0.2">
      <c r="A491" s="801">
        <f t="shared" si="216"/>
        <v>774</v>
      </c>
      <c r="B491" s="820">
        <v>43007</v>
      </c>
      <c r="C491" s="845">
        <v>2519.36</v>
      </c>
      <c r="D491" s="817">
        <f t="shared" ref="D491:D525" si="239">(C491-C490)/C490</f>
        <v>3.7050907149630613E-3</v>
      </c>
      <c r="E491" s="844">
        <f t="shared" si="232"/>
        <v>0.19830292422138091</v>
      </c>
      <c r="F491" s="841">
        <v>6495.95</v>
      </c>
      <c r="G491" s="817">
        <f t="shared" ref="G491:G525" si="240">(F491-F490)/F490</f>
        <v>6.5856247433543303E-3</v>
      </c>
      <c r="H491" s="822">
        <f t="shared" si="233"/>
        <v>0.27579197517528525</v>
      </c>
      <c r="I491" s="847">
        <v>356859.34</v>
      </c>
      <c r="J491" s="825">
        <v>350000</v>
      </c>
      <c r="K491" s="825">
        <f t="shared" si="234"/>
        <v>326.05999999999767</v>
      </c>
      <c r="L491" s="817">
        <f t="shared" si="235"/>
        <v>9.1452893261464302E-4</v>
      </c>
      <c r="M491" s="847">
        <f t="shared" si="236"/>
        <v>6859.3400000000256</v>
      </c>
      <c r="N491" s="827">
        <f t="shared" si="217"/>
        <v>1.9598114285714358E-2</v>
      </c>
      <c r="O491" s="811">
        <f t="shared" si="218"/>
        <v>9.2483349390919505E-3</v>
      </c>
      <c r="P491" s="842" t="b">
        <f t="shared" si="237"/>
        <v>0</v>
      </c>
      <c r="Q491" s="827">
        <f>COUNTIF(P$2:P491, TRUE)/(COUNTIF(P$2:P491,FALSE) + COUNTIF(P$2:P491, TRUE))</f>
        <v>0.48367346938775513</v>
      </c>
      <c r="R491" s="825">
        <v>237754.52</v>
      </c>
      <c r="S491" s="825">
        <f t="shared" si="238"/>
        <v>119104.82000000004</v>
      </c>
      <c r="T491" s="825">
        <v>-44681</v>
      </c>
      <c r="U491" s="825">
        <f t="shared" si="223"/>
        <v>51540.340000000026</v>
      </c>
      <c r="V491" s="827">
        <f>STDEV(D$2:D491)*SQRT(252)</f>
        <v>0.14188702615366891</v>
      </c>
      <c r="W491" s="827">
        <f>STDEV(L$2:L491)*SQRT(252)</f>
        <v>0.30524293675127467</v>
      </c>
      <c r="X491" s="826">
        <f t="shared" si="224"/>
        <v>0.65953173277113486</v>
      </c>
      <c r="Y491" s="826">
        <f t="shared" si="225"/>
        <v>3.0298276636710187E-2</v>
      </c>
      <c r="Z491" s="832">
        <f t="shared" si="226"/>
        <v>-0.17870480993566654</v>
      </c>
    </row>
    <row r="492" spans="1:26" ht="20.100000000000001" customHeight="1" x14ac:dyDescent="0.2">
      <c r="A492" s="801">
        <f t="shared" si="216"/>
        <v>777</v>
      </c>
      <c r="B492" s="820">
        <v>43010</v>
      </c>
      <c r="C492" s="845">
        <v>2529.12</v>
      </c>
      <c r="D492" s="817">
        <f t="shared" si="239"/>
        <v>3.8739997459671357E-3</v>
      </c>
      <c r="E492" s="844">
        <f t="shared" si="232"/>
        <v>0.2029451494454062</v>
      </c>
      <c r="F492" s="841">
        <v>6516.71</v>
      </c>
      <c r="G492" s="817">
        <f t="shared" si="240"/>
        <v>3.1958374063840115E-3</v>
      </c>
      <c r="H492" s="822">
        <f t="shared" si="233"/>
        <v>0.27986919889231499</v>
      </c>
      <c r="I492" s="824">
        <v>357811.27</v>
      </c>
      <c r="J492" s="825">
        <v>350000</v>
      </c>
      <c r="K492" s="825">
        <f t="shared" si="234"/>
        <v>951.92999999999302</v>
      </c>
      <c r="L492" s="817">
        <f t="shared" si="235"/>
        <v>2.6675216066924098E-3</v>
      </c>
      <c r="M492" s="842">
        <f t="shared" si="236"/>
        <v>7811.2700000000186</v>
      </c>
      <c r="N492" s="827">
        <f t="shared" si="217"/>
        <v>2.2317914285714339E-2</v>
      </c>
      <c r="O492" s="811">
        <f t="shared" si="218"/>
        <v>1.0491143105350272E-2</v>
      </c>
      <c r="P492" s="842" t="b">
        <f t="shared" si="237"/>
        <v>0</v>
      </c>
      <c r="Q492" s="827">
        <f>COUNTIF(P$2:P492, TRUE)/(COUNTIF(P$2:P492,FALSE) + COUNTIF(P$2:P492, TRUE))</f>
        <v>0.48268839103869654</v>
      </c>
      <c r="R492" s="825">
        <v>232965.68</v>
      </c>
      <c r="S492" s="825">
        <f t="shared" si="238"/>
        <v>124845.59000000003</v>
      </c>
      <c r="T492" s="825">
        <v>-44640</v>
      </c>
      <c r="U492" s="825">
        <f t="shared" si="223"/>
        <v>52451.270000000019</v>
      </c>
      <c r="V492" s="827">
        <f>STDEV(D$2:D492)*SQRT(252)</f>
        <v>0.14176364260850624</v>
      </c>
      <c r="W492" s="827">
        <f>STDEV(L$2:L492)*SQRT(252)</f>
        <v>0.30493499881552349</v>
      </c>
      <c r="X492" s="826">
        <f t="shared" si="224"/>
        <v>0.67295034131500397</v>
      </c>
      <c r="Y492" s="826">
        <f t="shared" si="225"/>
        <v>3.4404522754362801E-2</v>
      </c>
      <c r="Z492" s="832">
        <f t="shared" si="226"/>
        <v>-0.18062723515969187</v>
      </c>
    </row>
    <row r="493" spans="1:26" ht="20.100000000000001" customHeight="1" x14ac:dyDescent="0.2">
      <c r="A493" s="801">
        <f t="shared" si="216"/>
        <v>778</v>
      </c>
      <c r="B493" s="820">
        <v>43011</v>
      </c>
      <c r="C493" s="845">
        <v>2534.58</v>
      </c>
      <c r="D493" s="817">
        <f t="shared" si="239"/>
        <v>2.1588536724236242E-3</v>
      </c>
      <c r="E493" s="844">
        <f t="shared" si="232"/>
        <v>0.20554213199901061</v>
      </c>
      <c r="F493" s="841">
        <v>6531.71</v>
      </c>
      <c r="G493" s="817">
        <f t="shared" si="240"/>
        <v>2.3017749754093708E-3</v>
      </c>
      <c r="H493" s="822">
        <f t="shared" si="233"/>
        <v>0.28281516978612259</v>
      </c>
      <c r="I493" s="824">
        <v>360621.39</v>
      </c>
      <c r="J493" s="825">
        <v>350000</v>
      </c>
      <c r="K493" s="825">
        <f t="shared" si="234"/>
        <v>2810.1199999999953</v>
      </c>
      <c r="L493" s="817">
        <f t="shared" si="235"/>
        <v>7.8536374776568534E-3</v>
      </c>
      <c r="M493" s="842">
        <f t="shared" si="236"/>
        <v>10621.390000000014</v>
      </c>
      <c r="N493" s="827">
        <f t="shared" si="217"/>
        <v>3.0346828571428612E-2</v>
      </c>
      <c r="O493" s="811">
        <f t="shared" si="218"/>
        <v>1.4247016883951542E-2</v>
      </c>
      <c r="P493" s="842" t="b">
        <f t="shared" si="237"/>
        <v>1</v>
      </c>
      <c r="Q493" s="827">
        <f>COUNTIF(P$2:P493, TRUE)/(COUNTIF(P$2:P493,FALSE) + COUNTIF(P$2:P493, TRUE))</f>
        <v>0.48373983739837401</v>
      </c>
      <c r="R493" s="825">
        <v>231582.4</v>
      </c>
      <c r="S493" s="825">
        <f t="shared" si="238"/>
        <v>129038.99000000002</v>
      </c>
      <c r="T493" s="825">
        <v>-43206</v>
      </c>
      <c r="U493" s="825">
        <f t="shared" si="223"/>
        <v>53827.390000000014</v>
      </c>
      <c r="V493" s="827">
        <f>STDEV(D$2:D493)*SQRT(252)</f>
        <v>0.14162441046518581</v>
      </c>
      <c r="W493" s="827">
        <f>STDEV(L$2:L493)*SQRT(252)</f>
        <v>0.30467040638109993</v>
      </c>
      <c r="X493" s="826">
        <f t="shared" si="224"/>
        <v>0.68135487804801953</v>
      </c>
      <c r="Y493" s="826">
        <f t="shared" si="225"/>
        <v>4.6762063480922801E-2</v>
      </c>
      <c r="Z493" s="832">
        <f t="shared" si="226"/>
        <v>-0.17519530342758199</v>
      </c>
    </row>
    <row r="494" spans="1:26" ht="20.100000000000001" customHeight="1" x14ac:dyDescent="0.2">
      <c r="A494" s="801">
        <f t="shared" si="216"/>
        <v>779</v>
      </c>
      <c r="B494" s="820">
        <v>43012</v>
      </c>
      <c r="C494" s="845">
        <v>2537.7399999999998</v>
      </c>
      <c r="D494" s="817">
        <f t="shared" si="239"/>
        <v>1.2467548864111035E-3</v>
      </c>
      <c r="E494" s="844">
        <f t="shared" si="232"/>
        <v>0.20704514754285483</v>
      </c>
      <c r="F494" s="841">
        <v>6534.62</v>
      </c>
      <c r="G494" s="817">
        <f t="shared" si="240"/>
        <v>4.4551886106392573E-4</v>
      </c>
      <c r="H494" s="822">
        <f t="shared" si="233"/>
        <v>0.28338668813952123</v>
      </c>
      <c r="I494" s="824">
        <v>360384.52</v>
      </c>
      <c r="J494" s="825">
        <v>350000</v>
      </c>
      <c r="K494" s="825">
        <f t="shared" si="234"/>
        <v>-236.86999999999534</v>
      </c>
      <c r="L494" s="817">
        <f t="shared" si="235"/>
        <v>-6.5683846429629518E-4</v>
      </c>
      <c r="M494" s="842">
        <f t="shared" si="236"/>
        <v>10384.520000000019</v>
      </c>
      <c r="N494" s="827">
        <f t="shared" si="217"/>
        <v>2.9670057142857195E-2</v>
      </c>
      <c r="O494" s="811">
        <f t="shared" si="218"/>
        <v>1.3911409976159935E-2</v>
      </c>
      <c r="P494" s="842" t="b">
        <f t="shared" si="237"/>
        <v>0</v>
      </c>
      <c r="Q494" s="827">
        <f>COUNTIF(P$2:P494, TRUE)/(COUNTIF(P$2:P494,FALSE) + COUNTIF(P$2:P494, TRUE))</f>
        <v>0.48275862068965519</v>
      </c>
      <c r="R494" s="825">
        <v>228739.13</v>
      </c>
      <c r="S494" s="825">
        <f t="shared" si="238"/>
        <v>131645.39000000001</v>
      </c>
      <c r="T494" s="825">
        <v>-43349</v>
      </c>
      <c r="U494" s="825">
        <f t="shared" si="223"/>
        <v>53733.520000000019</v>
      </c>
      <c r="V494" s="827">
        <f>STDEV(D$2:D494)*SQRT(252)</f>
        <v>0.14148135258004679</v>
      </c>
      <c r="W494" s="827">
        <f>STDEV(L$2:L494)*SQRT(252)</f>
        <v>0.30436097081382762</v>
      </c>
      <c r="X494" s="826">
        <f t="shared" si="224"/>
        <v>0.68614929331390384</v>
      </c>
      <c r="Y494" s="826">
        <f t="shared" si="225"/>
        <v>4.5706944418538162E-2</v>
      </c>
      <c r="Z494" s="832">
        <f t="shared" si="226"/>
        <v>-0.17737509039999763</v>
      </c>
    </row>
    <row r="495" spans="1:26" ht="20.100000000000001" customHeight="1" x14ac:dyDescent="0.2">
      <c r="A495" s="801">
        <f t="shared" si="216"/>
        <v>780</v>
      </c>
      <c r="B495" s="820">
        <v>43013</v>
      </c>
      <c r="C495" s="845">
        <v>2552.0700000000002</v>
      </c>
      <c r="D495" s="817">
        <f t="shared" si="239"/>
        <v>5.6467565629262188E-3</v>
      </c>
      <c r="E495" s="844">
        <f t="shared" si="232"/>
        <v>0.2138610376514907</v>
      </c>
      <c r="F495" s="841">
        <v>6585.35</v>
      </c>
      <c r="G495" s="817">
        <f t="shared" si="240"/>
        <v>7.7632670300645601E-3</v>
      </c>
      <c r="H495" s="822">
        <f t="shared" si="233"/>
        <v>0.29334996170237848</v>
      </c>
      <c r="I495" s="824">
        <v>360856.84</v>
      </c>
      <c r="J495" s="825">
        <v>350000</v>
      </c>
      <c r="K495" s="825">
        <f t="shared" si="234"/>
        <v>472.32000000000698</v>
      </c>
      <c r="L495" s="817">
        <f t="shared" si="235"/>
        <v>1.3106001334352733E-3</v>
      </c>
      <c r="M495" s="842">
        <f t="shared" si="236"/>
        <v>10856.840000000026</v>
      </c>
      <c r="N495" s="827">
        <f t="shared" si="217"/>
        <v>3.101954285714293E-2</v>
      </c>
      <c r="O495" s="811">
        <f t="shared" si="218"/>
        <v>1.4525497472527507E-2</v>
      </c>
      <c r="P495" s="842" t="b">
        <f t="shared" si="237"/>
        <v>0</v>
      </c>
      <c r="Q495" s="827">
        <f>COUNTIF(P$2:P495, TRUE)/(COUNTIF(P$2:P495,FALSE) + COUNTIF(P$2:P495, TRUE))</f>
        <v>0.48178137651821862</v>
      </c>
      <c r="R495" s="825">
        <v>230791.45</v>
      </c>
      <c r="S495" s="825">
        <f t="shared" si="238"/>
        <v>130065.39000000001</v>
      </c>
      <c r="T495" s="825">
        <v>-43035</v>
      </c>
      <c r="U495" s="825">
        <f t="shared" si="223"/>
        <v>53891.840000000026</v>
      </c>
      <c r="V495" s="827">
        <f>STDEV(D$2:D495)*SQRT(252)</f>
        <v>0.14138684968311818</v>
      </c>
      <c r="W495" s="827">
        <f>STDEV(L$2:L495)*SQRT(252)</f>
        <v>0.30405217201951462</v>
      </c>
      <c r="X495" s="826">
        <f t="shared" si="224"/>
        <v>0.70830168305624586</v>
      </c>
      <c r="Y495" s="826">
        <f t="shared" si="225"/>
        <v>4.7773042948679324E-2</v>
      </c>
      <c r="Z495" s="832">
        <f t="shared" si="226"/>
        <v>-0.18284149479434778</v>
      </c>
    </row>
    <row r="496" spans="1:26" ht="20.100000000000001" customHeight="1" x14ac:dyDescent="0.2">
      <c r="A496" s="801">
        <f t="shared" si="216"/>
        <v>781</v>
      </c>
      <c r="B496" s="820">
        <v>43014</v>
      </c>
      <c r="C496" s="845">
        <v>2549.33</v>
      </c>
      <c r="D496" s="817">
        <f t="shared" si="239"/>
        <v>-1.0736382622734627E-3</v>
      </c>
      <c r="E496" s="844">
        <f t="shared" si="232"/>
        <v>0.21255778999638508</v>
      </c>
      <c r="F496" s="841">
        <v>6590.18</v>
      </c>
      <c r="G496" s="817">
        <f t="shared" si="240"/>
        <v>7.334462101482726E-4</v>
      </c>
      <c r="H496" s="822">
        <f t="shared" si="233"/>
        <v>0.29429856433018453</v>
      </c>
      <c r="I496" s="824">
        <v>357118.36</v>
      </c>
      <c r="J496" s="825">
        <v>350000</v>
      </c>
      <c r="K496" s="825">
        <f t="shared" si="234"/>
        <v>-3738.4800000000396</v>
      </c>
      <c r="L496" s="817">
        <f t="shared" si="235"/>
        <v>-1.036000869486093E-2</v>
      </c>
      <c r="M496" s="842">
        <f t="shared" si="236"/>
        <v>7118.359999999986</v>
      </c>
      <c r="N496" s="827">
        <f t="shared" si="217"/>
        <v>2.0338171428571389E-2</v>
      </c>
      <c r="O496" s="811">
        <f t="shared" si="218"/>
        <v>9.5115456008779756E-3</v>
      </c>
      <c r="P496" s="842" t="b">
        <f t="shared" si="237"/>
        <v>0</v>
      </c>
      <c r="Q496" s="827">
        <f>COUNTIF(P$2:P496, TRUE)/(COUNTIF(P$2:P496,FALSE) + COUNTIF(P$2:P496, TRUE))</f>
        <v>0.4808080808080808</v>
      </c>
      <c r="R496" s="825">
        <v>240460.37</v>
      </c>
      <c r="S496" s="825">
        <f t="shared" si="238"/>
        <v>116657.98999999999</v>
      </c>
      <c r="T496" s="825">
        <v>-43165</v>
      </c>
      <c r="U496" s="825">
        <f t="shared" si="223"/>
        <v>50283.359999999986</v>
      </c>
      <c r="V496" s="827">
        <f>STDEV(D$2:D496)*SQRT(252)</f>
        <v>0.14124747997458517</v>
      </c>
      <c r="W496" s="827">
        <f>STDEV(L$2:L496)*SQRT(252)</f>
        <v>0.30384122519704199</v>
      </c>
      <c r="X496" s="826">
        <f t="shared" si="224"/>
        <v>0.70377771116347598</v>
      </c>
      <c r="Y496" s="826">
        <f t="shared" si="225"/>
        <v>3.1304328748377408E-2</v>
      </c>
      <c r="Z496" s="832">
        <f t="shared" si="226"/>
        <v>-0.19221961856781369</v>
      </c>
    </row>
    <row r="497" spans="1:26" ht="20.100000000000001" customHeight="1" x14ac:dyDescent="0.2">
      <c r="A497" s="801">
        <f t="shared" si="216"/>
        <v>784</v>
      </c>
      <c r="B497" s="820">
        <v>43017</v>
      </c>
      <c r="C497" s="845">
        <v>2544.73</v>
      </c>
      <c r="D497" s="817">
        <f t="shared" si="239"/>
        <v>-1.8043956647432499E-3</v>
      </c>
      <c r="E497" s="844">
        <f t="shared" si="232"/>
        <v>0.21036985597686494</v>
      </c>
      <c r="F497" s="841">
        <v>6579.73</v>
      </c>
      <c r="G497" s="817">
        <f t="shared" si="240"/>
        <v>-1.5856926517941433E-3</v>
      </c>
      <c r="H497" s="822">
        <f t="shared" si="233"/>
        <v>0.29224620460749845</v>
      </c>
      <c r="I497" s="824">
        <v>354927.69</v>
      </c>
      <c r="J497" s="825">
        <v>350000</v>
      </c>
      <c r="K497" s="825">
        <f t="shared" si="234"/>
        <v>-2190.6699999999837</v>
      </c>
      <c r="L497" s="817">
        <f t="shared" si="235"/>
        <v>-6.1342967636835695E-3</v>
      </c>
      <c r="M497" s="842">
        <f t="shared" si="236"/>
        <v>4927.6900000000023</v>
      </c>
      <c r="N497" s="827">
        <f t="shared" si="217"/>
        <v>1.4079114285714293E-2</v>
      </c>
      <c r="O497" s="811">
        <f t="shared" si="218"/>
        <v>6.5591792000728897E-3</v>
      </c>
      <c r="P497" s="842" t="b">
        <f t="shared" si="237"/>
        <v>0</v>
      </c>
      <c r="Q497" s="827">
        <f>COUNTIF(P$2:P497, TRUE)/(COUNTIF(P$2:P497,FALSE) + COUNTIF(P$2:P497, TRUE))</f>
        <v>0.47983870967741937</v>
      </c>
      <c r="R497" s="825">
        <v>251444.7</v>
      </c>
      <c r="S497" s="825">
        <f t="shared" si="238"/>
        <v>103482.98999999999</v>
      </c>
      <c r="T497" s="825">
        <v>-43757</v>
      </c>
      <c r="U497" s="825">
        <f t="shared" si="223"/>
        <v>48684.69</v>
      </c>
      <c r="V497" s="827">
        <f>STDEV(D$2:D497)*SQRT(252)</f>
        <v>0.14111344767392758</v>
      </c>
      <c r="W497" s="827">
        <f>STDEV(L$2:L497)*SQRT(252)</f>
        <v>0.30356932879528697</v>
      </c>
      <c r="X497" s="826">
        <f t="shared" si="224"/>
        <v>0.69452721611110979</v>
      </c>
      <c r="Y497" s="826">
        <f t="shared" si="225"/>
        <v>2.1606857405861626E-2</v>
      </c>
      <c r="Z497" s="832">
        <f t="shared" si="226"/>
        <v>-0.19629074169115066</v>
      </c>
    </row>
    <row r="498" spans="1:26" ht="20.100000000000001" customHeight="1" x14ac:dyDescent="0.2">
      <c r="A498" s="801">
        <f t="shared" si="216"/>
        <v>785</v>
      </c>
      <c r="B498" s="820">
        <v>43018</v>
      </c>
      <c r="C498" s="845">
        <v>2550.64</v>
      </c>
      <c r="D498" s="817">
        <f t="shared" si="239"/>
        <v>2.3224467821732972E-3</v>
      </c>
      <c r="E498" s="844">
        <f t="shared" si="232"/>
        <v>0.21318087555411799</v>
      </c>
      <c r="F498" s="841">
        <v>6587.25</v>
      </c>
      <c r="G498" s="817">
        <f t="shared" si="240"/>
        <v>1.142904040135452E-3</v>
      </c>
      <c r="H498" s="822">
        <f t="shared" si="233"/>
        <v>0.29372311801559403</v>
      </c>
      <c r="I498" s="824">
        <v>356097.03</v>
      </c>
      <c r="J498" s="825">
        <v>350000</v>
      </c>
      <c r="K498" s="825">
        <f t="shared" si="234"/>
        <v>1169.3400000000256</v>
      </c>
      <c r="L498" s="817">
        <f t="shared" si="235"/>
        <v>3.2945865677598317E-3</v>
      </c>
      <c r="M498" s="842">
        <f t="shared" si="236"/>
        <v>6097.0300000000279</v>
      </c>
      <c r="N498" s="827">
        <f t="shared" si="217"/>
        <v>1.7420085714285796E-2</v>
      </c>
      <c r="O498" s="811">
        <f t="shared" si="218"/>
        <v>8.1053328753412576E-3</v>
      </c>
      <c r="P498" s="842" t="b">
        <f t="shared" si="237"/>
        <v>1</v>
      </c>
      <c r="Q498" s="827">
        <f>COUNTIF(P$2:P498, TRUE)/(COUNTIF(P$2:P498,FALSE) + COUNTIF(P$2:P498, TRUE))</f>
        <v>0.48088531187122735</v>
      </c>
      <c r="R498" s="825">
        <v>248460.64</v>
      </c>
      <c r="S498" s="825">
        <f t="shared" si="238"/>
        <v>107636.39000000001</v>
      </c>
      <c r="T498" s="825">
        <v>-43317</v>
      </c>
      <c r="U498" s="825">
        <f t="shared" si="223"/>
        <v>49414.030000000028</v>
      </c>
      <c r="V498" s="827">
        <f>STDEV(D$2:D498)*SQRT(252)</f>
        <v>0.14097732351097575</v>
      </c>
      <c r="W498" s="827">
        <f>STDEV(L$2:L498)*SQRT(252)</f>
        <v>0.30326962638945343</v>
      </c>
      <c r="X498" s="826">
        <f t="shared" si="224"/>
        <v>0.70358982183165186</v>
      </c>
      <c r="Y498" s="826">
        <f t="shared" si="225"/>
        <v>2.6726490785900642E-2</v>
      </c>
      <c r="Z498" s="832">
        <f t="shared" si="226"/>
        <v>-0.19576078983983219</v>
      </c>
    </row>
    <row r="499" spans="1:26" ht="20.100000000000001" customHeight="1" x14ac:dyDescent="0.2">
      <c r="A499" s="801">
        <f t="shared" si="216"/>
        <v>786</v>
      </c>
      <c r="B499" s="820">
        <v>43019</v>
      </c>
      <c r="C499" s="845">
        <v>2555.2399999999998</v>
      </c>
      <c r="D499" s="817">
        <f t="shared" si="239"/>
        <v>1.8034689332872963E-3</v>
      </c>
      <c r="E499" s="844">
        <f t="shared" si="232"/>
        <v>0.2153688095736381</v>
      </c>
      <c r="F499" s="841">
        <v>6603.54</v>
      </c>
      <c r="G499" s="817">
        <f t="shared" si="240"/>
        <v>2.4729591255835083E-3</v>
      </c>
      <c r="H499" s="822">
        <f t="shared" si="233"/>
        <v>0.29692244240626908</v>
      </c>
      <c r="I499" s="824">
        <v>356596.97</v>
      </c>
      <c r="J499" s="825">
        <v>350000</v>
      </c>
      <c r="K499" s="825">
        <f t="shared" si="234"/>
        <v>499.93999999994412</v>
      </c>
      <c r="L499" s="817">
        <f t="shared" si="235"/>
        <v>1.4039431893041738E-3</v>
      </c>
      <c r="M499" s="842">
        <f t="shared" si="236"/>
        <v>6596.9699999999721</v>
      </c>
      <c r="N499" s="827">
        <f t="shared" si="217"/>
        <v>1.8848485714285636E-2</v>
      </c>
      <c r="O499" s="811">
        <f t="shared" si="218"/>
        <v>8.7587905943292983E-3</v>
      </c>
      <c r="P499" s="842" t="b">
        <f t="shared" si="237"/>
        <v>0</v>
      </c>
      <c r="Q499" s="827">
        <f>COUNTIF(P$2:P499, TRUE)/(COUNTIF(P$2:P499,FALSE) + COUNTIF(P$2:P499, TRUE))</f>
        <v>0.47991967871485941</v>
      </c>
      <c r="R499" s="825">
        <v>252179.58</v>
      </c>
      <c r="S499" s="825">
        <f t="shared" si="238"/>
        <v>104417.38999999998</v>
      </c>
      <c r="T499" s="825">
        <v>-42865</v>
      </c>
      <c r="U499" s="825">
        <f t="shared" si="223"/>
        <v>49461.969999999972</v>
      </c>
      <c r="V499" s="827">
        <f>STDEV(D$2:D499)*SQRT(252)</f>
        <v>0.14083853845440183</v>
      </c>
      <c r="W499" s="827">
        <f>STDEV(L$2:L499)*SQRT(252)</f>
        <v>0.30296461457562501</v>
      </c>
      <c r="X499" s="826">
        <f t="shared" si="224"/>
        <v>0.71060617414438698</v>
      </c>
      <c r="Y499" s="826">
        <f t="shared" si="225"/>
        <v>2.8910275896734991E-2</v>
      </c>
      <c r="Z499" s="832">
        <f t="shared" si="226"/>
        <v>-0.19652032385935247</v>
      </c>
    </row>
    <row r="500" spans="1:26" ht="20.100000000000001" customHeight="1" x14ac:dyDescent="0.2">
      <c r="A500" s="801">
        <f t="shared" si="216"/>
        <v>787</v>
      </c>
      <c r="B500" s="820">
        <v>43020</v>
      </c>
      <c r="C500" s="845">
        <v>2550.9299999999998</v>
      </c>
      <c r="D500" s="817">
        <f t="shared" si="239"/>
        <v>-1.6867300136190518E-3</v>
      </c>
      <c r="E500" s="844">
        <f t="shared" si="232"/>
        <v>0.2133188105249138</v>
      </c>
      <c r="F500" s="841">
        <v>6591.51</v>
      </c>
      <c r="G500" s="817">
        <f t="shared" si="240"/>
        <v>-1.821750152191059E-3</v>
      </c>
      <c r="H500" s="822">
        <f t="shared" si="233"/>
        <v>0.29455977374943543</v>
      </c>
      <c r="I500" s="824">
        <v>355844.19</v>
      </c>
      <c r="J500" s="825">
        <v>350000</v>
      </c>
      <c r="K500" s="825">
        <f t="shared" si="234"/>
        <v>-752.77999999996973</v>
      </c>
      <c r="L500" s="817">
        <f t="shared" si="235"/>
        <v>-2.1110106459961502E-3</v>
      </c>
      <c r="M500" s="842">
        <f t="shared" si="236"/>
        <v>5844.1900000000023</v>
      </c>
      <c r="N500" s="827">
        <f t="shared" si="217"/>
        <v>1.6697685714285721E-2</v>
      </c>
      <c r="O500" s="811">
        <f t="shared" si="218"/>
        <v>7.7494659557088433E-3</v>
      </c>
      <c r="P500" s="842" t="b">
        <f t="shared" si="237"/>
        <v>0</v>
      </c>
      <c r="Q500" s="827">
        <f>COUNTIF(P$2:P500, TRUE)/(COUNTIF(P$2:P500,FALSE) + COUNTIF(P$2:P500, TRUE))</f>
        <v>0.47895791583166331</v>
      </c>
      <c r="R500" s="825">
        <v>257692.79999999999</v>
      </c>
      <c r="S500" s="825">
        <f t="shared" si="238"/>
        <v>98151.390000000014</v>
      </c>
      <c r="T500" s="825">
        <v>-42451</v>
      </c>
      <c r="U500" s="825">
        <f t="shared" si="223"/>
        <v>48295.19</v>
      </c>
      <c r="V500" s="827">
        <f>STDEV(D$2:D500)*SQRT(252)</f>
        <v>0.14070484863788504</v>
      </c>
      <c r="W500" s="827">
        <f>STDEV(L$2:L500)*SQRT(252)</f>
        <v>0.30266491141400748</v>
      </c>
      <c r="X500" s="826">
        <f t="shared" si="224"/>
        <v>0.70361579859070544</v>
      </c>
      <c r="Y500" s="826">
        <f t="shared" si="225"/>
        <v>2.5604110894468866E-2</v>
      </c>
      <c r="Z500" s="832">
        <f t="shared" si="226"/>
        <v>-0.19662112481062807</v>
      </c>
    </row>
    <row r="501" spans="1:26" ht="20.100000000000001" customHeight="1" x14ac:dyDescent="0.2">
      <c r="A501" s="801">
        <f t="shared" si="216"/>
        <v>788</v>
      </c>
      <c r="B501" s="820">
        <v>43021</v>
      </c>
      <c r="C501" s="845">
        <v>2553.17</v>
      </c>
      <c r="D501" s="817">
        <f t="shared" si="239"/>
        <v>8.7811112025819467E-4</v>
      </c>
      <c r="E501" s="844">
        <f t="shared" si="232"/>
        <v>0.21438423926485417</v>
      </c>
      <c r="F501" s="841">
        <v>6605.8</v>
      </c>
      <c r="G501" s="817">
        <f t="shared" si="240"/>
        <v>2.1679402746866746E-3</v>
      </c>
      <c r="H501" s="822">
        <f t="shared" si="233"/>
        <v>0.29736630202093611</v>
      </c>
      <c r="I501" s="824">
        <v>357661.23</v>
      </c>
      <c r="J501" s="825">
        <v>350000</v>
      </c>
      <c r="K501" s="825">
        <f t="shared" si="234"/>
        <v>1817.039999999979</v>
      </c>
      <c r="L501" s="817">
        <f t="shared" si="235"/>
        <v>5.1062798018424276E-3</v>
      </c>
      <c r="M501" s="842">
        <f t="shared" si="236"/>
        <v>7661.2299999999814</v>
      </c>
      <c r="N501" s="827">
        <f t="shared" si="217"/>
        <v>2.1889228571428519E-2</v>
      </c>
      <c r="O501" s="811">
        <f t="shared" si="218"/>
        <v>1.0145990781363284E-2</v>
      </c>
      <c r="P501" s="842" t="b">
        <f t="shared" si="237"/>
        <v>1</v>
      </c>
      <c r="Q501" s="827">
        <f>COUNTIF(P$2:P501, TRUE)/(COUNTIF(P$2:P501,FALSE) + COUNTIF(P$2:P501, TRUE))</f>
        <v>0.48</v>
      </c>
      <c r="R501" s="825">
        <v>265762.32</v>
      </c>
      <c r="S501" s="825">
        <f t="shared" si="238"/>
        <v>91898.909999999974</v>
      </c>
      <c r="T501" s="825">
        <v>-41907</v>
      </c>
      <c r="U501" s="825">
        <f t="shared" si="223"/>
        <v>49568.229999999981</v>
      </c>
      <c r="V501" s="827">
        <f>STDEV(D$2:D501)*SQRT(252)</f>
        <v>0.14056387251664079</v>
      </c>
      <c r="W501" s="827">
        <f>STDEV(L$2:L501)*SQRT(252)</f>
        <v>0.30237946520340636</v>
      </c>
      <c r="X501" s="826">
        <f t="shared" si="224"/>
        <v>0.70694096466433043</v>
      </c>
      <c r="Y501" s="826">
        <f t="shared" si="225"/>
        <v>3.3553835325881735E-2</v>
      </c>
      <c r="Z501" s="832">
        <f t="shared" si="226"/>
        <v>-0.19249501069342564</v>
      </c>
    </row>
    <row r="502" spans="1:26" ht="20.100000000000001" customHeight="1" x14ac:dyDescent="0.2">
      <c r="A502" s="801">
        <f t="shared" si="216"/>
        <v>791</v>
      </c>
      <c r="B502" s="820">
        <v>43024</v>
      </c>
      <c r="C502" s="845">
        <v>2557.64</v>
      </c>
      <c r="D502" s="817">
        <f t="shared" si="239"/>
        <v>1.7507647356031129E-3</v>
      </c>
      <c r="E502" s="844">
        <f t="shared" si="232"/>
        <v>0.2165103403664313</v>
      </c>
      <c r="F502" s="841">
        <v>6624</v>
      </c>
      <c r="G502" s="817">
        <f t="shared" si="240"/>
        <v>2.7551545611432101E-3</v>
      </c>
      <c r="H502" s="822">
        <f t="shared" si="233"/>
        <v>0.30094074670542259</v>
      </c>
      <c r="I502" s="824">
        <v>356269.41</v>
      </c>
      <c r="J502" s="825">
        <v>350000</v>
      </c>
      <c r="K502" s="825">
        <f t="shared" si="234"/>
        <v>-1391.820000000007</v>
      </c>
      <c r="L502" s="817">
        <f t="shared" si="235"/>
        <v>-3.8914477814662972E-3</v>
      </c>
      <c r="M502" s="842">
        <f t="shared" si="236"/>
        <v>6269.4099999999744</v>
      </c>
      <c r="N502" s="827">
        <f t="shared" si="217"/>
        <v>1.7912599999999928E-2</v>
      </c>
      <c r="O502" s="811">
        <f t="shared" si="218"/>
        <v>8.271273261694025E-3</v>
      </c>
      <c r="P502" s="842" t="b">
        <f t="shared" si="237"/>
        <v>0</v>
      </c>
      <c r="Q502" s="827">
        <f>COUNTIF(P$2:P502, TRUE)/(COUNTIF(P$2:P502,FALSE) + COUNTIF(P$2:P502, TRUE))</f>
        <v>0.47904191616766467</v>
      </c>
      <c r="R502" s="825">
        <v>264370.51</v>
      </c>
      <c r="S502" s="825">
        <f t="shared" si="238"/>
        <v>91898.899999999965</v>
      </c>
      <c r="T502" s="825">
        <v>-43678</v>
      </c>
      <c r="U502" s="825">
        <f t="shared" si="223"/>
        <v>49947.409999999974</v>
      </c>
      <c r="V502" s="827">
        <f>STDEV(D$2:D502)*SQRT(252)</f>
        <v>0.14042609448007151</v>
      </c>
      <c r="W502" s="827">
        <f>STDEV(L$2:L502)*SQRT(252)</f>
        <v>0.30209167628759925</v>
      </c>
      <c r="X502" s="826">
        <f t="shared" si="224"/>
        <v>0.71194192153897151</v>
      </c>
      <c r="Y502" s="826">
        <f t="shared" si="225"/>
        <v>2.7380010476751947E-2</v>
      </c>
      <c r="Z502" s="832">
        <f t="shared" si="226"/>
        <v>-0.19859774036643138</v>
      </c>
    </row>
    <row r="503" spans="1:26" ht="20.100000000000001" customHeight="1" x14ac:dyDescent="0.2">
      <c r="A503" s="801">
        <f t="shared" si="216"/>
        <v>792</v>
      </c>
      <c r="B503" s="820">
        <v>43025</v>
      </c>
      <c r="C503" s="845">
        <v>2559.36</v>
      </c>
      <c r="D503" s="817">
        <f t="shared" si="239"/>
        <v>6.7249495628792747E-4</v>
      </c>
      <c r="E503" s="844">
        <f t="shared" si="232"/>
        <v>0.21732843743459981</v>
      </c>
      <c r="F503" s="841">
        <v>6623.65</v>
      </c>
      <c r="G503" s="817">
        <f t="shared" si="240"/>
        <v>-5.2838164251262654E-5</v>
      </c>
      <c r="H503" s="822">
        <f t="shared" si="233"/>
        <v>0.30087200738456704</v>
      </c>
      <c r="I503" s="824">
        <v>356984.93</v>
      </c>
      <c r="J503" s="825">
        <v>350000</v>
      </c>
      <c r="K503" s="825">
        <f t="shared" si="234"/>
        <v>715.52000000001863</v>
      </c>
      <c r="L503" s="817">
        <f t="shared" si="235"/>
        <v>2.008367768650187E-3</v>
      </c>
      <c r="M503" s="842">
        <f t="shared" si="236"/>
        <v>6984.929999999993</v>
      </c>
      <c r="N503" s="827">
        <f t="shared" si="217"/>
        <v>1.9956942857142838E-2</v>
      </c>
      <c r="O503" s="811">
        <f t="shared" si="218"/>
        <v>9.2036280032467433E-3</v>
      </c>
      <c r="P503" s="842" t="b">
        <f t="shared" si="237"/>
        <v>1</v>
      </c>
      <c r="Q503" s="827">
        <f>COUNTIF(P$2:P503, TRUE)/(COUNTIF(P$2:P503,FALSE) + COUNTIF(P$2:P503, TRUE))</f>
        <v>0.48007968127490042</v>
      </c>
      <c r="R503" s="825">
        <v>265086.02</v>
      </c>
      <c r="S503" s="825">
        <f t="shared" si="238"/>
        <v>91898.909999999974</v>
      </c>
      <c r="T503" s="825">
        <v>-43661</v>
      </c>
      <c r="U503" s="825">
        <f t="shared" si="223"/>
        <v>50645.929999999993</v>
      </c>
      <c r="V503" s="827">
        <f>STDEV(D$2:D503)*SQRT(252)</f>
        <v>0.14028570263636367</v>
      </c>
      <c r="W503" s="827">
        <f>STDEV(L$2:L503)*SQRT(252)</f>
        <v>0.30179161775372321</v>
      </c>
      <c r="X503" s="826">
        <f t="shared" si="224"/>
        <v>0.7144439925638304</v>
      </c>
      <c r="Y503" s="826">
        <f t="shared" si="225"/>
        <v>3.049663231785767E-2</v>
      </c>
      <c r="Z503" s="832">
        <f t="shared" si="226"/>
        <v>-0.19737149457745698</v>
      </c>
    </row>
    <row r="504" spans="1:26" ht="20.100000000000001" customHeight="1" x14ac:dyDescent="0.2">
      <c r="A504" s="801">
        <f t="shared" si="216"/>
        <v>793</v>
      </c>
      <c r="B504" s="820">
        <v>43026</v>
      </c>
      <c r="C504" s="845">
        <v>2561.2600000000002</v>
      </c>
      <c r="D504" s="817">
        <f t="shared" si="239"/>
        <v>7.4237309327335383E-4</v>
      </c>
      <c r="E504" s="844">
        <f t="shared" si="232"/>
        <v>0.21823214931222776</v>
      </c>
      <c r="F504" s="841">
        <v>6624.22</v>
      </c>
      <c r="G504" s="817">
        <f t="shared" si="240"/>
        <v>8.6055271640352141E-5</v>
      </c>
      <c r="H504" s="822">
        <f t="shared" si="233"/>
        <v>0.30098395427853181</v>
      </c>
      <c r="I504" s="824">
        <v>356309.25</v>
      </c>
      <c r="J504" s="825">
        <v>350000</v>
      </c>
      <c r="K504" s="825">
        <f t="shared" si="234"/>
        <v>-675.67999999999302</v>
      </c>
      <c r="L504" s="817">
        <f t="shared" si="235"/>
        <v>-1.8927409624826265E-3</v>
      </c>
      <c r="M504" s="842">
        <f t="shared" si="236"/>
        <v>6309.25</v>
      </c>
      <c r="N504" s="827">
        <f t="shared" si="217"/>
        <v>1.8026428571428572E-2</v>
      </c>
      <c r="O504" s="811">
        <f t="shared" si="218"/>
        <v>8.3028411547468924E-3</v>
      </c>
      <c r="P504" s="842" t="b">
        <f t="shared" si="237"/>
        <v>0</v>
      </c>
      <c r="Q504" s="827">
        <f>COUNTIF(P$2:P504, TRUE)/(COUNTIF(P$2:P504,FALSE) + COUNTIF(P$2:P504, TRUE))</f>
        <v>0.47912524850894633</v>
      </c>
      <c r="R504" s="825">
        <v>264410.34000000003</v>
      </c>
      <c r="S504" s="825">
        <f t="shared" si="238"/>
        <v>91898.909999999974</v>
      </c>
      <c r="T504" s="825">
        <v>-43281</v>
      </c>
      <c r="U504" s="825">
        <f t="shared" si="223"/>
        <v>49590.25</v>
      </c>
      <c r="V504" s="827">
        <f>STDEV(D$2:D504)*SQRT(252)</f>
        <v>0.14014580009075686</v>
      </c>
      <c r="W504" s="827">
        <f>STDEV(L$2:L504)*SQRT(252)</f>
        <v>0.30149462610170669</v>
      </c>
      <c r="X504" s="826">
        <f t="shared" si="224"/>
        <v>0.71722543064957556</v>
      </c>
      <c r="Y504" s="826">
        <f t="shared" si="225"/>
        <v>2.7538935808248864E-2</v>
      </c>
      <c r="Z504" s="832">
        <f t="shared" si="226"/>
        <v>-0.20020572074079918</v>
      </c>
    </row>
    <row r="505" spans="1:26" ht="20.100000000000001" customHeight="1" x14ac:dyDescent="0.2">
      <c r="A505" s="801">
        <f t="shared" si="216"/>
        <v>794</v>
      </c>
      <c r="B505" s="820">
        <v>43027</v>
      </c>
      <c r="C505" s="845">
        <v>2562.1</v>
      </c>
      <c r="D505" s="817">
        <f t="shared" si="239"/>
        <v>3.2796358042513869E-4</v>
      </c>
      <c r="E505" s="844">
        <f t="shared" si="232"/>
        <v>0.21863168508970521</v>
      </c>
      <c r="F505" s="841">
        <v>6605.06</v>
      </c>
      <c r="G505" s="817">
        <f t="shared" si="240"/>
        <v>-2.8924160127531775E-3</v>
      </c>
      <c r="H505" s="822">
        <f t="shared" si="233"/>
        <v>0.29722096745684168</v>
      </c>
      <c r="I505" s="824">
        <v>357443.95</v>
      </c>
      <c r="J505" s="825">
        <v>350000</v>
      </c>
      <c r="K505" s="825">
        <f t="shared" si="234"/>
        <v>1134.7000000000116</v>
      </c>
      <c r="L505" s="817">
        <f t="shared" si="235"/>
        <v>3.1845931588922031E-3</v>
      </c>
      <c r="M505" s="842">
        <f t="shared" si="236"/>
        <v>7443.9500000000116</v>
      </c>
      <c r="N505" s="827">
        <f t="shared" si="217"/>
        <v>2.1268428571428605E-2</v>
      </c>
      <c r="O505" s="811">
        <f t="shared" si="218"/>
        <v>9.783745007196849E-3</v>
      </c>
      <c r="P505" s="842" t="b">
        <f t="shared" si="237"/>
        <v>1</v>
      </c>
      <c r="Q505" s="827">
        <f>COUNTIF(P$2:P505, TRUE)/(COUNTIF(P$2:P505,FALSE) + COUNTIF(P$2:P505, TRUE))</f>
        <v>0.48015873015873017</v>
      </c>
      <c r="R505" s="825">
        <v>264411.34000000003</v>
      </c>
      <c r="S505" s="825">
        <f t="shared" si="238"/>
        <v>93032.609999999986</v>
      </c>
      <c r="T505" s="825">
        <v>-42836</v>
      </c>
      <c r="U505" s="825">
        <f t="shared" si="223"/>
        <v>50279.950000000012</v>
      </c>
      <c r="V505" s="827">
        <f>STDEV(D$2:D505)*SQRT(252)</f>
        <v>0.14000616246662231</v>
      </c>
      <c r="W505" s="827">
        <f>STDEV(L$2:L505)*SQRT(252)</f>
        <v>0.3012006871665695</v>
      </c>
      <c r="X505" s="826">
        <f t="shared" si="224"/>
        <v>0.71834929918111556</v>
      </c>
      <c r="Y505" s="826">
        <f t="shared" si="225"/>
        <v>3.2482479038257503E-2</v>
      </c>
      <c r="Z505" s="832">
        <f t="shared" si="226"/>
        <v>-0.1973632565182766</v>
      </c>
    </row>
    <row r="506" spans="1:26" ht="20.100000000000001" customHeight="1" x14ac:dyDescent="0.2">
      <c r="A506" s="801">
        <f t="shared" si="216"/>
        <v>795</v>
      </c>
      <c r="B506" s="820">
        <v>43028</v>
      </c>
      <c r="C506" s="845">
        <v>2575.21</v>
      </c>
      <c r="D506" s="817">
        <f t="shared" si="239"/>
        <v>5.1168962960072319E-3</v>
      </c>
      <c r="E506" s="844">
        <f t="shared" si="232"/>
        <v>0.22486729704533778</v>
      </c>
      <c r="F506" s="841">
        <v>6629.05</v>
      </c>
      <c r="G506" s="817">
        <f t="shared" si="240"/>
        <v>3.6320639025231838E-3</v>
      </c>
      <c r="H506" s="822">
        <f t="shared" si="233"/>
        <v>0.30193255690633786</v>
      </c>
      <c r="I506" s="824">
        <v>360239.92</v>
      </c>
      <c r="J506" s="825">
        <v>350000</v>
      </c>
      <c r="K506" s="825">
        <f t="shared" si="234"/>
        <v>2795.9699999999721</v>
      </c>
      <c r="L506" s="817">
        <f t="shared" si="235"/>
        <v>7.822121482263085E-3</v>
      </c>
      <c r="M506" s="842">
        <f t="shared" si="236"/>
        <v>10239.919999999984</v>
      </c>
      <c r="N506" s="827">
        <f t="shared" si="217"/>
        <v>2.9256914285714239E-2</v>
      </c>
      <c r="O506" s="811">
        <f t="shared" si="218"/>
        <v>1.3441620053908334E-2</v>
      </c>
      <c r="P506" s="842" t="b">
        <f t="shared" si="237"/>
        <v>1</v>
      </c>
      <c r="Q506" s="827">
        <f>COUNTIF(P$2:P506, TRUE)/(COUNTIF(P$2:P506,FALSE) + COUNTIF(P$2:P506, TRUE))</f>
        <v>0.48118811881188117</v>
      </c>
      <c r="R506" s="825">
        <v>254585.5</v>
      </c>
      <c r="S506" s="825">
        <f t="shared" si="238"/>
        <v>105654.41999999998</v>
      </c>
      <c r="T506" s="825">
        <v>-42552</v>
      </c>
      <c r="U506" s="825">
        <f t="shared" si="223"/>
        <v>52791.919999999984</v>
      </c>
      <c r="V506" s="827">
        <f>STDEV(D$2:D506)*SQRT(252)</f>
        <v>0.13990614860228603</v>
      </c>
      <c r="W506" s="827">
        <f>STDEV(L$2:L506)*SQRT(252)</f>
        <v>0.30094697841501933</v>
      </c>
      <c r="X506" s="826">
        <f t="shared" si="224"/>
        <v>0.73843554623789598</v>
      </c>
      <c r="Y506" s="826">
        <f t="shared" si="225"/>
        <v>4.466441273044363E-2</v>
      </c>
      <c r="Z506" s="832">
        <f t="shared" si="226"/>
        <v>-0.19561038275962356</v>
      </c>
    </row>
    <row r="507" spans="1:26" ht="20.100000000000001" customHeight="1" x14ac:dyDescent="0.2">
      <c r="A507" s="801">
        <f t="shared" si="216"/>
        <v>798</v>
      </c>
      <c r="B507" s="820">
        <v>43031</v>
      </c>
      <c r="C507" s="845">
        <v>2564.98</v>
      </c>
      <c r="D507" s="817">
        <f t="shared" si="239"/>
        <v>-3.9724915637948041E-3</v>
      </c>
      <c r="E507" s="844">
        <f t="shared" si="232"/>
        <v>0.22000152204105702</v>
      </c>
      <c r="F507" s="841">
        <v>6586.82</v>
      </c>
      <c r="G507" s="817">
        <f t="shared" si="240"/>
        <v>-6.3704452372512609E-3</v>
      </c>
      <c r="H507" s="822">
        <f t="shared" si="233"/>
        <v>0.29363866684997153</v>
      </c>
      <c r="I507" s="824">
        <v>357804.68</v>
      </c>
      <c r="J507" s="825">
        <v>350000</v>
      </c>
      <c r="K507" s="825">
        <f t="shared" si="234"/>
        <v>-2435.2399999999907</v>
      </c>
      <c r="L507" s="817">
        <f t="shared" si="235"/>
        <v>-6.760050357550576E-3</v>
      </c>
      <c r="M507" s="842">
        <f t="shared" si="236"/>
        <v>7804.679999999993</v>
      </c>
      <c r="N507" s="827">
        <f t="shared" si="217"/>
        <v>2.2299085714285693E-2</v>
      </c>
      <c r="O507" s="811">
        <f t="shared" si="218"/>
        <v>1.0206442427497305E-2</v>
      </c>
      <c r="P507" s="842" t="b">
        <f t="shared" si="237"/>
        <v>0</v>
      </c>
      <c r="Q507" s="827">
        <f>COUNTIF(P$2:P507, TRUE)/(COUNTIF(P$2:P507,FALSE) + COUNTIF(P$2:P507, TRUE))</f>
        <v>0.48023715415019763</v>
      </c>
      <c r="R507" s="825">
        <v>252150.26</v>
      </c>
      <c r="S507" s="825">
        <f t="shared" si="238"/>
        <v>105654.41999999998</v>
      </c>
      <c r="T507" s="825">
        <v>-41908</v>
      </c>
      <c r="U507" s="825">
        <f t="shared" si="223"/>
        <v>49712.679999999993</v>
      </c>
      <c r="V507" s="827">
        <f>STDEV(D$2:D507)*SQRT(252)</f>
        <v>0.13980205559585135</v>
      </c>
      <c r="W507" s="827">
        <f>STDEV(L$2:L507)*SQRT(252)</f>
        <v>0.30069091329485875</v>
      </c>
      <c r="X507" s="826">
        <f t="shared" si="224"/>
        <v>0.72027685817005982</v>
      </c>
      <c r="Y507" s="826">
        <f t="shared" si="225"/>
        <v>3.3943301829971913E-2</v>
      </c>
      <c r="Z507" s="832">
        <f t="shared" si="226"/>
        <v>-0.19770243632677134</v>
      </c>
    </row>
    <row r="508" spans="1:26" ht="20.100000000000001" customHeight="1" x14ac:dyDescent="0.2">
      <c r="A508" s="801">
        <f t="shared" si="216"/>
        <v>799</v>
      </c>
      <c r="B508" s="820">
        <v>43032</v>
      </c>
      <c r="C508" s="845">
        <v>2569.13</v>
      </c>
      <c r="D508" s="817">
        <f t="shared" si="239"/>
        <v>1.6179463387629108E-3</v>
      </c>
      <c r="E508" s="844">
        <f t="shared" si="232"/>
        <v>0.22197541903692855</v>
      </c>
      <c r="F508" s="841">
        <v>6598.63</v>
      </c>
      <c r="G508" s="817">
        <f t="shared" si="240"/>
        <v>1.792974455048172E-3</v>
      </c>
      <c r="H508" s="822">
        <f t="shared" si="233"/>
        <v>0.29595812793369608</v>
      </c>
      <c r="I508" s="824">
        <v>308838.62</v>
      </c>
      <c r="J508" s="825">
        <v>300000</v>
      </c>
      <c r="K508" s="825">
        <f t="shared" si="234"/>
        <v>1033.9400000000023</v>
      </c>
      <c r="L508" s="817">
        <f t="shared" si="235"/>
        <v>2.8896771277558539E-3</v>
      </c>
      <c r="M508" s="842">
        <f t="shared" si="236"/>
        <v>8838.6199999999953</v>
      </c>
      <c r="N508" s="827">
        <f t="shared" si="217"/>
        <v>2.9462066666666651E-2</v>
      </c>
      <c r="O508" s="811">
        <f t="shared" si="218"/>
        <v>1.3468109949937416E-2</v>
      </c>
      <c r="P508" s="842" t="b">
        <f t="shared" si="237"/>
        <v>1</v>
      </c>
      <c r="Q508" s="827">
        <f>COUNTIF(P$2:P508, TRUE)/(COUNTIF(P$2:P508,FALSE) + COUNTIF(P$2:P508, TRUE))</f>
        <v>0.48126232741617359</v>
      </c>
      <c r="R508" s="825">
        <v>252151.26</v>
      </c>
      <c r="S508" s="825">
        <f t="shared" si="238"/>
        <v>56687.359999999986</v>
      </c>
      <c r="T508" s="825">
        <v>-41721</v>
      </c>
      <c r="U508" s="825">
        <f t="shared" si="223"/>
        <v>50559.619999999995</v>
      </c>
      <c r="V508" s="827">
        <f>STDEV(D$2:D508)*SQRT(252)</f>
        <v>0.13966607476231604</v>
      </c>
      <c r="W508" s="827">
        <f>STDEV(L$2:L508)*SQRT(252)</f>
        <v>0.30039821437301584</v>
      </c>
      <c r="X508" s="826">
        <f t="shared" si="224"/>
        <v>0.72653644088459868</v>
      </c>
      <c r="Y508" s="826">
        <f t="shared" si="225"/>
        <v>4.4834187773212103E-2</v>
      </c>
      <c r="Z508" s="832">
        <f t="shared" si="226"/>
        <v>-0.1925133523702619</v>
      </c>
    </row>
    <row r="509" spans="1:26" ht="20.100000000000001" customHeight="1" x14ac:dyDescent="0.2">
      <c r="A509" s="801">
        <f t="shared" si="216"/>
        <v>800</v>
      </c>
      <c r="B509" s="820">
        <v>43033</v>
      </c>
      <c r="C509" s="845">
        <v>2557.15</v>
      </c>
      <c r="D509" s="817">
        <f t="shared" si="239"/>
        <v>-4.6630571438580444E-3</v>
      </c>
      <c r="E509" s="844">
        <f t="shared" si="232"/>
        <v>0.21627727782956946</v>
      </c>
      <c r="F509" s="841">
        <v>6563.89</v>
      </c>
      <c r="G509" s="817">
        <f t="shared" si="240"/>
        <v>-5.2647291937871618E-3</v>
      </c>
      <c r="H509" s="822">
        <f t="shared" si="233"/>
        <v>0.28913525934363782</v>
      </c>
      <c r="I509" s="824">
        <v>306704.96000000002</v>
      </c>
      <c r="J509" s="825">
        <v>300000</v>
      </c>
      <c r="K509" s="825">
        <f t="shared" si="234"/>
        <v>-2133.6599999999744</v>
      </c>
      <c r="L509" s="817">
        <f t="shared" si="235"/>
        <v>-6.9086566958496782E-3</v>
      </c>
      <c r="M509" s="842">
        <f t="shared" si="236"/>
        <v>6704.960000000021</v>
      </c>
      <c r="N509" s="827">
        <f t="shared" si="217"/>
        <v>2.2349866666666735E-2</v>
      </c>
      <c r="O509" s="811">
        <f t="shared" si="218"/>
        <v>1.0204111000000031E-2</v>
      </c>
      <c r="P509" s="842" t="b">
        <f t="shared" si="237"/>
        <v>0</v>
      </c>
      <c r="Q509" s="827">
        <f>COUNTIF(P$2:P509, TRUE)/(COUNTIF(P$2:P509,FALSE) + COUNTIF(P$2:P509, TRUE))</f>
        <v>0.48031496062992124</v>
      </c>
      <c r="R509" s="825">
        <v>252152.26</v>
      </c>
      <c r="S509" s="825">
        <f t="shared" si="238"/>
        <v>54552.700000000012</v>
      </c>
      <c r="T509" s="825">
        <v>-41720</v>
      </c>
      <c r="U509" s="825">
        <f t="shared" si="223"/>
        <v>48424.960000000021</v>
      </c>
      <c r="V509" s="827">
        <f>STDEV(D$2:D509)*SQRT(252)</f>
        <v>0.13957427800139766</v>
      </c>
      <c r="W509" s="827">
        <f>STDEV(L$2:L509)*SQRT(252)</f>
        <v>0.30014545244323337</v>
      </c>
      <c r="X509" s="826">
        <f t="shared" si="224"/>
        <v>0.70746627582822974</v>
      </c>
      <c r="Y509" s="826">
        <f t="shared" si="225"/>
        <v>3.399722007092524E-2</v>
      </c>
      <c r="Z509" s="832">
        <f t="shared" si="226"/>
        <v>-0.19392741116290271</v>
      </c>
    </row>
    <row r="510" spans="1:26" ht="20.100000000000001" customHeight="1" x14ac:dyDescent="0.2">
      <c r="A510" s="801">
        <f t="shared" si="216"/>
        <v>801</v>
      </c>
      <c r="B510" s="820">
        <v>43034</v>
      </c>
      <c r="C510" s="845">
        <v>2560.4</v>
      </c>
      <c r="D510" s="817">
        <f t="shared" si="239"/>
        <v>1.270946170541423E-3</v>
      </c>
      <c r="E510" s="844">
        <f t="shared" si="232"/>
        <v>0.21782310077814351</v>
      </c>
      <c r="F510" s="841">
        <v>6556.77</v>
      </c>
      <c r="G510" s="817">
        <f t="shared" si="240"/>
        <v>-1.0847226263694075E-3</v>
      </c>
      <c r="H510" s="822">
        <f t="shared" si="233"/>
        <v>0.28773690515937717</v>
      </c>
      <c r="I510" s="824">
        <v>305919.12</v>
      </c>
      <c r="J510" s="825">
        <v>300000</v>
      </c>
      <c r="K510" s="825">
        <f t="shared" si="234"/>
        <v>-785.84000000002561</v>
      </c>
      <c r="L510" s="817">
        <f t="shared" si="235"/>
        <v>-2.5622017981059893E-3</v>
      </c>
      <c r="M510" s="842">
        <f t="shared" si="236"/>
        <v>5919.1199999999953</v>
      </c>
      <c r="N510" s="827">
        <f t="shared" si="217"/>
        <v>1.9730399999999985E-2</v>
      </c>
      <c r="O510" s="811">
        <f t="shared" si="218"/>
        <v>8.9969146067415667E-3</v>
      </c>
      <c r="P510" s="842" t="b">
        <f t="shared" si="237"/>
        <v>0</v>
      </c>
      <c r="Q510" s="827">
        <f>COUNTIF(P$2:P510, TRUE)/(COUNTIF(P$2:P510,FALSE) + COUNTIF(P$2:P510, TRUE))</f>
        <v>0.47937131630648327</v>
      </c>
      <c r="R510" s="825">
        <v>256825.7</v>
      </c>
      <c r="S510" s="825">
        <f t="shared" si="238"/>
        <v>49093.419999999984</v>
      </c>
      <c r="T510" s="825">
        <v>-42976</v>
      </c>
      <c r="U510" s="825">
        <f t="shared" si="223"/>
        <v>48895.119999999995</v>
      </c>
      <c r="V510" s="827">
        <f>STDEV(D$2:D510)*SQRT(252)</f>
        <v>0.13943783652554134</v>
      </c>
      <c r="W510" s="827">
        <f>STDEV(L$2:L510)*SQRT(252)</f>
        <v>0.29985648816309529</v>
      </c>
      <c r="X510" s="826">
        <f t="shared" si="224"/>
        <v>0.71232962871541616</v>
      </c>
      <c r="Y510" s="826">
        <f t="shared" si="225"/>
        <v>3.0004068485748572E-2</v>
      </c>
      <c r="Z510" s="832">
        <f t="shared" si="226"/>
        <v>-0.19809270077814353</v>
      </c>
    </row>
    <row r="511" spans="1:26" ht="20.100000000000001" customHeight="1" x14ac:dyDescent="0.2">
      <c r="A511" s="801">
        <f t="shared" si="216"/>
        <v>802</v>
      </c>
      <c r="B511" s="820">
        <v>43035</v>
      </c>
      <c r="C511" s="845">
        <v>2581.0700000000002</v>
      </c>
      <c r="D511" s="817">
        <f t="shared" si="239"/>
        <v>8.0729573504140263E-3</v>
      </c>
      <c r="E511" s="844">
        <f t="shared" si="232"/>
        <v>0.22765453473107441</v>
      </c>
      <c r="F511" s="841">
        <v>6701.26</v>
      </c>
      <c r="G511" s="817">
        <f t="shared" si="240"/>
        <v>2.2036765053524796E-2</v>
      </c>
      <c r="H511" s="822">
        <f t="shared" si="233"/>
        <v>0.31611446078912747</v>
      </c>
      <c r="I511" s="824">
        <v>305278.40999999997</v>
      </c>
      <c r="J511" s="825">
        <v>300000</v>
      </c>
      <c r="K511" s="825">
        <f t="shared" si="234"/>
        <v>-640.71000000002095</v>
      </c>
      <c r="L511" s="817">
        <f t="shared" si="235"/>
        <v>-2.0943771020262513E-3</v>
      </c>
      <c r="M511" s="842">
        <f t="shared" si="236"/>
        <v>5278.4099999999744</v>
      </c>
      <c r="N511" s="827">
        <f t="shared" si="217"/>
        <v>1.7594699999999915E-2</v>
      </c>
      <c r="O511" s="811">
        <f t="shared" si="218"/>
        <v>8.0130475997505848E-3</v>
      </c>
      <c r="P511" s="842" t="b">
        <f t="shared" si="237"/>
        <v>0</v>
      </c>
      <c r="Q511" s="827">
        <f>COUNTIF(P$2:P511, TRUE)/(COUNTIF(P$2:P511,FALSE) + COUNTIF(P$2:P511, TRUE))</f>
        <v>0.47843137254901963</v>
      </c>
      <c r="R511" s="825">
        <v>259252.8</v>
      </c>
      <c r="S511" s="825">
        <f t="shared" si="238"/>
        <v>46025.609999999986</v>
      </c>
      <c r="T511" s="825">
        <v>-43407</v>
      </c>
      <c r="U511" s="825">
        <f t="shared" si="223"/>
        <v>48685.409999999974</v>
      </c>
      <c r="V511" s="827">
        <f>STDEV(D$2:D511)*SQRT(252)</f>
        <v>0.13940439146779132</v>
      </c>
      <c r="W511" s="827">
        <f>STDEV(L$2:L511)*SQRT(252)</f>
        <v>0.2995662631727638</v>
      </c>
      <c r="X511" s="826">
        <f t="shared" si="224"/>
        <v>0.74373069677729886</v>
      </c>
      <c r="Y511" s="826">
        <f t="shared" si="225"/>
        <v>2.6748831844022953E-2</v>
      </c>
      <c r="Z511" s="832">
        <f t="shared" si="226"/>
        <v>-0.21005983473107451</v>
      </c>
    </row>
    <row r="512" spans="1:26" ht="20.100000000000001" customHeight="1" x14ac:dyDescent="0.2">
      <c r="A512" s="801">
        <f t="shared" si="216"/>
        <v>805</v>
      </c>
      <c r="B512" s="820">
        <v>43038</v>
      </c>
      <c r="C512" s="845">
        <v>2572.83</v>
      </c>
      <c r="D512" s="817">
        <f t="shared" si="239"/>
        <v>-3.1924744388955881E-3</v>
      </c>
      <c r="E512" s="844">
        <f t="shared" si="232"/>
        <v>0.22373527900915122</v>
      </c>
      <c r="F512" s="841">
        <v>6698.96</v>
      </c>
      <c r="G512" s="817">
        <f t="shared" si="240"/>
        <v>-3.4321903642004365E-4</v>
      </c>
      <c r="H512" s="822">
        <f t="shared" si="233"/>
        <v>0.31566274525207694</v>
      </c>
      <c r="I512" s="824">
        <v>307777.62</v>
      </c>
      <c r="J512" s="825">
        <v>300000</v>
      </c>
      <c r="K512" s="825">
        <f t="shared" si="234"/>
        <v>2499.210000000021</v>
      </c>
      <c r="L512" s="817">
        <f t="shared" si="235"/>
        <v>8.1866582048826225E-3</v>
      </c>
      <c r="M512" s="842">
        <f t="shared" si="236"/>
        <v>7777.6199999999953</v>
      </c>
      <c r="N512" s="827">
        <f t="shared" si="217"/>
        <v>2.5925399999999984E-2</v>
      </c>
      <c r="O512" s="811">
        <f t="shared" si="218"/>
        <v>1.176304639751552E-2</v>
      </c>
      <c r="P512" s="842" t="b">
        <f t="shared" si="237"/>
        <v>1</v>
      </c>
      <c r="Q512" s="827">
        <f>COUNTIF(P$2:P512, TRUE)/(COUNTIF(P$2:P512,FALSE) + COUNTIF(P$2:P512, TRUE))</f>
        <v>0.47945205479452052</v>
      </c>
      <c r="R512" s="825">
        <v>261741.38</v>
      </c>
      <c r="S512" s="825">
        <f t="shared" si="238"/>
        <v>46036.239999999991</v>
      </c>
      <c r="T512" s="825">
        <v>-43230</v>
      </c>
      <c r="U512" s="825">
        <f t="shared" si="223"/>
        <v>51007.619999999995</v>
      </c>
      <c r="V512" s="827">
        <f>STDEV(D$2:D512)*SQRT(252)</f>
        <v>0.13929080890854997</v>
      </c>
      <c r="W512" s="827">
        <f>STDEV(L$2:L512)*SQRT(252)</f>
        <v>0.29932223329084218</v>
      </c>
      <c r="X512" s="826">
        <f t="shared" si="224"/>
        <v>0.7287966264278648</v>
      </c>
      <c r="Y512" s="826">
        <f t="shared" si="225"/>
        <v>3.9298939701835414E-2</v>
      </c>
      <c r="Z512" s="832">
        <f t="shared" si="226"/>
        <v>-0.19780987900915123</v>
      </c>
    </row>
    <row r="513" spans="1:26" ht="20.100000000000001" customHeight="1" x14ac:dyDescent="0.2">
      <c r="A513" s="801">
        <f t="shared" ref="A513:A546" si="241">B513-$B$2</f>
        <v>806</v>
      </c>
      <c r="B513" s="820">
        <v>43039</v>
      </c>
      <c r="C513" s="845">
        <v>2575.2600000000002</v>
      </c>
      <c r="D513" s="817">
        <f t="shared" si="239"/>
        <v>9.4448525553584618E-4</v>
      </c>
      <c r="E513" s="844">
        <f t="shared" si="232"/>
        <v>0.22489107893685439</v>
      </c>
      <c r="F513" s="841">
        <v>6727.66</v>
      </c>
      <c r="G513" s="817">
        <f t="shared" si="240"/>
        <v>4.2842471070135991E-3</v>
      </c>
      <c r="H513" s="822">
        <f t="shared" si="233"/>
        <v>0.32129936956222876</v>
      </c>
      <c r="I513" s="847">
        <v>309994</v>
      </c>
      <c r="J513" s="825">
        <v>300000</v>
      </c>
      <c r="K513" s="825">
        <f t="shared" si="234"/>
        <v>2216.3800000000047</v>
      </c>
      <c r="L513" s="817">
        <f t="shared" si="235"/>
        <v>7.2012383486492774E-3</v>
      </c>
      <c r="M513" s="847">
        <f t="shared" si="236"/>
        <v>9994</v>
      </c>
      <c r="N513" s="827">
        <f t="shared" ref="N513:N576" si="242">M513/J513</f>
        <v>3.3313333333333334E-2</v>
      </c>
      <c r="O513" s="811">
        <f t="shared" si="218"/>
        <v>1.5096395781637717E-2</v>
      </c>
      <c r="P513" s="842" t="b">
        <f t="shared" si="237"/>
        <v>1</v>
      </c>
      <c r="Q513" s="827">
        <f>COUNTIF(P$2:P513, TRUE)/(COUNTIF(P$2:P513,FALSE) + COUNTIF(P$2:P513, TRUE))</f>
        <v>0.48046875</v>
      </c>
      <c r="R513" s="825">
        <v>263957.76000000001</v>
      </c>
      <c r="S513" s="825">
        <f t="shared" si="238"/>
        <v>46036.239999999991</v>
      </c>
      <c r="T513" s="825">
        <v>-43049</v>
      </c>
      <c r="U513" s="825">
        <f t="shared" si="223"/>
        <v>53043</v>
      </c>
      <c r="V513" s="827">
        <f>STDEV(D$2:D513)*SQRT(252)</f>
        <v>0.13915464346541059</v>
      </c>
      <c r="W513" s="827">
        <f>STDEV(L$2:L513)*SQRT(252)</f>
        <v>0.29906689628726874</v>
      </c>
      <c r="X513" s="826">
        <f t="shared" si="224"/>
        <v>0.73236858661330961</v>
      </c>
      <c r="Y513" s="826">
        <f t="shared" si="225"/>
        <v>5.0478324311550929E-2</v>
      </c>
      <c r="Z513" s="832">
        <f t="shared" si="226"/>
        <v>-0.19157774560352106</v>
      </c>
    </row>
    <row r="514" spans="1:26" ht="20.100000000000001" customHeight="1" x14ac:dyDescent="0.2">
      <c r="A514" s="801">
        <f t="shared" si="241"/>
        <v>807</v>
      </c>
      <c r="B514" s="820">
        <v>43040</v>
      </c>
      <c r="C514" s="845">
        <v>2579.36</v>
      </c>
      <c r="D514" s="817">
        <f t="shared" si="239"/>
        <v>1.5920722567818041E-3</v>
      </c>
      <c r="E514" s="844">
        <f t="shared" si="232"/>
        <v>0.22684119404120928</v>
      </c>
      <c r="F514" s="841">
        <v>6716.53</v>
      </c>
      <c r="G514" s="817">
        <f t="shared" si="240"/>
        <v>-1.6543642217353596E-3</v>
      </c>
      <c r="H514" s="822">
        <f t="shared" si="233"/>
        <v>0.3191134591590235</v>
      </c>
      <c r="I514" s="824">
        <v>314097.48</v>
      </c>
      <c r="J514" s="825">
        <v>300000</v>
      </c>
      <c r="K514" s="825">
        <f t="shared" si="234"/>
        <v>4103.4799999999814</v>
      </c>
      <c r="L514" s="817">
        <f t="shared" si="235"/>
        <v>1.3237288463647624E-2</v>
      </c>
      <c r="M514" s="842">
        <f t="shared" si="236"/>
        <v>14097.479999999981</v>
      </c>
      <c r="N514" s="827">
        <f t="shared" si="242"/>
        <v>4.6991599999999939E-2</v>
      </c>
      <c r="O514" s="811">
        <f t="shared" si="218"/>
        <v>2.1268502973977668E-2</v>
      </c>
      <c r="P514" s="842" t="b">
        <f t="shared" si="237"/>
        <v>1</v>
      </c>
      <c r="Q514" s="827">
        <f>COUNTIF(P$2:P514, TRUE)/(COUNTIF(P$2:P514,FALSE) + COUNTIF(P$2:P514, TRUE))</f>
        <v>0.48148148148148145</v>
      </c>
      <c r="R514" s="825">
        <v>254959.6</v>
      </c>
      <c r="S514" s="825">
        <f t="shared" si="238"/>
        <v>59137.879999999976</v>
      </c>
      <c r="T514" s="825"/>
      <c r="U514" s="825"/>
      <c r="V514" s="827">
        <f>STDEV(D$2:D514)*SQRT(252)</f>
        <v>0.13902078631505016</v>
      </c>
      <c r="W514" s="827">
        <f>STDEV(L$2:L514)*SQRT(252)</f>
        <v>0.29890977574603156</v>
      </c>
      <c r="X514" s="826">
        <f t="shared" si="224"/>
        <v>0.73851424027965751</v>
      </c>
      <c r="Y514" s="826">
        <f t="shared" si="225"/>
        <v>7.1153587803861038E-2</v>
      </c>
      <c r="Z514" s="832">
        <f t="shared" si="226"/>
        <v>-0.17984959404120934</v>
      </c>
    </row>
    <row r="515" spans="1:26" ht="20.100000000000001" customHeight="1" x14ac:dyDescent="0.2">
      <c r="A515" s="801">
        <f t="shared" si="241"/>
        <v>808</v>
      </c>
      <c r="B515" s="820">
        <v>43041</v>
      </c>
      <c r="C515" s="845">
        <v>2579.85</v>
      </c>
      <c r="D515" s="817">
        <f t="shared" si="239"/>
        <v>1.8996960486313726E-4</v>
      </c>
      <c r="E515" s="844">
        <f t="shared" si="232"/>
        <v>0.22707425657807112</v>
      </c>
      <c r="F515" s="841">
        <v>6714.94</v>
      </c>
      <c r="G515" s="817">
        <f t="shared" si="240"/>
        <v>-2.3672938258299233E-4</v>
      </c>
      <c r="H515" s="822">
        <f t="shared" si="233"/>
        <v>0.31880118624427989</v>
      </c>
      <c r="I515" s="824">
        <v>315145.06</v>
      </c>
      <c r="J515" s="825">
        <v>300000</v>
      </c>
      <c r="K515" s="825">
        <f t="shared" si="234"/>
        <v>1047.5800000000163</v>
      </c>
      <c r="L515" s="817">
        <f t="shared" si="235"/>
        <v>3.3352066371242976E-3</v>
      </c>
      <c r="M515" s="842">
        <f t="shared" si="236"/>
        <v>15145.059999999998</v>
      </c>
      <c r="N515" s="827">
        <f t="shared" si="242"/>
        <v>5.0483533333333323E-2</v>
      </c>
      <c r="O515" s="811">
        <f t="shared" si="218"/>
        <v>2.2820681373762371E-2</v>
      </c>
      <c r="P515" s="842" t="b">
        <f t="shared" si="237"/>
        <v>1</v>
      </c>
      <c r="Q515" s="827">
        <f>COUNTIF(P$2:P515, TRUE)/(COUNTIF(P$2:P515,FALSE) + COUNTIF(P$2:P515, TRUE))</f>
        <v>0.48249027237354086</v>
      </c>
      <c r="R515" s="825">
        <v>261523.18</v>
      </c>
      <c r="S515" s="825">
        <f t="shared" si="238"/>
        <v>53621.880000000005</v>
      </c>
      <c r="T515" s="825">
        <v>-42858</v>
      </c>
      <c r="U515" s="825">
        <f t="shared" ref="U515:U538" si="243">M515-T515</f>
        <v>58003.06</v>
      </c>
      <c r="V515" s="827">
        <f>STDEV(D$2:D515)*SQRT(252)</f>
        <v>0.13888506589975202</v>
      </c>
      <c r="W515" s="827">
        <f>STDEV(L$2:L515)*SQRT(252)</f>
        <v>0.29862468189332236</v>
      </c>
      <c r="X515" s="826">
        <f t="shared" si="224"/>
        <v>0.73907960091429403</v>
      </c>
      <c r="Y515" s="826">
        <f t="shared" si="225"/>
        <v>7.6419273949748734E-2</v>
      </c>
      <c r="Z515" s="832">
        <f t="shared" si="226"/>
        <v>-0.17659072324473779</v>
      </c>
    </row>
    <row r="516" spans="1:26" ht="20.100000000000001" customHeight="1" x14ac:dyDescent="0.2">
      <c r="A516" s="801">
        <f t="shared" si="241"/>
        <v>809</v>
      </c>
      <c r="B516" s="820">
        <v>43042</v>
      </c>
      <c r="C516" s="845">
        <v>2587.84</v>
      </c>
      <c r="D516" s="817">
        <f t="shared" si="239"/>
        <v>3.0970792875555696E-3</v>
      </c>
      <c r="E516" s="844">
        <f t="shared" si="232"/>
        <v>0.23087460284241171</v>
      </c>
      <c r="F516" s="841">
        <v>6764.43</v>
      </c>
      <c r="G516" s="817">
        <f t="shared" si="240"/>
        <v>7.3701328679036142E-3</v>
      </c>
      <c r="H516" s="822">
        <f t="shared" si="233"/>
        <v>0.32852092621324913</v>
      </c>
      <c r="I516" s="824">
        <v>316040.12</v>
      </c>
      <c r="J516" s="825">
        <v>300000</v>
      </c>
      <c r="K516" s="825">
        <f t="shared" si="234"/>
        <v>895.05999999999767</v>
      </c>
      <c r="L516" s="817">
        <f t="shared" si="235"/>
        <v>2.8401524047370367E-3</v>
      </c>
      <c r="M516" s="842">
        <f t="shared" si="236"/>
        <v>16040.119999999995</v>
      </c>
      <c r="N516" s="827">
        <f t="shared" si="242"/>
        <v>5.3467066666666653E-2</v>
      </c>
      <c r="O516" s="811">
        <f t="shared" si="218"/>
        <v>2.4139488380716927E-2</v>
      </c>
      <c r="P516" s="842" t="b">
        <f t="shared" si="237"/>
        <v>0</v>
      </c>
      <c r="Q516" s="827">
        <f>COUNTIF(P$2:P516, TRUE)/(COUNTIF(P$2:P516,FALSE) + COUNTIF(P$2:P516, TRUE))</f>
        <v>0.48155339805825242</v>
      </c>
      <c r="R516" s="825">
        <v>252880.46</v>
      </c>
      <c r="S516" s="825">
        <f t="shared" si="238"/>
        <v>63159.66</v>
      </c>
      <c r="T516" s="825">
        <v>-42866</v>
      </c>
      <c r="U516" s="825">
        <f t="shared" si="243"/>
        <v>58906.119999999995</v>
      </c>
      <c r="V516" s="827">
        <f>STDEV(D$2:D516)*SQRT(252)</f>
        <v>0.13876213440493015</v>
      </c>
      <c r="W516" s="827">
        <f>STDEV(L$2:L516)*SQRT(252)</f>
        <v>0.29833824227628286</v>
      </c>
      <c r="X516" s="826">
        <f t="shared" si="224"/>
        <v>0.75118497538201423</v>
      </c>
      <c r="Y516" s="826">
        <f t="shared" si="225"/>
        <v>8.0913154802199336E-2</v>
      </c>
      <c r="Z516" s="832">
        <f t="shared" si="226"/>
        <v>-0.17740753617574506</v>
      </c>
    </row>
    <row r="517" spans="1:26" ht="20.100000000000001" customHeight="1" x14ac:dyDescent="0.2">
      <c r="A517" s="801">
        <f t="shared" si="241"/>
        <v>812</v>
      </c>
      <c r="B517" s="820">
        <v>43045</v>
      </c>
      <c r="C517" s="845">
        <v>2591.13</v>
      </c>
      <c r="D517" s="817">
        <f t="shared" si="239"/>
        <v>1.2713305304810048E-3</v>
      </c>
      <c r="E517" s="844">
        <f t="shared" si="232"/>
        <v>0.23243945130419896</v>
      </c>
      <c r="F517" s="841">
        <v>6786.43</v>
      </c>
      <c r="G517" s="817">
        <f t="shared" si="240"/>
        <v>3.2523065505888891E-3</v>
      </c>
      <c r="H517" s="822">
        <f t="shared" si="233"/>
        <v>0.33284168352416688</v>
      </c>
      <c r="I517" s="824">
        <v>319399.58</v>
      </c>
      <c r="J517" s="825">
        <v>300000</v>
      </c>
      <c r="K517" s="825">
        <f t="shared" si="234"/>
        <v>3359.460000000021</v>
      </c>
      <c r="L517" s="817">
        <f t="shared" si="235"/>
        <v>1.0629852943987052E-2</v>
      </c>
      <c r="M517" s="842">
        <f t="shared" si="236"/>
        <v>19399.580000000016</v>
      </c>
      <c r="N517" s="827">
        <f t="shared" si="242"/>
        <v>6.4665266666666721E-2</v>
      </c>
      <c r="O517" s="811">
        <f t="shared" si="218"/>
        <v>2.9087424445812832E-2</v>
      </c>
      <c r="P517" s="842" t="b">
        <f t="shared" si="237"/>
        <v>1</v>
      </c>
      <c r="Q517" s="827">
        <f>COUNTIF(P$2:P517, TRUE)/(COUNTIF(P$2:P517,FALSE) + COUNTIF(P$2:P517, TRUE))</f>
        <v>0.48255813953488375</v>
      </c>
      <c r="R517" s="825">
        <v>271370.62</v>
      </c>
      <c r="S517" s="825">
        <f t="shared" si="238"/>
        <v>48028.960000000021</v>
      </c>
      <c r="T517" s="825">
        <v>-42964</v>
      </c>
      <c r="U517" s="825">
        <f t="shared" si="243"/>
        <v>62363.580000000016</v>
      </c>
      <c r="V517" s="827">
        <f>STDEV(D$2:D517)*SQRT(252)</f>
        <v>0.1386282991301003</v>
      </c>
      <c r="W517" s="827">
        <f>STDEV(L$2:L517)*SQRT(252)</f>
        <v>0.29813314270213698</v>
      </c>
      <c r="X517" s="826">
        <f t="shared" si="224"/>
        <v>0.75420974952943309</v>
      </c>
      <c r="Y517" s="826">
        <f t="shared" si="225"/>
        <v>9.7565215937343477E-2</v>
      </c>
      <c r="Z517" s="832">
        <f t="shared" si="226"/>
        <v>-0.16777418463753224</v>
      </c>
    </row>
    <row r="518" spans="1:26" ht="20.100000000000001" customHeight="1" x14ac:dyDescent="0.2">
      <c r="A518" s="801">
        <f t="shared" si="241"/>
        <v>813</v>
      </c>
      <c r="B518" s="820">
        <v>43046</v>
      </c>
      <c r="C518" s="845">
        <v>2590.64</v>
      </c>
      <c r="D518" s="817">
        <f t="shared" si="239"/>
        <v>-1.891066831846478E-4</v>
      </c>
      <c r="E518" s="844">
        <f t="shared" si="232"/>
        <v>0.2322063887673369</v>
      </c>
      <c r="F518" s="841">
        <v>6767.78</v>
      </c>
      <c r="G518" s="817">
        <f t="shared" si="240"/>
        <v>-2.7481311971096064E-3</v>
      </c>
      <c r="H518" s="822">
        <f t="shared" si="233"/>
        <v>0.32917885971286603</v>
      </c>
      <c r="I518" s="824">
        <v>318506.81</v>
      </c>
      <c r="J518" s="825">
        <v>300000</v>
      </c>
      <c r="K518" s="825">
        <f t="shared" si="234"/>
        <v>-892.77000000001863</v>
      </c>
      <c r="L518" s="817">
        <f t="shared" si="235"/>
        <v>-2.7951508264350837E-3</v>
      </c>
      <c r="M518" s="842">
        <f t="shared" si="236"/>
        <v>18506.809999999998</v>
      </c>
      <c r="N518" s="827">
        <f t="shared" si="242"/>
        <v>6.1689366666666662E-2</v>
      </c>
      <c r="O518" s="811">
        <f t="shared" si="218"/>
        <v>2.7714687792127921E-2</v>
      </c>
      <c r="P518" s="842" t="b">
        <f t="shared" si="237"/>
        <v>0</v>
      </c>
      <c r="Q518" s="827">
        <f>COUNTIF(P$2:P518, TRUE)/(COUNTIF(P$2:P518,FALSE) + COUNTIF(P$2:P518, TRUE))</f>
        <v>0.48162475822050288</v>
      </c>
      <c r="R518" s="825">
        <v>271371.62</v>
      </c>
      <c r="S518" s="825">
        <f t="shared" si="238"/>
        <v>47135.19</v>
      </c>
      <c r="T518" s="825">
        <v>-42963</v>
      </c>
      <c r="U518" s="825">
        <f t="shared" si="243"/>
        <v>61469.81</v>
      </c>
      <c r="V518" s="827">
        <f>STDEV(D$2:D518)*SQRT(252)</f>
        <v>0.1384943496004884</v>
      </c>
      <c r="W518" s="827">
        <f>STDEV(L$2:L518)*SQRT(252)</f>
        <v>0.29785222799898087</v>
      </c>
      <c r="X518" s="826">
        <f t="shared" si="224"/>
        <v>0.75325459282364204</v>
      </c>
      <c r="Y518" s="826">
        <f t="shared" si="225"/>
        <v>9.3048448817454374E-2</v>
      </c>
      <c r="Z518" s="832">
        <f t="shared" si="226"/>
        <v>-0.17051702210067024</v>
      </c>
    </row>
    <row r="519" spans="1:26" ht="20.100000000000001" customHeight="1" x14ac:dyDescent="0.2">
      <c r="A519" s="801">
        <f t="shared" si="241"/>
        <v>814</v>
      </c>
      <c r="B519" s="820">
        <v>43047</v>
      </c>
      <c r="C519" s="845">
        <v>2594.38</v>
      </c>
      <c r="D519" s="817">
        <f t="shared" si="239"/>
        <v>1.4436587098169706E-3</v>
      </c>
      <c r="E519" s="844">
        <f t="shared" si="232"/>
        <v>0.23398527425277299</v>
      </c>
      <c r="F519" s="841">
        <v>6789.11</v>
      </c>
      <c r="G519" s="817">
        <f t="shared" si="240"/>
        <v>3.1516981934991872E-3</v>
      </c>
      <c r="H519" s="822">
        <f t="shared" si="233"/>
        <v>0.33336803032386036</v>
      </c>
      <c r="I519" s="824">
        <v>317938.40999999997</v>
      </c>
      <c r="J519" s="825">
        <v>300000</v>
      </c>
      <c r="K519" s="825">
        <f t="shared" si="234"/>
        <v>-568.40000000002328</v>
      </c>
      <c r="L519" s="817">
        <f t="shared" si="235"/>
        <v>-1.7845772277208869E-3</v>
      </c>
      <c r="M519" s="842">
        <f t="shared" si="236"/>
        <v>17938.409999999974</v>
      </c>
      <c r="N519" s="827">
        <f t="shared" si="242"/>
        <v>5.9794699999999916E-2</v>
      </c>
      <c r="O519" s="811">
        <f t="shared" ref="O519:O546" si="244">N519/(A519/365.25)</f>
        <v>2.6830484244471708E-2</v>
      </c>
      <c r="P519" s="842" t="b">
        <f t="shared" si="237"/>
        <v>0</v>
      </c>
      <c r="Q519" s="827">
        <f>COUNTIF(P$2:P519, TRUE)/(COUNTIF(P$2:P519,FALSE) + COUNTIF(P$2:P519, TRUE))</f>
        <v>0.48069498069498068</v>
      </c>
      <c r="R519" s="825">
        <v>271372.62</v>
      </c>
      <c r="S519" s="825">
        <f t="shared" si="238"/>
        <v>46565.789999999979</v>
      </c>
      <c r="T519" s="825">
        <v>-42962</v>
      </c>
      <c r="U519" s="825">
        <f t="shared" si="243"/>
        <v>60900.409999999974</v>
      </c>
      <c r="V519" s="827">
        <f>STDEV(D$2:D519)*SQRT(252)</f>
        <v>0.13836184953741584</v>
      </c>
      <c r="W519" s="827">
        <f>STDEV(L$2:L519)*SQRT(252)</f>
        <v>0.29756756692220915</v>
      </c>
      <c r="X519" s="826">
        <f t="shared" si="224"/>
        <v>0.75881863395185201</v>
      </c>
      <c r="Y519" s="826">
        <f t="shared" si="225"/>
        <v>9.0166023542094562E-2</v>
      </c>
      <c r="Z519" s="832">
        <f t="shared" si="226"/>
        <v>-0.17419057425277307</v>
      </c>
    </row>
    <row r="520" spans="1:26" ht="20.100000000000001" customHeight="1" x14ac:dyDescent="0.2">
      <c r="A520" s="801">
        <f t="shared" si="241"/>
        <v>815</v>
      </c>
      <c r="B520" s="820">
        <v>43048</v>
      </c>
      <c r="C520" s="845">
        <v>2584.62</v>
      </c>
      <c r="D520" s="817">
        <f t="shared" si="239"/>
        <v>-3.761977813581749E-3</v>
      </c>
      <c r="E520" s="844">
        <f t="shared" si="232"/>
        <v>0.22934304902874747</v>
      </c>
      <c r="F520" s="841">
        <v>6750.05</v>
      </c>
      <c r="G520" s="817">
        <f t="shared" si="240"/>
        <v>-5.7533314381413014E-3</v>
      </c>
      <c r="H520" s="822">
        <f t="shared" si="233"/>
        <v>0.32569672211638556</v>
      </c>
      <c r="I520" s="824">
        <v>318455.09000000003</v>
      </c>
      <c r="J520" s="825">
        <v>300000</v>
      </c>
      <c r="K520" s="825">
        <f t="shared" si="234"/>
        <v>516.68000000005122</v>
      </c>
      <c r="L520" s="817">
        <f t="shared" si="235"/>
        <v>1.6250946213137672E-3</v>
      </c>
      <c r="M520" s="842">
        <f t="shared" si="236"/>
        <v>18455.090000000026</v>
      </c>
      <c r="N520" s="827">
        <f t="shared" si="242"/>
        <v>6.1516966666666749E-2</v>
      </c>
      <c r="O520" s="811">
        <f t="shared" si="244"/>
        <v>2.7569413588957092E-2</v>
      </c>
      <c r="P520" s="842" t="b">
        <f t="shared" si="237"/>
        <v>1</v>
      </c>
      <c r="Q520" s="827">
        <f>COUNTIF(P$2:P520, TRUE)/(COUNTIF(P$2:P520,FALSE) + COUNTIF(P$2:P520, TRUE))</f>
        <v>0.48169556840077071</v>
      </c>
      <c r="R520" s="825">
        <v>267251.76</v>
      </c>
      <c r="S520" s="825">
        <f t="shared" si="238"/>
        <v>51203.330000000016</v>
      </c>
      <c r="T520" s="825">
        <v>-41764</v>
      </c>
      <c r="U520" s="825">
        <f t="shared" si="243"/>
        <v>60219.090000000026</v>
      </c>
      <c r="V520" s="827">
        <f>STDEV(D$2:D520)*SQRT(252)</f>
        <v>0.13825910776296965</v>
      </c>
      <c r="W520" s="827">
        <f>STDEV(L$2:L520)*SQRT(252)</f>
        <v>0.29728077984751194</v>
      </c>
      <c r="X520" s="826">
        <f t="shared" si="224"/>
        <v>0.74340323726033974</v>
      </c>
      <c r="Y520" s="826">
        <f t="shared" si="225"/>
        <v>9.2738634509431206E-2</v>
      </c>
      <c r="Z520" s="832">
        <f t="shared" si="226"/>
        <v>-0.16782608236208071</v>
      </c>
    </row>
    <row r="521" spans="1:26" ht="20.100000000000001" customHeight="1" x14ac:dyDescent="0.2">
      <c r="A521" s="801">
        <f t="shared" si="241"/>
        <v>816</v>
      </c>
      <c r="B521" s="820">
        <v>43049</v>
      </c>
      <c r="C521" s="845">
        <v>2582.3000000000002</v>
      </c>
      <c r="D521" s="817">
        <f t="shared" si="239"/>
        <v>-8.9761744473064085E-4</v>
      </c>
      <c r="E521" s="844">
        <f t="shared" si="232"/>
        <v>0.2282395692623809</v>
      </c>
      <c r="F521" s="841">
        <v>6750.93</v>
      </c>
      <c r="G521" s="817">
        <f t="shared" si="240"/>
        <v>1.3036940467109267E-4</v>
      </c>
      <c r="H521" s="822">
        <f t="shared" si="233"/>
        <v>0.32586955240882232</v>
      </c>
      <c r="I521" s="824">
        <v>318102.55</v>
      </c>
      <c r="J521" s="825">
        <v>300000</v>
      </c>
      <c r="K521" s="825">
        <f t="shared" si="234"/>
        <v>-352.54000000003725</v>
      </c>
      <c r="L521" s="817">
        <f t="shared" si="235"/>
        <v>-1.1070320778984479E-3</v>
      </c>
      <c r="M521" s="842">
        <f t="shared" si="236"/>
        <v>18102.549999999988</v>
      </c>
      <c r="N521" s="827">
        <f t="shared" si="242"/>
        <v>6.0341833333333296E-2</v>
      </c>
      <c r="O521" s="811">
        <f t="shared" si="244"/>
        <v>2.7009625765931359E-2</v>
      </c>
      <c r="P521" s="842" t="b">
        <f t="shared" si="237"/>
        <v>0</v>
      </c>
      <c r="Q521" s="827">
        <f>COUNTIF(P$2:P521, TRUE)/(COUNTIF(P$2:P521,FALSE) + COUNTIF(P$2:P521, TRUE))</f>
        <v>0.48076923076923078</v>
      </c>
      <c r="R521" s="825">
        <v>266899.21999999997</v>
      </c>
      <c r="S521" s="825">
        <f t="shared" si="238"/>
        <v>51203.330000000016</v>
      </c>
      <c r="T521" s="825">
        <v>-41821</v>
      </c>
      <c r="U521" s="825">
        <f t="shared" si="243"/>
        <v>59923.549999999988</v>
      </c>
      <c r="V521" s="827">
        <f>STDEV(D$2:D521)*SQRT(252)</f>
        <v>0.13812871674554664</v>
      </c>
      <c r="W521" s="827">
        <f>STDEV(L$2:L521)*SQRT(252)</f>
        <v>0.29699567117525927</v>
      </c>
      <c r="X521" s="826">
        <f t="shared" si="224"/>
        <v>0.73961724349483016</v>
      </c>
      <c r="Y521" s="826">
        <f t="shared" si="225"/>
        <v>9.0942826402317448E-2</v>
      </c>
      <c r="Z521" s="832">
        <f t="shared" si="226"/>
        <v>-0.16789773592904761</v>
      </c>
    </row>
    <row r="522" spans="1:26" ht="20.100000000000001" customHeight="1" x14ac:dyDescent="0.2">
      <c r="A522" s="801">
        <f t="shared" si="241"/>
        <v>819</v>
      </c>
      <c r="B522" s="820">
        <v>43052</v>
      </c>
      <c r="C522" s="845">
        <v>2584.84</v>
      </c>
      <c r="D522" s="817">
        <f t="shared" si="239"/>
        <v>9.836192541532601E-4</v>
      </c>
      <c r="E522" s="844">
        <f t="shared" si="232"/>
        <v>0.22944768935142029</v>
      </c>
      <c r="F522" s="841">
        <v>6757.59</v>
      </c>
      <c r="G522" s="817">
        <f t="shared" si="240"/>
        <v>9.865307446529374E-4</v>
      </c>
      <c r="H522" s="822">
        <f t="shared" si="233"/>
        <v>0.32717756348567284</v>
      </c>
      <c r="I522" s="824">
        <v>317452.71000000002</v>
      </c>
      <c r="J522" s="825">
        <v>300000</v>
      </c>
      <c r="K522" s="825">
        <f t="shared" si="234"/>
        <v>-649.8399999999674</v>
      </c>
      <c r="L522" s="817">
        <f t="shared" si="235"/>
        <v>-2.0428632213101323E-3</v>
      </c>
      <c r="M522" s="842">
        <f t="shared" si="236"/>
        <v>17452.710000000021</v>
      </c>
      <c r="N522" s="827">
        <f t="shared" si="242"/>
        <v>5.8175700000000073E-2</v>
      </c>
      <c r="O522" s="811">
        <f t="shared" si="244"/>
        <v>2.5944657417582447E-2</v>
      </c>
      <c r="P522" s="842" t="b">
        <f t="shared" si="237"/>
        <v>0</v>
      </c>
      <c r="Q522" s="827">
        <f>COUNTIF(P$2:P522, TRUE)/(COUNTIF(P$2:P522,FALSE) + COUNTIF(P$2:P522, TRUE))</f>
        <v>0.47984644913627639</v>
      </c>
      <c r="R522" s="825">
        <v>265423.46000000002</v>
      </c>
      <c r="S522" s="825">
        <f t="shared" ref="S522:S537" si="245">I522-R522</f>
        <v>52029.25</v>
      </c>
      <c r="T522" s="825">
        <v>-41650</v>
      </c>
      <c r="U522" s="825">
        <f t="shared" si="243"/>
        <v>59102.710000000021</v>
      </c>
      <c r="V522" s="827">
        <f>STDEV(D$2:D522)*SQRT(252)</f>
        <v>0.13799611122091809</v>
      </c>
      <c r="W522" s="827">
        <f>STDEV(L$2:L522)*SQRT(252)</f>
        <v>0.2967144709504862</v>
      </c>
      <c r="X522" s="826">
        <f t="shared" si="224"/>
        <v>0.74152050230680522</v>
      </c>
      <c r="Y522" s="826">
        <f t="shared" si="225"/>
        <v>8.7439811528140551E-2</v>
      </c>
      <c r="Z522" s="832">
        <f t="shared" si="226"/>
        <v>-0.17127198935142021</v>
      </c>
    </row>
    <row r="523" spans="1:26" ht="20.100000000000001" customHeight="1" x14ac:dyDescent="0.2">
      <c r="A523" s="801">
        <f t="shared" si="241"/>
        <v>820</v>
      </c>
      <c r="B523" s="820">
        <v>43053</v>
      </c>
      <c r="C523" s="845">
        <v>2578.87</v>
      </c>
      <c r="D523" s="817">
        <f t="shared" si="239"/>
        <v>-2.309620711533501E-3</v>
      </c>
      <c r="E523" s="844">
        <f t="shared" si="232"/>
        <v>0.22660813150434725</v>
      </c>
      <c r="F523" s="841">
        <v>6737.87</v>
      </c>
      <c r="G523" s="817">
        <f t="shared" si="240"/>
        <v>-2.9182001275603071E-3</v>
      </c>
      <c r="H523" s="822">
        <f t="shared" si="233"/>
        <v>0.32330459375061377</v>
      </c>
      <c r="I523" s="824">
        <v>315348.65000000002</v>
      </c>
      <c r="J523" s="825">
        <v>300000</v>
      </c>
      <c r="K523" s="825">
        <f t="shared" si="234"/>
        <v>-2104.0599999999977</v>
      </c>
      <c r="L523" s="817">
        <f t="shared" si="235"/>
        <v>-6.627947828827788E-3</v>
      </c>
      <c r="M523" s="842">
        <f t="shared" si="236"/>
        <v>15348.650000000023</v>
      </c>
      <c r="N523" s="827">
        <f t="shared" si="242"/>
        <v>5.1162166666666745E-2</v>
      </c>
      <c r="O523" s="811">
        <f t="shared" si="244"/>
        <v>2.2789001676829301E-2</v>
      </c>
      <c r="P523" s="842" t="b">
        <f t="shared" si="237"/>
        <v>0</v>
      </c>
      <c r="Q523" s="827">
        <f>COUNTIF(P$2:P523, TRUE)/(COUNTIF(P$2:P523,FALSE) + COUNTIF(P$2:P523, TRUE))</f>
        <v>0.47892720306513409</v>
      </c>
      <c r="R523" s="825">
        <v>264335.06</v>
      </c>
      <c r="S523" s="825">
        <f t="shared" si="245"/>
        <v>51013.590000000026</v>
      </c>
      <c r="T523" s="825">
        <v>-42023</v>
      </c>
      <c r="U523" s="825">
        <f t="shared" si="243"/>
        <v>57371.650000000023</v>
      </c>
      <c r="V523" s="827">
        <f>STDEV(D$2:D523)*SQRT(252)</f>
        <v>0.13787657219144886</v>
      </c>
      <c r="W523" s="827">
        <f>STDEV(L$2:L523)*SQRT(252)</f>
        <v>0.29646980505097381</v>
      </c>
      <c r="X523" s="826">
        <f t="shared" si="224"/>
        <v>0.73208479075210031</v>
      </c>
      <c r="Y523" s="826">
        <f t="shared" si="225"/>
        <v>7.6867867447449001E-2</v>
      </c>
      <c r="Z523" s="832">
        <f t="shared" si="226"/>
        <v>-0.17544596483768049</v>
      </c>
    </row>
    <row r="524" spans="1:26" ht="20.100000000000001" customHeight="1" x14ac:dyDescent="0.2">
      <c r="A524" s="801">
        <f t="shared" si="241"/>
        <v>821</v>
      </c>
      <c r="B524" s="820">
        <v>43054</v>
      </c>
      <c r="C524" s="845">
        <v>2564.62</v>
      </c>
      <c r="D524" s="817">
        <f t="shared" si="239"/>
        <v>-5.5256759743608636E-3</v>
      </c>
      <c r="E524" s="844">
        <f t="shared" si="232"/>
        <v>0.219830292422138</v>
      </c>
      <c r="F524" s="841">
        <v>6706.2</v>
      </c>
      <c r="G524" s="817">
        <f t="shared" si="240"/>
        <v>-4.7002984622736971E-3</v>
      </c>
      <c r="H524" s="822">
        <f t="shared" si="233"/>
        <v>0.31708466720348805</v>
      </c>
      <c r="I524" s="824">
        <v>313226.95</v>
      </c>
      <c r="J524" s="825">
        <v>300000</v>
      </c>
      <c r="K524" s="825">
        <f t="shared" si="234"/>
        <v>-2121.7000000000116</v>
      </c>
      <c r="L524" s="817">
        <f t="shared" si="235"/>
        <v>-6.7281087139583803E-3</v>
      </c>
      <c r="M524" s="842">
        <f t="shared" si="236"/>
        <v>13226.950000000012</v>
      </c>
      <c r="N524" s="827">
        <f t="shared" si="242"/>
        <v>4.408983333333337E-2</v>
      </c>
      <c r="O524" s="811">
        <f t="shared" si="244"/>
        <v>1.9614874086479918E-2</v>
      </c>
      <c r="P524" s="842" t="b">
        <f t="shared" si="237"/>
        <v>0</v>
      </c>
      <c r="Q524" s="827">
        <f>COUNTIF(P$2:P524, TRUE)/(COUNTIF(P$2:P524,FALSE) + COUNTIF(P$2:P524, TRUE))</f>
        <v>0.47801147227533458</v>
      </c>
      <c r="R524" s="825">
        <v>262213.36</v>
      </c>
      <c r="S524" s="825">
        <f t="shared" si="245"/>
        <v>51013.590000000026</v>
      </c>
      <c r="T524" s="825">
        <v>-42790</v>
      </c>
      <c r="U524" s="825">
        <f t="shared" si="243"/>
        <v>56016.950000000012</v>
      </c>
      <c r="V524" s="827">
        <f>STDEV(D$2:D524)*SQRT(252)</f>
        <v>0.13780632580778587</v>
      </c>
      <c r="W524" s="827">
        <f>STDEV(L$2:L524)*SQRT(252)</f>
        <v>0.29622688136541453</v>
      </c>
      <c r="X524" s="826">
        <f t="shared" si="224"/>
        <v>0.70968471462993621</v>
      </c>
      <c r="Y524" s="826">
        <f t="shared" si="225"/>
        <v>6.6215712753913566E-2</v>
      </c>
      <c r="Z524" s="832">
        <f t="shared" si="226"/>
        <v>-0.17574045908880465</v>
      </c>
    </row>
    <row r="525" spans="1:26" ht="20.100000000000001" customHeight="1" x14ac:dyDescent="0.2">
      <c r="A525" s="801">
        <f t="shared" si="241"/>
        <v>822</v>
      </c>
      <c r="B525" s="820">
        <v>43055</v>
      </c>
      <c r="C525" s="845">
        <v>2585.64</v>
      </c>
      <c r="D525" s="817">
        <f t="shared" si="239"/>
        <v>8.1961460177336146E-3</v>
      </c>
      <c r="E525" s="844">
        <f t="shared" si="232"/>
        <v>0.22982819961568454</v>
      </c>
      <c r="F525" s="841">
        <v>6793.29</v>
      </c>
      <c r="G525" s="817">
        <f t="shared" si="240"/>
        <v>1.2986490113626219E-2</v>
      </c>
      <c r="H525" s="822">
        <f t="shared" si="233"/>
        <v>0.33418897421293481</v>
      </c>
      <c r="I525" s="824">
        <v>314306.15000000002</v>
      </c>
      <c r="J525" s="825">
        <v>300000</v>
      </c>
      <c r="K525" s="825">
        <f t="shared" si="234"/>
        <v>1079.2000000000116</v>
      </c>
      <c r="L525" s="817">
        <f t="shared" ref="L525:L535" si="246">K525/I524</f>
        <v>3.4454251142821894E-3</v>
      </c>
      <c r="M525" s="842">
        <f t="shared" si="236"/>
        <v>14306.150000000023</v>
      </c>
      <c r="N525" s="827">
        <f t="shared" si="242"/>
        <v>4.7687166666666746E-2</v>
      </c>
      <c r="O525" s="811">
        <f t="shared" si="244"/>
        <v>2.1189461830900279E-2</v>
      </c>
      <c r="P525" s="842" t="b">
        <f t="shared" si="237"/>
        <v>0</v>
      </c>
      <c r="Q525" s="827">
        <f>COUNTIF(P$2:P525, TRUE)/(COUNTIF(P$2:P525,FALSE) + COUNTIF(P$2:P525, TRUE))</f>
        <v>0.47709923664122139</v>
      </c>
      <c r="R525" s="825">
        <v>263292.56</v>
      </c>
      <c r="S525" s="825">
        <f t="shared" si="245"/>
        <v>51013.590000000026</v>
      </c>
      <c r="T525" s="825">
        <v>-41450</v>
      </c>
      <c r="U525" s="825">
        <f t="shared" si="243"/>
        <v>55756.150000000023</v>
      </c>
      <c r="V525" s="827">
        <f>STDEV(D$2:D525)*SQRT(252)</f>
        <v>0.13778008469132433</v>
      </c>
      <c r="W525" s="827">
        <f>STDEV(L$2:L525)*SQRT(252)</f>
        <v>0.29595048173151545</v>
      </c>
      <c r="X525" s="826">
        <f t="shared" si="224"/>
        <v>0.74119976794052167</v>
      </c>
      <c r="Y525" s="826">
        <f t="shared" si="225"/>
        <v>7.1597997431621804E-2</v>
      </c>
      <c r="Z525" s="832">
        <f t="shared" si="226"/>
        <v>-0.18214103294901779</v>
      </c>
    </row>
    <row r="526" spans="1:26" ht="20.100000000000001" customHeight="1" x14ac:dyDescent="0.2">
      <c r="A526" s="801">
        <f t="shared" si="241"/>
        <v>823</v>
      </c>
      <c r="B526" s="820">
        <v>43056</v>
      </c>
      <c r="C526" s="845">
        <v>2578.85</v>
      </c>
      <c r="D526" s="817">
        <f t="shared" ref="D526:D535" si="247">(C526-C525)/C525</f>
        <v>-2.626042295137747E-3</v>
      </c>
      <c r="E526" s="844">
        <f t="shared" si="232"/>
        <v>0.22659861874774065</v>
      </c>
      <c r="F526" s="841">
        <v>6782.79</v>
      </c>
      <c r="G526" s="817">
        <f t="shared" ref="G526:G535" si="248">(F526-F525)/F525</f>
        <v>-1.5456428328541841E-3</v>
      </c>
      <c r="H526" s="822">
        <f t="shared" ref="H526:H531" si="249">(F526-F$2)/F$2</f>
        <v>0.33212679458726951</v>
      </c>
      <c r="I526" s="824">
        <v>321104.7</v>
      </c>
      <c r="J526" s="825">
        <v>300000</v>
      </c>
      <c r="K526" s="825">
        <f t="shared" ref="K526:K531" si="250">I526-I525-J526+J525</f>
        <v>6798.5499999999884</v>
      </c>
      <c r="L526" s="817">
        <f t="shared" si="246"/>
        <v>2.1630343536071399E-2</v>
      </c>
      <c r="M526" s="842">
        <f t="shared" si="236"/>
        <v>21104.700000000012</v>
      </c>
      <c r="N526" s="827">
        <f t="shared" si="242"/>
        <v>7.0349000000000037E-2</v>
      </c>
      <c r="O526" s="811">
        <f t="shared" si="244"/>
        <v>3.1221108444714474E-2</v>
      </c>
      <c r="P526" s="842" t="b">
        <f t="shared" si="237"/>
        <v>1</v>
      </c>
      <c r="Q526" s="827">
        <f>COUNTIF(P$2:P526, TRUE)/(COUNTIF(P$2:P526,FALSE) + COUNTIF(P$2:P526, TRUE))</f>
        <v>0.47809523809523807</v>
      </c>
      <c r="R526" s="825">
        <v>265575.21000000002</v>
      </c>
      <c r="S526" s="825">
        <f t="shared" si="245"/>
        <v>55529.489999999991</v>
      </c>
      <c r="T526" s="825">
        <v>-39110</v>
      </c>
      <c r="U526" s="825">
        <f t="shared" si="243"/>
        <v>60214.700000000012</v>
      </c>
      <c r="V526" s="827">
        <f>STDEV(D$2:D526)*SQRT(252)</f>
        <v>0.13766464845192211</v>
      </c>
      <c r="W526" s="827">
        <f>STDEV(L$2:L526)*SQRT(252)</f>
        <v>0.2960330501805109</v>
      </c>
      <c r="X526" s="826">
        <f t="shared" si="224"/>
        <v>0.7305084057202802</v>
      </c>
      <c r="Y526" s="826">
        <f t="shared" si="225"/>
        <v>0.10546494192346734</v>
      </c>
      <c r="Z526" s="832">
        <f t="shared" si="226"/>
        <v>-0.15624961874774063</v>
      </c>
    </row>
    <row r="527" spans="1:26" ht="20.100000000000001" customHeight="1" x14ac:dyDescent="0.2">
      <c r="A527" s="801">
        <f t="shared" si="241"/>
        <v>826</v>
      </c>
      <c r="B527" s="820">
        <v>43059</v>
      </c>
      <c r="C527" s="845">
        <v>2582.14</v>
      </c>
      <c r="D527" s="817">
        <f t="shared" si="247"/>
        <v>1.2757624522558365E-3</v>
      </c>
      <c r="E527" s="844">
        <f t="shared" si="232"/>
        <v>0.22816346720952788</v>
      </c>
      <c r="F527" s="841">
        <v>6790.71</v>
      </c>
      <c r="G527" s="817">
        <f t="shared" si="248"/>
        <v>1.1676610952130425E-3</v>
      </c>
      <c r="H527" s="822">
        <f t="shared" si="249"/>
        <v>0.33368226721919991</v>
      </c>
      <c r="I527" s="824">
        <v>317244.77</v>
      </c>
      <c r="J527" s="825">
        <v>300000</v>
      </c>
      <c r="K527" s="825">
        <f t="shared" si="250"/>
        <v>-3859.929999999993</v>
      </c>
      <c r="L527" s="817">
        <f t="shared" si="246"/>
        <v>-1.2020783252316123E-2</v>
      </c>
      <c r="M527" s="842">
        <f t="shared" si="236"/>
        <v>17244.770000000019</v>
      </c>
      <c r="N527" s="827">
        <f t="shared" si="242"/>
        <v>5.7482566666666728E-2</v>
      </c>
      <c r="O527" s="811">
        <f t="shared" si="244"/>
        <v>2.5418289921307534E-2</v>
      </c>
      <c r="P527" s="842" t="b">
        <f t="shared" si="237"/>
        <v>0</v>
      </c>
      <c r="Q527" s="827">
        <f>COUNTIF(P$2:P527, TRUE)/(COUNTIF(P$2:P527,FALSE) + COUNTIF(P$2:P527, TRUE))</f>
        <v>0.47718631178707227</v>
      </c>
      <c r="R527" s="825">
        <v>269452.65000000002</v>
      </c>
      <c r="S527" s="825">
        <f t="shared" si="245"/>
        <v>47792.119999999995</v>
      </c>
      <c r="T527" s="825">
        <v>-39516</v>
      </c>
      <c r="U527" s="825">
        <f t="shared" si="243"/>
        <v>56760.770000000019</v>
      </c>
      <c r="V527" s="827">
        <f>STDEV(D$2:D527)*SQRT(252)</f>
        <v>0.13753448250442588</v>
      </c>
      <c r="W527" s="827">
        <f>STDEV(L$2:L527)*SQRT(252)</f>
        <v>0.29587683509559043</v>
      </c>
      <c r="X527" s="826">
        <f t="shared" si="224"/>
        <v>0.73357527893202901</v>
      </c>
      <c r="Y527" s="826">
        <f t="shared" si="225"/>
        <v>8.5908347346947647E-2</v>
      </c>
      <c r="Z527" s="832">
        <f t="shared" si="226"/>
        <v>-0.17068090054286114</v>
      </c>
    </row>
    <row r="528" spans="1:26" ht="20.100000000000001" customHeight="1" x14ac:dyDescent="0.2">
      <c r="A528" s="801">
        <f t="shared" si="241"/>
        <v>827</v>
      </c>
      <c r="B528" s="820">
        <v>43060</v>
      </c>
      <c r="C528" s="845">
        <v>2599.0300000000002</v>
      </c>
      <c r="D528" s="817">
        <f t="shared" si="247"/>
        <v>6.5410860758906677E-3</v>
      </c>
      <c r="E528" s="844">
        <f t="shared" si="232"/>
        <v>0.23619699016380974</v>
      </c>
      <c r="F528" s="841">
        <v>6862.47</v>
      </c>
      <c r="G528" s="817">
        <f t="shared" si="248"/>
        <v>1.0567378079758997E-2</v>
      </c>
      <c r="H528" s="822">
        <f t="shared" si="249"/>
        <v>0.34777579197517539</v>
      </c>
      <c r="I528" s="824">
        <v>314456.46999999997</v>
      </c>
      <c r="J528" s="825">
        <v>300000</v>
      </c>
      <c r="K528" s="825">
        <f t="shared" si="250"/>
        <v>-2788.3000000000466</v>
      </c>
      <c r="L528" s="817">
        <f t="shared" si="246"/>
        <v>-8.7891125833218509E-3</v>
      </c>
      <c r="M528" s="842">
        <f t="shared" si="236"/>
        <v>14456.469999999972</v>
      </c>
      <c r="N528" s="827">
        <f t="shared" si="242"/>
        <v>4.818823333333324E-2</v>
      </c>
      <c r="O528" s="811">
        <f t="shared" si="244"/>
        <v>2.1282650816203105E-2</v>
      </c>
      <c r="P528" s="842" t="b">
        <f t="shared" si="237"/>
        <v>0</v>
      </c>
      <c r="Q528" s="827">
        <f>COUNTIF(P$2:P528, TRUE)/(COUNTIF(P$2:P528,FALSE) + COUNTIF(P$2:P528, TRUE))</f>
        <v>0.47628083491461098</v>
      </c>
      <c r="R528" s="825">
        <v>265189.45</v>
      </c>
      <c r="S528" s="825">
        <f t="shared" si="245"/>
        <v>49267.01999999996</v>
      </c>
      <c r="T528" s="825">
        <v>-40292</v>
      </c>
      <c r="U528" s="825">
        <f t="shared" si="243"/>
        <v>54748.469999999972</v>
      </c>
      <c r="V528" s="827">
        <f>STDEV(D$2:D528)*SQRT(252)</f>
        <v>0.1374685486648749</v>
      </c>
      <c r="W528" s="827">
        <f>STDEV(L$2:L528)*SQRT(252)</f>
        <v>0.29566388479473038</v>
      </c>
      <c r="X528" s="826">
        <f t="shared" si="224"/>
        <v>0.75884962980378745</v>
      </c>
      <c r="Y528" s="826">
        <f t="shared" si="225"/>
        <v>7.1982585329888854E-2</v>
      </c>
      <c r="Z528" s="832">
        <f t="shared" si="226"/>
        <v>-0.18800875683047649</v>
      </c>
    </row>
    <row r="529" spans="1:26" ht="20.100000000000001" customHeight="1" x14ac:dyDescent="0.2">
      <c r="A529" s="801">
        <f t="shared" si="241"/>
        <v>828</v>
      </c>
      <c r="B529" s="820">
        <v>43061</v>
      </c>
      <c r="C529" s="845">
        <v>2597.08</v>
      </c>
      <c r="D529" s="817">
        <f t="shared" si="247"/>
        <v>-7.5027991212116545E-4</v>
      </c>
      <c r="E529" s="844">
        <f t="shared" si="232"/>
        <v>0.23526949639466518</v>
      </c>
      <c r="F529" s="841">
        <v>6867.36</v>
      </c>
      <c r="G529" s="817">
        <f t="shared" si="248"/>
        <v>7.1257142107716582E-4</v>
      </c>
      <c r="H529" s="822">
        <f t="shared" si="249"/>
        <v>0.34873617848655653</v>
      </c>
      <c r="I529" s="824">
        <v>318417.02</v>
      </c>
      <c r="J529" s="825">
        <v>300000</v>
      </c>
      <c r="K529" s="825">
        <f t="shared" si="250"/>
        <v>3960.5500000000466</v>
      </c>
      <c r="L529" s="817">
        <f t="shared" si="246"/>
        <v>1.259490701527002E-2</v>
      </c>
      <c r="M529" s="842">
        <f t="shared" si="236"/>
        <v>18417.020000000019</v>
      </c>
      <c r="N529" s="827">
        <f t="shared" si="242"/>
        <v>6.1390066666666729E-2</v>
      </c>
      <c r="O529" s="811">
        <f t="shared" si="244"/>
        <v>2.7080581944444473E-2</v>
      </c>
      <c r="P529" s="842" t="b">
        <f t="shared" si="237"/>
        <v>1</v>
      </c>
      <c r="Q529" s="827">
        <f>COUNTIF(P$2:P529, TRUE)/(COUNTIF(P$2:P529,FALSE) + COUNTIF(P$2:P529, TRUE))</f>
        <v>0.47727272727272729</v>
      </c>
      <c r="R529" s="825">
        <v>269150</v>
      </c>
      <c r="S529" s="825">
        <f t="shared" si="245"/>
        <v>49267.020000000019</v>
      </c>
      <c r="T529" s="825">
        <v>-40272</v>
      </c>
      <c r="U529" s="825">
        <f t="shared" si="243"/>
        <v>58689.020000000019</v>
      </c>
      <c r="V529" s="827">
        <f>STDEV(D$2:D529)*SQRT(252)</f>
        <v>0.13734028165816675</v>
      </c>
      <c r="W529" s="827">
        <f>STDEV(L$2:L529)*SQRT(252)</f>
        <v>0.29550266839423467</v>
      </c>
      <c r="X529" s="826">
        <f t="shared" si="224"/>
        <v>0.75566198882969593</v>
      </c>
      <c r="Y529" s="826">
        <f t="shared" si="225"/>
        <v>9.1642427770959586E-2</v>
      </c>
      <c r="Z529" s="832">
        <f t="shared" si="226"/>
        <v>-0.17387942972799847</v>
      </c>
    </row>
    <row r="530" spans="1:26" ht="20.100000000000001" customHeight="1" x14ac:dyDescent="0.2">
      <c r="A530" s="801">
        <f t="shared" si="241"/>
        <v>830</v>
      </c>
      <c r="B530" s="820">
        <v>43063</v>
      </c>
      <c r="C530" s="845">
        <v>2602.42</v>
      </c>
      <c r="D530" s="817">
        <f t="shared" si="247"/>
        <v>2.0561553744975689E-3</v>
      </c>
      <c r="E530" s="844">
        <f t="shared" si="232"/>
        <v>0.23780940240862997</v>
      </c>
      <c r="F530" s="841">
        <v>6889.16</v>
      </c>
      <c r="G530" s="817">
        <f t="shared" si="248"/>
        <v>3.1744367559004018E-3</v>
      </c>
      <c r="H530" s="822">
        <f t="shared" si="249"/>
        <v>0.35301765618555692</v>
      </c>
      <c r="I530" s="824">
        <v>319044.73</v>
      </c>
      <c r="J530" s="825">
        <v>300000</v>
      </c>
      <c r="K530" s="825">
        <f t="shared" si="250"/>
        <v>627.70999999996275</v>
      </c>
      <c r="L530" s="817">
        <f t="shared" si="246"/>
        <v>1.9713456271902886E-3</v>
      </c>
      <c r="M530" s="842">
        <f t="shared" si="236"/>
        <v>19044.729999999981</v>
      </c>
      <c r="N530" s="827">
        <f t="shared" si="242"/>
        <v>6.3482433333333269E-2</v>
      </c>
      <c r="O530" s="811">
        <f t="shared" si="244"/>
        <v>2.7936094909638529E-2</v>
      </c>
      <c r="P530" s="842" t="b">
        <f t="shared" si="237"/>
        <v>0</v>
      </c>
      <c r="Q530" s="827">
        <f>COUNTIF(P$2:P530, TRUE)/(COUNTIF(P$2:P530,FALSE) + COUNTIF(P$2:P530, TRUE))</f>
        <v>0.47637051039697542</v>
      </c>
      <c r="R530" s="825">
        <v>266201.84999999998</v>
      </c>
      <c r="S530" s="825">
        <f t="shared" si="245"/>
        <v>52842.880000000005</v>
      </c>
      <c r="T530" s="825">
        <v>-39912</v>
      </c>
      <c r="U530" s="825">
        <f t="shared" si="243"/>
        <v>58956.729999999981</v>
      </c>
      <c r="V530" s="827">
        <f>STDEV(D$2:D530)*SQRT(252)</f>
        <v>0.13721446818561206</v>
      </c>
      <c r="W530" s="827">
        <f>STDEV(L$2:L530)*SQRT(252)</f>
        <v>0.29522406153940112</v>
      </c>
      <c r="X530" s="826">
        <f t="shared" si="224"/>
        <v>0.76267804926992055</v>
      </c>
      <c r="Y530" s="826">
        <f t="shared" si="225"/>
        <v>9.4626754892436604E-2</v>
      </c>
      <c r="Z530" s="832">
        <f t="shared" si="226"/>
        <v>-0.17432696907529671</v>
      </c>
    </row>
    <row r="531" spans="1:26" ht="20.100000000000001" customHeight="1" x14ac:dyDescent="0.2">
      <c r="A531" s="801">
        <f t="shared" si="241"/>
        <v>833</v>
      </c>
      <c r="B531" s="820">
        <v>43066</v>
      </c>
      <c r="C531" s="845">
        <v>2601.42</v>
      </c>
      <c r="D531" s="817">
        <f t="shared" si="247"/>
        <v>-3.8425772934422574E-4</v>
      </c>
      <c r="E531" s="844">
        <f t="shared" si="232"/>
        <v>0.23733376457829949</v>
      </c>
      <c r="F531" s="841">
        <v>6878.52</v>
      </c>
      <c r="G531" s="817">
        <f t="shared" si="248"/>
        <v>-1.5444553472410887E-3</v>
      </c>
      <c r="H531" s="822">
        <f t="shared" si="249"/>
        <v>0.35092798083154952</v>
      </c>
      <c r="I531" s="824">
        <v>316554.36</v>
      </c>
      <c r="J531" s="825">
        <v>300000</v>
      </c>
      <c r="K531" s="825">
        <f t="shared" si="250"/>
        <v>-2490.3699999999953</v>
      </c>
      <c r="L531" s="817">
        <f t="shared" si="246"/>
        <v>-7.8057079958662708E-3</v>
      </c>
      <c r="M531" s="842">
        <f t="shared" si="236"/>
        <v>16554.359999999986</v>
      </c>
      <c r="N531" s="827">
        <f t="shared" si="242"/>
        <v>5.5181199999999951E-2</v>
      </c>
      <c r="O531" s="811">
        <f t="shared" si="244"/>
        <v>2.4195598199279689E-2</v>
      </c>
      <c r="P531" s="842" t="b">
        <f t="shared" si="237"/>
        <v>0</v>
      </c>
      <c r="Q531" s="827">
        <f>COUNTIF(P$2:P531, TRUE)/(COUNTIF(P$2:P531,FALSE) + COUNTIF(P$2:P531, TRUE))</f>
        <v>0.47547169811320755</v>
      </c>
      <c r="R531" s="825">
        <v>260753.55</v>
      </c>
      <c r="S531" s="825">
        <f t="shared" si="245"/>
        <v>55800.81</v>
      </c>
      <c r="T531" s="825">
        <v>-39552</v>
      </c>
      <c r="U531" s="825">
        <f t="shared" si="243"/>
        <v>56106.359999999986</v>
      </c>
      <c r="V531" s="827">
        <f>STDEV(D$2:D531)*SQRT(252)</f>
        <v>0.13708565300302389</v>
      </c>
      <c r="W531" s="827">
        <f>STDEV(L$2:L531)*SQRT(252)</f>
        <v>0.29499933504599252</v>
      </c>
      <c r="X531" s="826">
        <f t="shared" si="224"/>
        <v>0.75912404209345974</v>
      </c>
      <c r="Y531" s="826">
        <f t="shared" si="225"/>
        <v>8.2019161824576386E-2</v>
      </c>
      <c r="Z531" s="832">
        <f t="shared" si="226"/>
        <v>-0.18215256457829954</v>
      </c>
    </row>
    <row r="532" spans="1:26" ht="20.100000000000001" customHeight="1" x14ac:dyDescent="0.2">
      <c r="A532" s="801">
        <f t="shared" si="241"/>
        <v>834</v>
      </c>
      <c r="B532" s="820">
        <v>43067</v>
      </c>
      <c r="C532" s="845">
        <v>2627.04</v>
      </c>
      <c r="D532" s="817">
        <f t="shared" si="247"/>
        <v>9.8484673755102562E-3</v>
      </c>
      <c r="E532" s="844">
        <f t="shared" si="232"/>
        <v>0.24951960579136617</v>
      </c>
      <c r="F532" s="841">
        <v>6912.35</v>
      </c>
      <c r="G532" s="817">
        <f t="shared" si="248"/>
        <v>4.9182091496426444E-3</v>
      </c>
      <c r="H532" s="822">
        <f>(F532-F$2)/F$2</f>
        <v>0.35757212718738351</v>
      </c>
      <c r="I532" s="824">
        <v>320874.51</v>
      </c>
      <c r="J532" s="825">
        <v>300000</v>
      </c>
      <c r="K532" s="825">
        <f>I532-I531-J532+J531</f>
        <v>4320.1500000000233</v>
      </c>
      <c r="L532" s="817">
        <f t="shared" si="246"/>
        <v>1.364741904044545E-2</v>
      </c>
      <c r="M532" s="842">
        <f t="shared" si="236"/>
        <v>20874.510000000009</v>
      </c>
      <c r="N532" s="827">
        <f t="shared" si="242"/>
        <v>6.9581700000000038E-2</v>
      </c>
      <c r="O532" s="811">
        <f t="shared" si="244"/>
        <v>3.0473280485611525E-2</v>
      </c>
      <c r="P532" s="842" t="b">
        <f t="shared" si="237"/>
        <v>1</v>
      </c>
      <c r="Q532" s="827">
        <f>COUNTIF(P$2:P532, TRUE)/(COUNTIF(P$2:P532,FALSE) + COUNTIF(P$2:P532, TRUE))</f>
        <v>0.47645951035781542</v>
      </c>
      <c r="R532" s="825">
        <v>265073.7</v>
      </c>
      <c r="S532" s="825">
        <f t="shared" si="245"/>
        <v>55800.81</v>
      </c>
      <c r="T532" s="825">
        <v>-38368</v>
      </c>
      <c r="U532" s="825">
        <f t="shared" si="243"/>
        <v>59242.510000000009</v>
      </c>
      <c r="V532" s="827">
        <f>STDEV(D$2:D532)*SQRT(252)</f>
        <v>0.13710959839796619</v>
      </c>
      <c r="W532" s="827">
        <f>STDEV(L$2:L532)*SQRT(252)</f>
        <v>0.29486126793955258</v>
      </c>
      <c r="X532" s="826">
        <f t="shared" si="224"/>
        <v>0.79700489883934988</v>
      </c>
      <c r="Y532" s="826">
        <f t="shared" si="225"/>
        <v>0.10334785812512559</v>
      </c>
      <c r="Z532" s="832">
        <f t="shared" si="226"/>
        <v>-0.17993790579136615</v>
      </c>
    </row>
    <row r="533" spans="1:26" ht="20.100000000000001" customHeight="1" x14ac:dyDescent="0.2">
      <c r="A533" s="801">
        <f t="shared" si="241"/>
        <v>835</v>
      </c>
      <c r="B533" s="820">
        <v>43068</v>
      </c>
      <c r="C533" s="845">
        <v>2626.07</v>
      </c>
      <c r="D533" s="817">
        <f t="shared" si="247"/>
        <v>-3.6923685973559592E-4</v>
      </c>
      <c r="E533" s="844">
        <f t="shared" si="232"/>
        <v>0.24905823709594571</v>
      </c>
      <c r="F533" s="841">
        <v>6824.38</v>
      </c>
      <c r="G533" s="817">
        <f t="shared" si="248"/>
        <v>-1.2726496777506962E-2</v>
      </c>
      <c r="H533" s="822">
        <f>(F533-F$2)/F$2</f>
        <v>0.3402949898855</v>
      </c>
      <c r="I533" s="824">
        <v>325656.67</v>
      </c>
      <c r="J533" s="825">
        <v>300000</v>
      </c>
      <c r="K533" s="825">
        <f>I533-I532-J533+J532</f>
        <v>4782.1599999999744</v>
      </c>
      <c r="L533" s="817">
        <f t="shared" si="246"/>
        <v>1.4903521005766317E-2</v>
      </c>
      <c r="M533" s="842">
        <f t="shared" si="236"/>
        <v>25656.669999999984</v>
      </c>
      <c r="N533" s="827">
        <f t="shared" si="242"/>
        <v>8.5522233333333281E-2</v>
      </c>
      <c r="O533" s="811">
        <f t="shared" si="244"/>
        <v>3.7409575718562849E-2</v>
      </c>
      <c r="P533" s="842" t="b">
        <f t="shared" si="237"/>
        <v>1</v>
      </c>
      <c r="Q533" s="827">
        <f>COUNTIF(P$2:P533, TRUE)/(COUNTIF(P$2:P533,FALSE) + COUNTIF(P$2:P533, TRUE))</f>
        <v>0.47744360902255639</v>
      </c>
      <c r="R533" s="825">
        <v>253485</v>
      </c>
      <c r="S533" s="825">
        <f t="shared" si="245"/>
        <v>72171.669999999984</v>
      </c>
      <c r="T533" s="825">
        <v>-37392</v>
      </c>
      <c r="U533" s="825">
        <f t="shared" si="243"/>
        <v>63048.669999999984</v>
      </c>
      <c r="V533" s="827">
        <f>STDEV(D$2:D533)*SQRT(252)</f>
        <v>0.13698137278007791</v>
      </c>
      <c r="W533" s="827">
        <f>STDEV(L$2:L533)*SQRT(252)</f>
        <v>0.29475108064348648</v>
      </c>
      <c r="X533" s="826">
        <f t="shared" si="224"/>
        <v>0.79532227218054108</v>
      </c>
      <c r="Y533" s="826">
        <f t="shared" si="225"/>
        <v>0.12691921480624277</v>
      </c>
      <c r="Z533" s="832">
        <f t="shared" si="226"/>
        <v>-0.16353600376261243</v>
      </c>
    </row>
    <row r="534" spans="1:26" ht="20.100000000000001" customHeight="1" x14ac:dyDescent="0.2">
      <c r="A534" s="801">
        <f t="shared" si="241"/>
        <v>836</v>
      </c>
      <c r="B534" s="820">
        <v>43069</v>
      </c>
      <c r="C534" s="845">
        <v>2647.58</v>
      </c>
      <c r="D534" s="817">
        <f t="shared" si="247"/>
        <v>8.1909469282996118E-3</v>
      </c>
      <c r="E534" s="844">
        <f t="shared" si="232"/>
        <v>0.25928920682635409</v>
      </c>
      <c r="F534" s="841">
        <v>6873.97</v>
      </c>
      <c r="G534" s="817">
        <f t="shared" si="248"/>
        <v>7.2665941814494713E-3</v>
      </c>
      <c r="H534" s="822">
        <f>(F534-F$2)/F$2</f>
        <v>0.35003436966042784</v>
      </c>
      <c r="I534" s="847">
        <v>329885.27</v>
      </c>
      <c r="J534" s="825">
        <v>300000</v>
      </c>
      <c r="K534" s="825">
        <f>I534-I533-J534+J533</f>
        <v>4228.6000000000349</v>
      </c>
      <c r="L534" s="817">
        <f t="shared" si="246"/>
        <v>1.2984840752686059E-2</v>
      </c>
      <c r="M534" s="847">
        <f t="shared" si="236"/>
        <v>29885.270000000019</v>
      </c>
      <c r="N534" s="827">
        <f t="shared" si="242"/>
        <v>9.9617566666666726E-2</v>
      </c>
      <c r="O534" s="811">
        <f t="shared" si="244"/>
        <v>4.3523105532296678E-2</v>
      </c>
      <c r="P534" s="842" t="b">
        <f t="shared" si="237"/>
        <v>1</v>
      </c>
      <c r="Q534" s="827">
        <f>COUNTIF(P$2:P534, TRUE)/(COUNTIF(P$2:P534,FALSE) + COUNTIF(P$2:P534, TRUE))</f>
        <v>0.47842401500938087</v>
      </c>
      <c r="R534" s="825">
        <v>235596.4</v>
      </c>
      <c r="S534" s="825">
        <f t="shared" si="245"/>
        <v>94288.870000000024</v>
      </c>
      <c r="T534" s="825">
        <v>-34548</v>
      </c>
      <c r="U534" s="825">
        <f t="shared" si="243"/>
        <v>64433.270000000019</v>
      </c>
      <c r="V534" s="827">
        <f>STDEV(D$2:D534)*SQRT(252)</f>
        <v>0.13695583195186545</v>
      </c>
      <c r="W534" s="827">
        <f>STDEV(L$2:L534)*SQRT(252)</f>
        <v>0.29459910800633998</v>
      </c>
      <c r="X534" s="826">
        <f t="shared" si="224"/>
        <v>0.82715682198575313</v>
      </c>
      <c r="Y534" s="826">
        <f t="shared" si="225"/>
        <v>0.14773671864396828</v>
      </c>
      <c r="Z534" s="832">
        <f t="shared" si="226"/>
        <v>-0.15967164015968738</v>
      </c>
    </row>
    <row r="535" spans="1:26" ht="20.100000000000001" customHeight="1" x14ac:dyDescent="0.2">
      <c r="A535" s="801">
        <f t="shared" si="241"/>
        <v>837</v>
      </c>
      <c r="B535" s="820">
        <v>43070</v>
      </c>
      <c r="C535" s="845">
        <v>2642.22</v>
      </c>
      <c r="D535" s="817">
        <f t="shared" si="247"/>
        <v>-2.0244902892453212E-3</v>
      </c>
      <c r="E535" s="844">
        <f t="shared" si="232"/>
        <v>0.25673978805578268</v>
      </c>
      <c r="F535" s="841">
        <v>6847.58</v>
      </c>
      <c r="G535" s="817">
        <f t="shared" si="248"/>
        <v>-3.839120624617263E-3</v>
      </c>
      <c r="H535" s="822">
        <f>(F535-F$2)/F$2</f>
        <v>0.34485142486792236</v>
      </c>
      <c r="I535" s="824">
        <v>330901.76000000001</v>
      </c>
      <c r="J535" s="825">
        <v>300000</v>
      </c>
      <c r="K535" s="825">
        <f>I535-I534-J535+J534</f>
        <v>1016.4899999999907</v>
      </c>
      <c r="L535" s="817">
        <f t="shared" si="246"/>
        <v>3.0813440078727695E-3</v>
      </c>
      <c r="M535" s="842">
        <f t="shared" si="236"/>
        <v>30901.760000000009</v>
      </c>
      <c r="N535" s="827">
        <f t="shared" si="242"/>
        <v>0.1030058666666667</v>
      </c>
      <c r="O535" s="811">
        <f t="shared" si="244"/>
        <v>4.4949692712066919E-2</v>
      </c>
      <c r="P535" s="842" t="b">
        <f t="shared" si="237"/>
        <v>1</v>
      </c>
      <c r="Q535" s="827">
        <f>COUNTIF(P$2:P535, TRUE)/(COUNTIF(P$2:P535,FALSE) + COUNTIF(P$2:P535, TRUE))</f>
        <v>0.47940074906367042</v>
      </c>
      <c r="R535" s="825">
        <v>233517.4</v>
      </c>
      <c r="S535" s="825">
        <f t="shared" si="245"/>
        <v>97384.360000000015</v>
      </c>
      <c r="T535" s="825">
        <v>-34852</v>
      </c>
      <c r="U535" s="825">
        <f t="shared" si="243"/>
        <v>65753.760000000009</v>
      </c>
      <c r="V535" s="827">
        <f>STDEV(D$2:D535)*SQRT(252)</f>
        <v>0.13683780831243603</v>
      </c>
      <c r="W535" s="827">
        <f>STDEV(L$2:L535)*SQRT(252)</f>
        <v>0.29432742820874164</v>
      </c>
      <c r="X535" s="826">
        <f t="shared" si="224"/>
        <v>0.81875098475480734</v>
      </c>
      <c r="Y535" s="826">
        <f t="shared" si="225"/>
        <v>0.15272002675940854</v>
      </c>
      <c r="Z535" s="832">
        <f t="shared" si="226"/>
        <v>-0.15373392138911599</v>
      </c>
    </row>
    <row r="536" spans="1:26" ht="20.100000000000001" customHeight="1" x14ac:dyDescent="0.2">
      <c r="A536" s="801">
        <f t="shared" si="241"/>
        <v>840</v>
      </c>
      <c r="B536" s="820">
        <v>43073</v>
      </c>
      <c r="C536" s="845">
        <v>2639.44</v>
      </c>
      <c r="D536" s="817">
        <f>(C536-C535)/C535</f>
        <v>-1.0521455442770646E-3</v>
      </c>
      <c r="E536" s="844">
        <f t="shared" si="232"/>
        <v>0.25541751488746406</v>
      </c>
      <c r="F536" s="841">
        <v>6775.36</v>
      </c>
      <c r="G536" s="817">
        <f>(F536-F535)/F535</f>
        <v>-1.0546791713276845E-2</v>
      </c>
      <c r="H536" s="822">
        <f>(F536-F$2)/F$2</f>
        <v>0.33066755700453676</v>
      </c>
      <c r="I536" s="824">
        <v>332631.36</v>
      </c>
      <c r="J536" s="825">
        <v>300000</v>
      </c>
      <c r="K536" s="825">
        <f>I536-I535-J536+J535</f>
        <v>1729.5999999999767</v>
      </c>
      <c r="L536" s="817">
        <f>K536/I535</f>
        <v>5.2269289833936717E-3</v>
      </c>
      <c r="M536" s="842">
        <f t="shared" si="236"/>
        <v>32631.359999999986</v>
      </c>
      <c r="N536" s="827">
        <f t="shared" si="242"/>
        <v>0.10877119999999996</v>
      </c>
      <c r="O536" s="811">
        <f t="shared" si="244"/>
        <v>4.7296048571428558E-2</v>
      </c>
      <c r="P536" s="842" t="b">
        <f t="shared" si="237"/>
        <v>1</v>
      </c>
      <c r="Q536" s="827">
        <f>COUNTIF(P$2:P536, TRUE)/(COUNTIF(P$2:P536,FALSE) + COUNTIF(P$2:P536, TRUE))</f>
        <v>0.48037383177570092</v>
      </c>
      <c r="R536" s="825">
        <v>235247</v>
      </c>
      <c r="S536" s="825">
        <f t="shared" si="245"/>
        <v>97384.359999999986</v>
      </c>
      <c r="T536" s="825">
        <v>-32666</v>
      </c>
      <c r="U536" s="825">
        <f t="shared" si="243"/>
        <v>65297.359999999986</v>
      </c>
      <c r="V536" s="827">
        <f>STDEV(D$2:D536)*SQRT(252)</f>
        <v>0.13671335945296428</v>
      </c>
      <c r="W536" s="827">
        <f>STDEV(L$2:L536)*SQRT(252)</f>
        <v>0.29406904488179125</v>
      </c>
      <c r="X536" s="826">
        <f t="shared" si="224"/>
        <v>0.81236397927695847</v>
      </c>
      <c r="Y536" s="826">
        <f t="shared" si="225"/>
        <v>0.16083314240177998</v>
      </c>
      <c r="Z536" s="832">
        <f t="shared" si="226"/>
        <v>-0.1466463148874641</v>
      </c>
    </row>
    <row r="537" spans="1:26" ht="20.100000000000001" customHeight="1" x14ac:dyDescent="0.2">
      <c r="A537" s="801">
        <f t="shared" si="241"/>
        <v>841</v>
      </c>
      <c r="B537" s="820">
        <v>43074</v>
      </c>
      <c r="C537" s="845">
        <v>2629.57</v>
      </c>
      <c r="D537" s="817">
        <f t="shared" ref="D537:D543" si="251">(C537-C536)/C536</f>
        <v>-3.7394295759706191E-3</v>
      </c>
      <c r="E537" s="844">
        <f t="shared" si="232"/>
        <v>0.25072296950210238</v>
      </c>
      <c r="F537" s="841">
        <v>6762.21</v>
      </c>
      <c r="G537" s="817">
        <f t="shared" ref="G537:G543" si="252">(F537-F536)/F536</f>
        <v>-1.9408562792234858E-3</v>
      </c>
      <c r="H537" s="822">
        <f t="shared" ref="H537:H542" si="253">(F537-F$2)/F$2</f>
        <v>0.32808492252096555</v>
      </c>
      <c r="I537" s="824">
        <v>331089.06</v>
      </c>
      <c r="J537" s="825">
        <v>300000</v>
      </c>
      <c r="K537" s="825">
        <f t="shared" ref="K537:K542" si="254">I537-I536-J537+J536</f>
        <v>-1542.2999999999884</v>
      </c>
      <c r="L537" s="817">
        <f t="shared" ref="L537:L542" si="255">K537/I536</f>
        <v>-4.6366644443866884E-3</v>
      </c>
      <c r="M537" s="842">
        <f t="shared" si="236"/>
        <v>31089.059999999998</v>
      </c>
      <c r="N537" s="827">
        <f t="shared" si="242"/>
        <v>0.10363019999999999</v>
      </c>
      <c r="O537" s="811">
        <f t="shared" si="244"/>
        <v>4.5007051783590962E-2</v>
      </c>
      <c r="P537" s="842" t="b">
        <f t="shared" si="237"/>
        <v>0</v>
      </c>
      <c r="Q537" s="827">
        <f>COUNTIF(P$2:P537, TRUE)/(COUNTIF(P$2:P537,FALSE) + COUNTIF(P$2:P537, TRUE))</f>
        <v>0.47947761194029853</v>
      </c>
      <c r="R537" s="825">
        <v>233704.7</v>
      </c>
      <c r="S537" s="825">
        <f t="shared" si="245"/>
        <v>97384.359999999986</v>
      </c>
      <c r="T537" s="825">
        <v>-33722</v>
      </c>
      <c r="U537" s="825">
        <f t="shared" si="243"/>
        <v>64811.06</v>
      </c>
      <c r="V537" s="827">
        <f>STDEV(D$2:D537)*SQRT(252)</f>
        <v>0.13661573923542011</v>
      </c>
      <c r="W537" s="827">
        <f>STDEV(L$2:L537)*SQRT(252)</f>
        <v>0.29381487860209421</v>
      </c>
      <c r="X537" s="826">
        <f t="shared" si="224"/>
        <v>0.79705376061345667</v>
      </c>
      <c r="Y537" s="826">
        <f t="shared" si="225"/>
        <v>0.15318166322183716</v>
      </c>
      <c r="Z537" s="832">
        <f t="shared" si="226"/>
        <v>-0.14709276950210237</v>
      </c>
    </row>
    <row r="538" spans="1:26" ht="20.100000000000001" customHeight="1" x14ac:dyDescent="0.2">
      <c r="A538" s="801">
        <f t="shared" si="241"/>
        <v>842</v>
      </c>
      <c r="B538" s="820">
        <v>43075</v>
      </c>
      <c r="C538" s="845">
        <v>2629.27</v>
      </c>
      <c r="D538" s="817">
        <f t="shared" si="251"/>
        <v>-1.1408709408769566E-4</v>
      </c>
      <c r="E538" s="844">
        <f t="shared" si="232"/>
        <v>0.25058027815300316</v>
      </c>
      <c r="F538" s="841">
        <v>6776.37</v>
      </c>
      <c r="G538" s="817">
        <f t="shared" si="252"/>
        <v>2.0939899825648499E-3</v>
      </c>
      <c r="H538" s="822">
        <f t="shared" si="253"/>
        <v>0.33086591904471985</v>
      </c>
      <c r="I538" s="824">
        <v>327613.65999999997</v>
      </c>
      <c r="J538" s="825">
        <v>300000</v>
      </c>
      <c r="K538" s="825">
        <f t="shared" si="254"/>
        <v>-3475.4000000000233</v>
      </c>
      <c r="L538" s="817">
        <f t="shared" si="255"/>
        <v>-1.0496873560243952E-2</v>
      </c>
      <c r="M538" s="842">
        <f t="shared" si="236"/>
        <v>27613.659999999974</v>
      </c>
      <c r="N538" s="827">
        <f t="shared" si="242"/>
        <v>9.2045533333333249E-2</v>
      </c>
      <c r="O538" s="811">
        <f t="shared" si="244"/>
        <v>3.9928302909738686E-2</v>
      </c>
      <c r="P538" s="842" t="b">
        <f t="shared" si="237"/>
        <v>0</v>
      </c>
      <c r="Q538" s="827">
        <f>COUNTIF(P$2:P538, TRUE)/(COUNTIF(P$2:P538,FALSE) + COUNTIF(P$2:P538, TRUE))</f>
        <v>0.47858472998137802</v>
      </c>
      <c r="R538" s="825"/>
      <c r="S538" s="825"/>
      <c r="T538" s="825">
        <v>-33418</v>
      </c>
      <c r="U538" s="825">
        <f t="shared" si="243"/>
        <v>61031.659999999974</v>
      </c>
      <c r="V538" s="827">
        <f>STDEV(D$2:D538)*SQRT(252)</f>
        <v>0.13648855933627946</v>
      </c>
      <c r="W538" s="827">
        <f>STDEV(L$2:L538)*SQRT(252)</f>
        <v>0.29363715283343611</v>
      </c>
      <c r="X538" s="826">
        <f t="shared" si="224"/>
        <v>0.79639545042503435</v>
      </c>
      <c r="Y538" s="826">
        <f t="shared" si="225"/>
        <v>0.13597837509474753</v>
      </c>
      <c r="Z538" s="832">
        <f t="shared" si="226"/>
        <v>-0.15853474481966989</v>
      </c>
    </row>
    <row r="539" spans="1:26" ht="20.100000000000001" customHeight="1" x14ac:dyDescent="0.2">
      <c r="A539" s="801">
        <f t="shared" si="241"/>
        <v>843</v>
      </c>
      <c r="B539" s="820">
        <v>43076</v>
      </c>
      <c r="C539" s="845">
        <v>2636.98</v>
      </c>
      <c r="D539" s="817">
        <f t="shared" si="251"/>
        <v>2.9323728639508444E-3</v>
      </c>
      <c r="E539" s="844">
        <f t="shared" si="232"/>
        <v>0.25424744582485109</v>
      </c>
      <c r="F539" s="841">
        <v>6812.84</v>
      </c>
      <c r="G539" s="817">
        <f t="shared" si="252"/>
        <v>5.3819375270240935E-3</v>
      </c>
      <c r="H539" s="822">
        <f t="shared" si="253"/>
        <v>0.33802855627786405</v>
      </c>
      <c r="I539" s="824">
        <v>319288.36</v>
      </c>
      <c r="J539" s="825">
        <v>290000</v>
      </c>
      <c r="K539" s="825">
        <f t="shared" si="254"/>
        <v>1674.7000000000116</v>
      </c>
      <c r="L539" s="817">
        <f t="shared" si="255"/>
        <v>5.111813713750555E-3</v>
      </c>
      <c r="M539" s="842">
        <f t="shared" si="236"/>
        <v>29288.359999999986</v>
      </c>
      <c r="N539" s="827">
        <f t="shared" si="242"/>
        <v>0.10099434482758615</v>
      </c>
      <c r="O539" s="811">
        <f t="shared" si="244"/>
        <v>4.3758225917290443E-2</v>
      </c>
      <c r="P539" s="842" t="b">
        <f t="shared" si="237"/>
        <v>1</v>
      </c>
      <c r="Q539" s="827">
        <f>COUNTIF(P$2:P539, TRUE)/(COUNTIF(P$2:P539,FALSE) + COUNTIF(P$2:P539, TRUE))</f>
        <v>0.4795539033457249</v>
      </c>
      <c r="R539" s="825">
        <v>231904</v>
      </c>
      <c r="S539" s="825">
        <f t="shared" ref="S539:S549" si="256">I539-R539</f>
        <v>87384.359999999986</v>
      </c>
      <c r="T539" s="825"/>
      <c r="U539" s="825"/>
      <c r="V539" s="827">
        <f>STDEV(D$2:D539)*SQRT(252)</f>
        <v>0.13637174643805675</v>
      </c>
      <c r="W539" s="827">
        <f>STDEV(L$2:L539)*SQRT(252)</f>
        <v>0.29338020197975673</v>
      </c>
      <c r="X539" s="826">
        <f t="shared" ref="X539:X602" si="257">E539/(A539/365.25)/V539</f>
        <v>0.80778325531765738</v>
      </c>
      <c r="Y539" s="826">
        <f t="shared" ref="Y539:Y564" si="258">O539/W539</f>
        <v>0.14915193875389643</v>
      </c>
      <c r="Z539" s="832">
        <f t="shared" ref="Z539:Z583" si="259">-(E539-N539)</f>
        <v>-0.15325310099726494</v>
      </c>
    </row>
    <row r="540" spans="1:26" ht="20.100000000000001" customHeight="1" x14ac:dyDescent="0.2">
      <c r="A540" s="801">
        <f t="shared" si="241"/>
        <v>844</v>
      </c>
      <c r="B540" s="820">
        <v>43077</v>
      </c>
      <c r="C540" s="845">
        <v>2651.5</v>
      </c>
      <c r="D540" s="817">
        <f t="shared" si="251"/>
        <v>5.5062988721947008E-3</v>
      </c>
      <c r="E540" s="844">
        <f t="shared" si="232"/>
        <v>0.26115370712124958</v>
      </c>
      <c r="F540" s="841">
        <v>6840.8</v>
      </c>
      <c r="G540" s="817">
        <f t="shared" si="252"/>
        <v>4.1040153592334528E-3</v>
      </c>
      <c r="H540" s="822">
        <f t="shared" si="253"/>
        <v>0.34351984602392138</v>
      </c>
      <c r="I540" s="824">
        <v>322861.36</v>
      </c>
      <c r="J540" s="825">
        <v>290000</v>
      </c>
      <c r="K540" s="825">
        <f t="shared" si="254"/>
        <v>3573</v>
      </c>
      <c r="L540" s="817">
        <f t="shared" si="255"/>
        <v>1.1190511298313537E-2</v>
      </c>
      <c r="M540" s="842">
        <f t="shared" si="236"/>
        <v>32861.359999999986</v>
      </c>
      <c r="N540" s="827">
        <f t="shared" si="242"/>
        <v>0.11331503448275858</v>
      </c>
      <c r="O540" s="811">
        <f t="shared" si="244"/>
        <v>4.9038289508089535E-2</v>
      </c>
      <c r="P540" s="842" t="b">
        <f t="shared" si="237"/>
        <v>1</v>
      </c>
      <c r="Q540" s="827">
        <f>COUNTIF(P$2:P540, TRUE)/(COUNTIF(P$2:P540,FALSE) + COUNTIF(P$2:P540, TRUE))</f>
        <v>0.48051948051948051</v>
      </c>
      <c r="R540" s="825">
        <v>235477</v>
      </c>
      <c r="S540" s="825">
        <f t="shared" si="256"/>
        <v>87384.359999999986</v>
      </c>
      <c r="T540" s="825">
        <v>-32986</v>
      </c>
      <c r="U540" s="825">
        <f t="shared" ref="U540:U549" si="260">M540-T540</f>
        <v>65847.359999999986</v>
      </c>
      <c r="V540" s="827">
        <f>STDEV(D$2:D540)*SQRT(252)</f>
        <v>0.13628850101154497</v>
      </c>
      <c r="W540" s="827">
        <f>STDEV(L$2:L540)*SQRT(252)</f>
        <v>0.2931982547993664</v>
      </c>
      <c r="X540" s="826">
        <f t="shared" si="257"/>
        <v>0.8292486213606497</v>
      </c>
      <c r="Y540" s="826">
        <f t="shared" si="258"/>
        <v>0.16725300613281655</v>
      </c>
      <c r="Z540" s="832">
        <f t="shared" si="259"/>
        <v>-0.14783867263849099</v>
      </c>
    </row>
    <row r="541" spans="1:26" ht="20.100000000000001" customHeight="1" x14ac:dyDescent="0.2">
      <c r="A541" s="801">
        <f t="shared" si="241"/>
        <v>847</v>
      </c>
      <c r="B541" s="820">
        <v>43080</v>
      </c>
      <c r="C541" s="845">
        <v>2659.99</v>
      </c>
      <c r="D541" s="817">
        <f t="shared" si="251"/>
        <v>3.2019611540636552E-3</v>
      </c>
      <c r="E541" s="844">
        <f t="shared" si="232"/>
        <v>0.26519187230075519</v>
      </c>
      <c r="F541" s="841">
        <v>6875.07</v>
      </c>
      <c r="G541" s="817">
        <f t="shared" si="252"/>
        <v>5.0096479943865522E-3</v>
      </c>
      <c r="H541" s="822">
        <f t="shared" si="253"/>
        <v>0.35025040752597364</v>
      </c>
      <c r="I541" s="824">
        <v>322942.15999999997</v>
      </c>
      <c r="J541" s="825">
        <v>290000</v>
      </c>
      <c r="K541" s="825">
        <f t="shared" si="254"/>
        <v>80.799999999988358</v>
      </c>
      <c r="L541" s="817">
        <f t="shared" si="255"/>
        <v>2.5026221781382683E-4</v>
      </c>
      <c r="M541" s="842">
        <f t="shared" si="236"/>
        <v>32942.159999999974</v>
      </c>
      <c r="N541" s="827">
        <f t="shared" si="242"/>
        <v>0.11359365517241371</v>
      </c>
      <c r="O541" s="811">
        <f t="shared" si="244"/>
        <v>4.8984749175589266E-2</v>
      </c>
      <c r="P541" s="842" t="b">
        <f t="shared" si="237"/>
        <v>0</v>
      </c>
      <c r="Q541" s="827">
        <f>COUNTIF(P$2:P541, TRUE)/(COUNTIF(P$2:P541,FALSE) + COUNTIF(P$2:P541, TRUE))</f>
        <v>0.47962962962962963</v>
      </c>
      <c r="R541" s="825">
        <v>235557.8</v>
      </c>
      <c r="S541" s="825">
        <f t="shared" si="256"/>
        <v>87384.359999999986</v>
      </c>
      <c r="T541" s="825">
        <v>-32985</v>
      </c>
      <c r="U541" s="825">
        <f t="shared" si="260"/>
        <v>65927.159999999974</v>
      </c>
      <c r="V541" s="827">
        <f>STDEV(D$2:D541)*SQRT(252)</f>
        <v>0.13617461101801917</v>
      </c>
      <c r="W541" s="827">
        <f>STDEV(L$2:L541)*SQRT(252)</f>
        <v>0.29292569594123619</v>
      </c>
      <c r="X541" s="826">
        <f t="shared" si="257"/>
        <v>0.83979035103909305</v>
      </c>
      <c r="Y541" s="826">
        <f t="shared" si="258"/>
        <v>0.16722585233838994</v>
      </c>
      <c r="Z541" s="832">
        <f t="shared" si="259"/>
        <v>-0.15159821712834148</v>
      </c>
    </row>
    <row r="542" spans="1:26" ht="20.100000000000001" customHeight="1" x14ac:dyDescent="0.2">
      <c r="A542" s="801">
        <f t="shared" si="241"/>
        <v>848</v>
      </c>
      <c r="B542" s="820">
        <v>43081</v>
      </c>
      <c r="C542" s="845">
        <v>2664.11</v>
      </c>
      <c r="D542" s="817">
        <f t="shared" si="251"/>
        <v>1.5488780033008943E-3</v>
      </c>
      <c r="E542" s="844">
        <f t="shared" si="232"/>
        <v>0.2671515001617169</v>
      </c>
      <c r="F542" s="841">
        <v>6862.31</v>
      </c>
      <c r="G542" s="817">
        <f t="shared" si="252"/>
        <v>-1.8559811027377626E-3</v>
      </c>
      <c r="H542" s="822">
        <f t="shared" si="253"/>
        <v>0.34774436828564148</v>
      </c>
      <c r="I542" s="824">
        <v>323980.06</v>
      </c>
      <c r="J542" s="825">
        <v>290000</v>
      </c>
      <c r="K542" s="825">
        <f t="shared" si="254"/>
        <v>1037.9000000000233</v>
      </c>
      <c r="L542" s="817">
        <f t="shared" si="255"/>
        <v>3.2138882083405382E-3</v>
      </c>
      <c r="M542" s="842">
        <f t="shared" si="236"/>
        <v>33980.06</v>
      </c>
      <c r="N542" s="827">
        <f t="shared" si="242"/>
        <v>0.11717262068965516</v>
      </c>
      <c r="O542" s="811">
        <f t="shared" si="244"/>
        <v>5.0468513805302533E-2</v>
      </c>
      <c r="P542" s="842" t="b">
        <f t="shared" si="237"/>
        <v>1</v>
      </c>
      <c r="Q542" s="827">
        <f>COUNTIF(P$2:P542, TRUE)/(COUNTIF(P$2:P542,FALSE) + COUNTIF(P$2:P542, TRUE))</f>
        <v>0.48059149722735672</v>
      </c>
      <c r="R542" s="825">
        <v>236279.7</v>
      </c>
      <c r="S542" s="825">
        <f t="shared" si="256"/>
        <v>87700.359999999986</v>
      </c>
      <c r="T542" s="825">
        <v>-33546</v>
      </c>
      <c r="U542" s="825">
        <f t="shared" si="260"/>
        <v>67526.06</v>
      </c>
      <c r="V542" s="827">
        <f>STDEV(D$2:D542)*SQRT(252)</f>
        <v>0.13605021547233165</v>
      </c>
      <c r="W542" s="827">
        <f>STDEV(L$2:L542)*SQRT(252)</f>
        <v>0.29265963822651819</v>
      </c>
      <c r="X542" s="826">
        <f t="shared" si="257"/>
        <v>0.84577093339667508</v>
      </c>
      <c r="Y542" s="826">
        <f t="shared" si="258"/>
        <v>0.17244781040233489</v>
      </c>
      <c r="Z542" s="832">
        <f t="shared" si="259"/>
        <v>-0.14997887947206173</v>
      </c>
    </row>
    <row r="543" spans="1:26" ht="20.100000000000001" customHeight="1" x14ac:dyDescent="0.2">
      <c r="A543" s="801">
        <f t="shared" si="241"/>
        <v>849</v>
      </c>
      <c r="B543" s="820">
        <v>43082</v>
      </c>
      <c r="C543" s="845">
        <v>2662.85</v>
      </c>
      <c r="D543" s="817">
        <f t="shared" si="251"/>
        <v>-4.7295344411462672E-4</v>
      </c>
      <c r="E543" s="844">
        <f t="shared" si="232"/>
        <v>0.26655219649550038</v>
      </c>
      <c r="F543" s="841">
        <v>6875.79</v>
      </c>
      <c r="G543" s="817">
        <f t="shared" si="252"/>
        <v>1.9643531114157714E-3</v>
      </c>
      <c r="H543" s="822">
        <f t="shared" ref="H543:H574" si="261">(F543-F$2)/F$2</f>
        <v>0.35039181412887643</v>
      </c>
      <c r="I543" s="824">
        <v>324790.59000000003</v>
      </c>
      <c r="J543" s="825">
        <v>290000</v>
      </c>
      <c r="K543" s="825">
        <f t="shared" ref="K543:K574" si="262">I543-I542-J543+J542</f>
        <v>810.53000000002794</v>
      </c>
      <c r="L543" s="817">
        <f t="shared" ref="L543:L551" si="263">K543/I542</f>
        <v>2.5017897706421438E-3</v>
      </c>
      <c r="M543" s="842">
        <f t="shared" si="236"/>
        <v>34790.590000000026</v>
      </c>
      <c r="N543" s="827">
        <f t="shared" si="242"/>
        <v>0.11996755172413802</v>
      </c>
      <c r="O543" s="811">
        <f t="shared" si="244"/>
        <v>5.1611482057999307E-2</v>
      </c>
      <c r="P543" s="842" t="b">
        <f t="shared" si="237"/>
        <v>1</v>
      </c>
      <c r="Q543" s="827">
        <f>COUNTIF(P$2:P543, TRUE)/(COUNTIF(P$2:P543,FALSE) + COUNTIF(P$2:P543, TRUE))</f>
        <v>0.48154981549815495</v>
      </c>
      <c r="R543" s="825">
        <v>236990</v>
      </c>
      <c r="S543" s="825">
        <f t="shared" si="256"/>
        <v>87800.590000000026</v>
      </c>
      <c r="T543" s="825">
        <v>-32970</v>
      </c>
      <c r="U543" s="825">
        <f t="shared" si="260"/>
        <v>67760.590000000026</v>
      </c>
      <c r="V543" s="827">
        <f>STDEV(D$2:D543)*SQRT(252)</f>
        <v>0.13592572490380506</v>
      </c>
      <c r="W543" s="827">
        <f>STDEV(L$2:L543)*SQRT(252)</f>
        <v>0.29239165383062016</v>
      </c>
      <c r="X543" s="826">
        <f t="shared" si="257"/>
        <v>0.84365161493454932</v>
      </c>
      <c r="Y543" s="826">
        <f t="shared" si="258"/>
        <v>0.17651489494258057</v>
      </c>
      <c r="Z543" s="832">
        <f t="shared" si="259"/>
        <v>-0.14658464477136235</v>
      </c>
    </row>
    <row r="544" spans="1:26" ht="20.100000000000001" customHeight="1" x14ac:dyDescent="0.2">
      <c r="A544" s="801">
        <f t="shared" si="241"/>
        <v>850</v>
      </c>
      <c r="B544" s="820">
        <v>43083</v>
      </c>
      <c r="C544" s="845">
        <v>2652.01</v>
      </c>
      <c r="D544" s="817">
        <f t="shared" ref="D544:D575" si="264">(C544-C543)/C543</f>
        <v>-4.070826370242293E-3</v>
      </c>
      <c r="E544" s="844">
        <f t="shared" si="232"/>
        <v>0.26139628241471818</v>
      </c>
      <c r="F544" s="841">
        <v>6856.52</v>
      </c>
      <c r="G544" s="817">
        <f t="shared" ref="G544:G575" si="265">(F544-F543)/F543</f>
        <v>-2.8025870481791222E-3</v>
      </c>
      <c r="H544" s="822">
        <f t="shared" si="261"/>
        <v>0.34660722352063172</v>
      </c>
      <c r="I544" s="824">
        <v>322223.39</v>
      </c>
      <c r="J544" s="825">
        <v>290000</v>
      </c>
      <c r="K544" s="825">
        <f t="shared" si="262"/>
        <v>-2567.2000000000116</v>
      </c>
      <c r="L544" s="817">
        <f t="shared" si="263"/>
        <v>-7.9041698837395858E-3</v>
      </c>
      <c r="M544" s="842">
        <f t="shared" si="236"/>
        <v>32223.390000000014</v>
      </c>
      <c r="N544" s="827">
        <f t="shared" si="242"/>
        <v>0.11111513793103453</v>
      </c>
      <c r="O544" s="811">
        <f t="shared" si="244"/>
        <v>4.7746828387423952E-2</v>
      </c>
      <c r="P544" s="842" t="b">
        <f t="shared" si="237"/>
        <v>0</v>
      </c>
      <c r="Q544" s="827">
        <f>COUNTIF(P$2:P544, TRUE)/(COUNTIF(P$2:P544,FALSE) + COUNTIF(P$2:P544, TRUE))</f>
        <v>0.48066298342541436</v>
      </c>
      <c r="R544" s="825">
        <v>234422.8</v>
      </c>
      <c r="S544" s="825">
        <f t="shared" si="256"/>
        <v>87800.590000000026</v>
      </c>
      <c r="T544" s="825">
        <v>-34234</v>
      </c>
      <c r="U544" s="825">
        <f t="shared" si="260"/>
        <v>66457.390000000014</v>
      </c>
      <c r="V544" s="827">
        <f>STDEV(D$2:D544)*SQRT(252)</f>
        <v>0.1358353877857523</v>
      </c>
      <c r="W544" s="827">
        <f>STDEV(L$2:L544)*SQRT(252)</f>
        <v>0.29217784159777338</v>
      </c>
      <c r="X544" s="826">
        <f t="shared" si="257"/>
        <v>0.82690911411066492</v>
      </c>
      <c r="Y544" s="826">
        <f t="shared" si="258"/>
        <v>0.163417007006146</v>
      </c>
      <c r="Z544" s="832">
        <f t="shared" si="259"/>
        <v>-0.15028114448368365</v>
      </c>
    </row>
    <row r="545" spans="1:26" ht="20.100000000000001" customHeight="1" x14ac:dyDescent="0.2">
      <c r="A545" s="801">
        <f t="shared" si="241"/>
        <v>851</v>
      </c>
      <c r="B545" s="820">
        <v>43084</v>
      </c>
      <c r="C545" s="845">
        <v>2675.81</v>
      </c>
      <c r="D545" s="817">
        <f t="shared" si="264"/>
        <v>8.9743251345205059E-3</v>
      </c>
      <c r="E545" s="844">
        <f t="shared" si="232"/>
        <v>0.27271646277658335</v>
      </c>
      <c r="F545" s="841">
        <v>6936.58</v>
      </c>
      <c r="G545" s="817">
        <f t="shared" si="265"/>
        <v>1.1676477280019526E-2</v>
      </c>
      <c r="H545" s="822">
        <f t="shared" si="261"/>
        <v>0.36233085217118061</v>
      </c>
      <c r="I545" s="824">
        <v>323833.19</v>
      </c>
      <c r="J545" s="825">
        <v>290000</v>
      </c>
      <c r="K545" s="825">
        <f t="shared" si="262"/>
        <v>1609.7999999999884</v>
      </c>
      <c r="L545" s="817">
        <f t="shared" si="263"/>
        <v>4.9959129286051779E-3</v>
      </c>
      <c r="M545" s="842">
        <f t="shared" si="236"/>
        <v>33833.19</v>
      </c>
      <c r="N545" s="827">
        <f t="shared" si="242"/>
        <v>0.11666617241379311</v>
      </c>
      <c r="O545" s="811">
        <f t="shared" si="244"/>
        <v>5.0073230874427652E-2</v>
      </c>
      <c r="P545" s="842" t="b">
        <f t="shared" si="237"/>
        <v>0</v>
      </c>
      <c r="Q545" s="827">
        <f>COUNTIF(P$2:P545, TRUE)/(COUNTIF(P$2:P545,FALSE) + COUNTIF(P$2:P545, TRUE))</f>
        <v>0.4797794117647059</v>
      </c>
      <c r="R545" s="825">
        <v>236032.6</v>
      </c>
      <c r="S545" s="825">
        <f t="shared" si="256"/>
        <v>87800.59</v>
      </c>
      <c r="T545" s="825">
        <v>-33354</v>
      </c>
      <c r="U545" s="825">
        <f t="shared" si="260"/>
        <v>67187.19</v>
      </c>
      <c r="V545" s="827">
        <f>STDEV(D$2:D545)*SQRT(252)</f>
        <v>0.13583377183481007</v>
      </c>
      <c r="W545" s="827">
        <f>STDEV(L$2:L545)*SQRT(252)</f>
        <v>0.29192417621615652</v>
      </c>
      <c r="X545" s="826">
        <f t="shared" si="257"/>
        <v>0.86171620367547019</v>
      </c>
      <c r="Y545" s="826">
        <f t="shared" si="258"/>
        <v>0.17152820819249553</v>
      </c>
      <c r="Z545" s="832">
        <f t="shared" si="259"/>
        <v>-0.15605029036279022</v>
      </c>
    </row>
    <row r="546" spans="1:26" ht="20.100000000000001" customHeight="1" x14ac:dyDescent="0.2">
      <c r="A546" s="801">
        <f t="shared" si="241"/>
        <v>854</v>
      </c>
      <c r="B546" s="820">
        <v>43087</v>
      </c>
      <c r="C546" s="845">
        <v>2690.16</v>
      </c>
      <c r="D546" s="817">
        <f t="shared" si="264"/>
        <v>5.3628620866204664E-3</v>
      </c>
      <c r="E546" s="844">
        <f t="shared" si="232"/>
        <v>0.27954186564182559</v>
      </c>
      <c r="F546" s="841">
        <v>6994.75</v>
      </c>
      <c r="G546" s="817">
        <f t="shared" si="265"/>
        <v>8.3859769511776799E-3</v>
      </c>
      <c r="H546" s="822">
        <f t="shared" si="261"/>
        <v>0.37375532729736632</v>
      </c>
      <c r="I546" s="824">
        <v>328097.89</v>
      </c>
      <c r="J546" s="825">
        <v>290000</v>
      </c>
      <c r="K546" s="825">
        <f t="shared" si="262"/>
        <v>4264.7000000000116</v>
      </c>
      <c r="L546" s="817">
        <f t="shared" si="263"/>
        <v>1.3169434547459486E-2</v>
      </c>
      <c r="M546" s="842">
        <f t="shared" si="236"/>
        <v>38097.890000000014</v>
      </c>
      <c r="N546" s="827">
        <f t="shared" si="242"/>
        <v>0.13137203448275867</v>
      </c>
      <c r="O546" s="811">
        <f t="shared" si="244"/>
        <v>5.6186926926027642E-2</v>
      </c>
      <c r="P546" s="842" t="b">
        <f t="shared" si="237"/>
        <v>1</v>
      </c>
      <c r="Q546" s="827">
        <f>COUNTIF(P$2:P546, TRUE)/(COUNTIF(P$2:P546,FALSE) + COUNTIF(P$2:P546, TRUE))</f>
        <v>0.48073394495412847</v>
      </c>
      <c r="R546" s="825">
        <v>231417.5</v>
      </c>
      <c r="S546" s="825">
        <f t="shared" si="256"/>
        <v>96680.390000000014</v>
      </c>
      <c r="T546" s="825">
        <v>-32394</v>
      </c>
      <c r="U546" s="825">
        <f t="shared" si="260"/>
        <v>70491.890000000014</v>
      </c>
      <c r="V546" s="827">
        <f>STDEV(D$2:D546)*SQRT(252)</f>
        <v>0.13574931194663536</v>
      </c>
      <c r="W546" s="827">
        <f>STDEV(L$2:L546)*SQRT(252)</f>
        <v>0.29178232228521001</v>
      </c>
      <c r="X546" s="826">
        <f t="shared" si="257"/>
        <v>0.88072753881887378</v>
      </c>
      <c r="Y546" s="826">
        <f t="shared" si="258"/>
        <v>0.19256453401966658</v>
      </c>
      <c r="Z546" s="832">
        <f t="shared" si="259"/>
        <v>-0.14816983115906693</v>
      </c>
    </row>
    <row r="547" spans="1:26" ht="20.100000000000001" customHeight="1" x14ac:dyDescent="0.2">
      <c r="A547" s="801">
        <f t="shared" ref="A547:A578" si="266">B547-$B$2</f>
        <v>855</v>
      </c>
      <c r="B547" s="820">
        <v>43088</v>
      </c>
      <c r="C547" s="845">
        <v>2681.47</v>
      </c>
      <c r="D547" s="817">
        <f t="shared" si="264"/>
        <v>-3.2302911350997913E-3</v>
      </c>
      <c r="E547" s="844">
        <f t="shared" si="232"/>
        <v>0.27540857289625376</v>
      </c>
      <c r="F547" s="841">
        <v>6963.85</v>
      </c>
      <c r="G547" s="817">
        <f t="shared" si="265"/>
        <v>-4.4175989134707652E-3</v>
      </c>
      <c r="H547" s="822">
        <f t="shared" si="261"/>
        <v>0.36768662725612283</v>
      </c>
      <c r="I547" s="824">
        <v>330798.90000000002</v>
      </c>
      <c r="J547" s="825">
        <v>290000</v>
      </c>
      <c r="K547" s="825">
        <f t="shared" si="262"/>
        <v>2701.0100000000093</v>
      </c>
      <c r="L547" s="817">
        <f t="shared" si="263"/>
        <v>8.2323296867285838E-3</v>
      </c>
      <c r="M547" s="842">
        <f t="shared" si="236"/>
        <v>40798.900000000023</v>
      </c>
      <c r="N547" s="827">
        <f t="shared" si="242"/>
        <v>0.14068586206896561</v>
      </c>
      <c r="O547" s="811">
        <f t="shared" ref="O547:O578" si="267">N547/(A547/365.25)</f>
        <v>6.0100013006654608E-2</v>
      </c>
      <c r="P547" s="842" t="b">
        <f t="shared" si="237"/>
        <v>1</v>
      </c>
      <c r="Q547" s="827">
        <f>COUNTIF(P$2:P547, TRUE)/(COUNTIF(P$2:P547,FALSE) + COUNTIF(P$2:P547, TRUE))</f>
        <v>0.48168498168498169</v>
      </c>
      <c r="R547" s="825">
        <v>232520.55</v>
      </c>
      <c r="S547" s="825">
        <f t="shared" si="256"/>
        <v>98278.350000000035</v>
      </c>
      <c r="T547" s="825">
        <v>-32544</v>
      </c>
      <c r="U547" s="825">
        <f t="shared" si="260"/>
        <v>73342.900000000023</v>
      </c>
      <c r="V547" s="827">
        <f>STDEV(D$2:D547)*SQRT(252)</f>
        <v>0.13564807194101525</v>
      </c>
      <c r="W547" s="827">
        <f>STDEV(L$2:L547)*SQRT(252)</f>
        <v>0.29156092168419684</v>
      </c>
      <c r="X547" s="826">
        <f t="shared" si="257"/>
        <v>0.86733713178540173</v>
      </c>
      <c r="Y547" s="826">
        <f t="shared" si="258"/>
        <v>0.2061319214505424</v>
      </c>
      <c r="Z547" s="832">
        <f t="shared" si="259"/>
        <v>-0.13472271082728815</v>
      </c>
    </row>
    <row r="548" spans="1:26" ht="20.100000000000001" customHeight="1" x14ac:dyDescent="0.2">
      <c r="A548" s="801">
        <f t="shared" si="266"/>
        <v>856</v>
      </c>
      <c r="B548" s="820">
        <v>43089</v>
      </c>
      <c r="C548" s="845">
        <v>2679.25</v>
      </c>
      <c r="D548" s="817">
        <f t="shared" si="264"/>
        <v>-8.2790409737934793E-4</v>
      </c>
      <c r="E548" s="844">
        <f t="shared" si="232"/>
        <v>0.27435265691292021</v>
      </c>
      <c r="F548" s="841">
        <v>6960.95</v>
      </c>
      <c r="G548" s="817">
        <f t="shared" si="265"/>
        <v>-4.1643631037436841E-4</v>
      </c>
      <c r="H548" s="822">
        <f t="shared" si="261"/>
        <v>0.36711707288331991</v>
      </c>
      <c r="I548" s="824">
        <v>332590.03999999998</v>
      </c>
      <c r="J548" s="825">
        <v>290000</v>
      </c>
      <c r="K548" s="825">
        <f t="shared" si="262"/>
        <v>1791.1399999999558</v>
      </c>
      <c r="L548" s="817">
        <f t="shared" si="263"/>
        <v>5.414588742586374E-3</v>
      </c>
      <c r="M548" s="842">
        <f t="shared" si="236"/>
        <v>42590.039999999979</v>
      </c>
      <c r="N548" s="827">
        <f t="shared" si="242"/>
        <v>0.14686220689655166</v>
      </c>
      <c r="O548" s="811">
        <f t="shared" si="267"/>
        <v>6.2665211529165307E-2</v>
      </c>
      <c r="P548" s="842" t="b">
        <f t="shared" si="237"/>
        <v>1</v>
      </c>
      <c r="Q548" s="827">
        <f>COUNTIF(P$2:P548, TRUE)/(COUNTIF(P$2:P548,FALSE) + COUNTIF(P$2:P548, TRUE))</f>
        <v>0.48263254113345522</v>
      </c>
      <c r="R548" s="825">
        <v>233843</v>
      </c>
      <c r="S548" s="825">
        <f t="shared" si="256"/>
        <v>98747.039999999979</v>
      </c>
      <c r="T548" s="825">
        <v>-31989</v>
      </c>
      <c r="U548" s="825">
        <f t="shared" si="260"/>
        <v>74579.039999999979</v>
      </c>
      <c r="V548" s="827">
        <f>STDEV(D$2:D548)*SQRT(252)</f>
        <v>0.13552649245745849</v>
      </c>
      <c r="W548" s="827">
        <f>STDEV(L$2:L548)*SQRT(252)</f>
        <v>0.29131201485323877</v>
      </c>
      <c r="X548" s="826">
        <f t="shared" si="257"/>
        <v>0.86377659418286634</v>
      </c>
      <c r="Y548" s="826">
        <f t="shared" si="258"/>
        <v>0.21511372114444255</v>
      </c>
      <c r="Z548" s="832">
        <f t="shared" si="259"/>
        <v>-0.12749045001636855</v>
      </c>
    </row>
    <row r="549" spans="1:26" ht="20.100000000000001" customHeight="1" x14ac:dyDescent="0.2">
      <c r="A549" s="801">
        <f t="shared" si="266"/>
        <v>857</v>
      </c>
      <c r="B549" s="820">
        <v>43090</v>
      </c>
      <c r="C549" s="845">
        <v>2684.59</v>
      </c>
      <c r="D549" s="817">
        <f t="shared" si="264"/>
        <v>1.9930950825791344E-3</v>
      </c>
      <c r="E549" s="844">
        <f t="shared" si="232"/>
        <v>0.27689256292688497</v>
      </c>
      <c r="F549" s="841">
        <v>6965.36</v>
      </c>
      <c r="G549" s="817">
        <f t="shared" si="265"/>
        <v>6.3353421587568576E-4</v>
      </c>
      <c r="H549" s="822">
        <f t="shared" si="261"/>
        <v>0.36798318832609933</v>
      </c>
      <c r="I549" s="824">
        <v>338086.81</v>
      </c>
      <c r="J549" s="825">
        <v>290000</v>
      </c>
      <c r="K549" s="825">
        <f t="shared" si="262"/>
        <v>5496.7700000000186</v>
      </c>
      <c r="L549" s="817">
        <f t="shared" si="263"/>
        <v>1.6527163591549581E-2</v>
      </c>
      <c r="M549" s="842">
        <f t="shared" si="236"/>
        <v>48086.81</v>
      </c>
      <c r="N549" s="827">
        <f t="shared" si="242"/>
        <v>0.16581658620689654</v>
      </c>
      <c r="O549" s="811">
        <f t="shared" si="267"/>
        <v>7.0670371192612547E-2</v>
      </c>
      <c r="P549" s="842" t="b">
        <f t="shared" si="237"/>
        <v>1</v>
      </c>
      <c r="Q549" s="827">
        <f>COUNTIF(P$2:P549, TRUE)/(COUNTIF(P$2:P549,FALSE) + COUNTIF(P$2:P549, TRUE))</f>
        <v>0.48357664233576642</v>
      </c>
      <c r="R549" s="825">
        <v>218299.15</v>
      </c>
      <c r="S549" s="825">
        <f t="shared" si="256"/>
        <v>119787.66</v>
      </c>
      <c r="T549" s="825">
        <v>-31667</v>
      </c>
      <c r="U549" s="825">
        <f t="shared" si="260"/>
        <v>79753.81</v>
      </c>
      <c r="V549" s="827">
        <f>STDEV(D$2:D549)*SQRT(252)</f>
        <v>0.13540621962900054</v>
      </c>
      <c r="W549" s="827">
        <f>STDEV(L$2:L549)*SQRT(252)</f>
        <v>0.291246718230385</v>
      </c>
      <c r="X549" s="826">
        <f t="shared" si="257"/>
        <v>0.87152947714801032</v>
      </c>
      <c r="Y549" s="826">
        <f t="shared" si="258"/>
        <v>0.24264778543087354</v>
      </c>
      <c r="Z549" s="832">
        <f t="shared" si="259"/>
        <v>-0.11107597671998842</v>
      </c>
    </row>
    <row r="550" spans="1:26" ht="20.100000000000001" customHeight="1" x14ac:dyDescent="0.2">
      <c r="A550" s="801">
        <f t="shared" si="266"/>
        <v>858</v>
      </c>
      <c r="B550" s="820">
        <v>43091</v>
      </c>
      <c r="C550" s="845">
        <f>C551+0.84</f>
        <v>2681.34</v>
      </c>
      <c r="D550" s="817">
        <f t="shared" si="264"/>
        <v>-1.2106131662562999E-3</v>
      </c>
      <c r="E550" s="844">
        <f t="shared" si="232"/>
        <v>0.27534673997831094</v>
      </c>
      <c r="F550" s="841">
        <f>F551+23.71</f>
        <v>6960.95</v>
      </c>
      <c r="G550" s="817">
        <f t="shared" si="265"/>
        <v>-6.3313310439085059E-4</v>
      </c>
      <c r="H550" s="822">
        <f t="shared" si="261"/>
        <v>0.36711707288331991</v>
      </c>
      <c r="I550" s="824">
        <f>I551-1562</f>
        <v>338627.13</v>
      </c>
      <c r="J550" s="825">
        <v>290000</v>
      </c>
      <c r="K550" s="825">
        <f t="shared" si="262"/>
        <v>540.32000000000698</v>
      </c>
      <c r="L550" s="817">
        <f t="shared" si="263"/>
        <v>1.5981694169021471E-3</v>
      </c>
      <c r="M550" s="842">
        <f t="shared" si="236"/>
        <v>48627.130000000005</v>
      </c>
      <c r="N550" s="827">
        <f t="shared" si="242"/>
        <v>0.16767975862068968</v>
      </c>
      <c r="O550" s="811">
        <f t="shared" si="267"/>
        <v>7.1381155986255135E-2</v>
      </c>
      <c r="P550" s="842" t="b">
        <f t="shared" si="237"/>
        <v>1</v>
      </c>
      <c r="Q550" s="827">
        <f>COUNTIF(P$2:P550, TRUE)/(COUNTIF(P$2:P550,FALSE) + COUNTIF(P$2:P550, TRUE))</f>
        <v>0.48451730418943534</v>
      </c>
      <c r="R550" s="825"/>
      <c r="S550" s="825"/>
      <c r="T550" s="825"/>
      <c r="U550" s="825"/>
      <c r="V550" s="827">
        <f>STDEV(D$2:D550)*SQRT(252)</f>
        <v>0.13528726740433272</v>
      </c>
      <c r="W550" s="827">
        <f>STDEV(L$2:L550)*SQRT(252)</f>
        <v>0.29098117176035337</v>
      </c>
      <c r="X550" s="826">
        <f t="shared" si="257"/>
        <v>0.86641497686755109</v>
      </c>
      <c r="Y550" s="826">
        <f t="shared" si="258"/>
        <v>0.24531194081878024</v>
      </c>
      <c r="Z550" s="832">
        <f t="shared" si="259"/>
        <v>-0.10766698135762126</v>
      </c>
    </row>
    <row r="551" spans="1:26" ht="20.100000000000001" customHeight="1" x14ac:dyDescent="0.2">
      <c r="A551" s="801">
        <f t="shared" si="266"/>
        <v>862</v>
      </c>
      <c r="B551" s="820">
        <v>43095</v>
      </c>
      <c r="C551" s="845">
        <v>2680.5</v>
      </c>
      <c r="D551" s="817">
        <f t="shared" si="264"/>
        <v>-3.1327619772208878E-4</v>
      </c>
      <c r="E551" s="844">
        <f t="shared" si="232"/>
        <v>0.2749472042008333</v>
      </c>
      <c r="F551" s="841">
        <v>6937.24</v>
      </c>
      <c r="G551" s="817">
        <f t="shared" si="265"/>
        <v>-3.406144276284133E-3</v>
      </c>
      <c r="H551" s="822">
        <f t="shared" si="261"/>
        <v>0.36246047489050809</v>
      </c>
      <c r="I551" s="824">
        <v>340189.13</v>
      </c>
      <c r="J551" s="825">
        <v>290000</v>
      </c>
      <c r="K551" s="825">
        <f t="shared" si="262"/>
        <v>1562</v>
      </c>
      <c r="L551" s="817">
        <f t="shared" si="263"/>
        <v>4.6127432258602549E-3</v>
      </c>
      <c r="M551" s="842">
        <f t="shared" si="236"/>
        <v>50189.130000000005</v>
      </c>
      <c r="N551" s="827">
        <f t="shared" si="242"/>
        <v>0.1730659655172414</v>
      </c>
      <c r="O551" s="811">
        <f t="shared" si="267"/>
        <v>7.33321855048404E-2</v>
      </c>
      <c r="P551" s="842" t="b">
        <f t="shared" si="237"/>
        <v>1</v>
      </c>
      <c r="Q551" s="827">
        <f>COUNTIF(P$2:P551, TRUE)/(COUNTIF(P$2:P551,FALSE) + COUNTIF(P$2:P551, TRUE))</f>
        <v>0.48545454545454547</v>
      </c>
      <c r="R551" s="825">
        <v>222797.6</v>
      </c>
      <c r="S551" s="825">
        <f t="shared" ref="S551:S587" si="268">I551-R551</f>
        <v>117391.53</v>
      </c>
      <c r="T551" s="825">
        <v>-31257</v>
      </c>
      <c r="U551" s="825">
        <f t="shared" ref="U551:U587" si="269">M551-T551</f>
        <v>81446.13</v>
      </c>
      <c r="V551" s="827">
        <f>STDEV(D$2:D551)*SQRT(252)</f>
        <v>0.1351648425652329</v>
      </c>
      <c r="W551" s="827">
        <f>STDEV(L$2:L551)*SQRT(252)</f>
        <v>0.29072829644289788</v>
      </c>
      <c r="X551" s="826">
        <f t="shared" si="257"/>
        <v>0.86192310716976595</v>
      </c>
      <c r="Y551" s="826">
        <f t="shared" si="258"/>
        <v>0.25223614764049507</v>
      </c>
      <c r="Z551" s="832">
        <f t="shared" si="259"/>
        <v>-0.10188123868359189</v>
      </c>
    </row>
    <row r="552" spans="1:26" ht="20.100000000000001" customHeight="1" x14ac:dyDescent="0.2">
      <c r="A552" s="801">
        <f t="shared" si="266"/>
        <v>863</v>
      </c>
      <c r="B552" s="820">
        <v>43096</v>
      </c>
      <c r="C552" s="845">
        <v>2682.62</v>
      </c>
      <c r="D552" s="817">
        <f t="shared" si="264"/>
        <v>7.9089722066774519E-4</v>
      </c>
      <c r="E552" s="844">
        <f t="shared" si="232"/>
        <v>0.27595555640113384</v>
      </c>
      <c r="F552" s="841">
        <v>6939.33</v>
      </c>
      <c r="G552" s="817">
        <f t="shared" si="265"/>
        <v>3.0127255219657178E-4</v>
      </c>
      <c r="H552" s="822">
        <f t="shared" si="261"/>
        <v>0.36287094683504528</v>
      </c>
      <c r="I552" s="824">
        <v>338273.53</v>
      </c>
      <c r="J552" s="825">
        <v>290000</v>
      </c>
      <c r="K552" s="825">
        <f t="shared" si="262"/>
        <v>-1915.5999999999767</v>
      </c>
      <c r="L552" s="817">
        <f t="shared" ref="L552:L557" si="270">K552/I551</f>
        <v>-5.6309853286610791E-3</v>
      </c>
      <c r="M552" s="842">
        <f t="shared" si="236"/>
        <v>48273.530000000028</v>
      </c>
      <c r="N552" s="827">
        <f t="shared" si="242"/>
        <v>0.16646044827586218</v>
      </c>
      <c r="O552" s="811">
        <f t="shared" si="267"/>
        <v>7.0451539667159516E-2</v>
      </c>
      <c r="P552" s="842" t="b">
        <f t="shared" si="237"/>
        <v>0</v>
      </c>
      <c r="Q552" s="827">
        <f>COUNTIF(P$2:P552, TRUE)/(COUNTIF(P$2:P552,FALSE) + COUNTIF(P$2:P552, TRUE))</f>
        <v>0.48457350272232302</v>
      </c>
      <c r="R552" s="825">
        <v>220882</v>
      </c>
      <c r="S552" s="825">
        <f t="shared" si="268"/>
        <v>117391.53000000003</v>
      </c>
      <c r="T552" s="825">
        <v>-31384</v>
      </c>
      <c r="U552" s="825">
        <f t="shared" si="269"/>
        <v>79657.530000000028</v>
      </c>
      <c r="V552" s="827">
        <f>STDEV(D$2:D552)*SQRT(252)</f>
        <v>0.13504185089620829</v>
      </c>
      <c r="W552" s="827">
        <f>STDEV(L$2:L552)*SQRT(252)</f>
        <v>0.29049404453363842</v>
      </c>
      <c r="X552" s="826">
        <f t="shared" si="257"/>
        <v>0.86486872007406268</v>
      </c>
      <c r="Y552" s="826">
        <f t="shared" si="258"/>
        <v>0.24252318074287207</v>
      </c>
      <c r="Z552" s="832">
        <f t="shared" si="259"/>
        <v>-0.10949510812527166</v>
      </c>
    </row>
    <row r="553" spans="1:26" ht="20.100000000000001" customHeight="1" x14ac:dyDescent="0.2">
      <c r="A553" s="801">
        <f t="shared" si="266"/>
        <v>864</v>
      </c>
      <c r="B553" s="820">
        <v>43097</v>
      </c>
      <c r="C553" s="845">
        <v>2687.54</v>
      </c>
      <c r="D553" s="817">
        <f t="shared" si="264"/>
        <v>1.8340279279212386E-3</v>
      </c>
      <c r="E553" s="844">
        <f t="shared" si="232"/>
        <v>0.27829569452635977</v>
      </c>
      <c r="F553" s="841">
        <v>6950.16</v>
      </c>
      <c r="G553" s="817">
        <f t="shared" si="265"/>
        <v>1.560669401801028E-3</v>
      </c>
      <c r="H553" s="822">
        <f t="shared" si="261"/>
        <v>0.36499793782037437</v>
      </c>
      <c r="I553" s="824">
        <v>338405.59</v>
      </c>
      <c r="J553" s="825">
        <v>290000</v>
      </c>
      <c r="K553" s="825">
        <f t="shared" si="262"/>
        <v>132.05999999999767</v>
      </c>
      <c r="L553" s="817">
        <f t="shared" si="270"/>
        <v>3.9039412868041335E-4</v>
      </c>
      <c r="M553" s="842">
        <f t="shared" si="236"/>
        <v>48405.590000000026</v>
      </c>
      <c r="N553" s="827">
        <f t="shared" si="242"/>
        <v>0.16691582758620699</v>
      </c>
      <c r="O553" s="811">
        <f t="shared" si="267"/>
        <v>7.0562506974377437E-2</v>
      </c>
      <c r="P553" s="842" t="b">
        <f t="shared" si="237"/>
        <v>0</v>
      </c>
      <c r="Q553" s="827">
        <f>COUNTIF(P$2:P553, TRUE)/(COUNTIF(P$2:P553,FALSE) + COUNTIF(P$2:P553, TRUE))</f>
        <v>0.48369565217391303</v>
      </c>
      <c r="R553" s="825">
        <v>219160.1</v>
      </c>
      <c r="S553" s="825">
        <f t="shared" si="268"/>
        <v>119245.49000000002</v>
      </c>
      <c r="T553" s="825">
        <v>-31468</v>
      </c>
      <c r="U553" s="825">
        <f t="shared" si="269"/>
        <v>79873.590000000026</v>
      </c>
      <c r="V553" s="827">
        <f>STDEV(D$2:D553)*SQRT(252)</f>
        <v>0.13492214065501756</v>
      </c>
      <c r="W553" s="827">
        <f>STDEV(L$2:L553)*SQRT(252)</f>
        <v>0.29022987077746648</v>
      </c>
      <c r="X553" s="826">
        <f t="shared" si="257"/>
        <v>0.87196639247550867</v>
      </c>
      <c r="Y553" s="826">
        <f t="shared" si="258"/>
        <v>0.24312627361668496</v>
      </c>
      <c r="Z553" s="832">
        <f t="shared" si="259"/>
        <v>-0.11137986694015278</v>
      </c>
    </row>
    <row r="554" spans="1:26" ht="20.100000000000001" customHeight="1" x14ac:dyDescent="0.2">
      <c r="A554" s="801">
        <f t="shared" si="266"/>
        <v>865</v>
      </c>
      <c r="B554" s="820">
        <v>43098</v>
      </c>
      <c r="C554" s="845">
        <v>2673.61</v>
      </c>
      <c r="D554" s="817">
        <f t="shared" si="264"/>
        <v>-5.1831786689685872E-3</v>
      </c>
      <c r="E554" s="844">
        <f t="shared" ref="E554:E617" si="271">(C554-$C$2)/$C$2</f>
        <v>0.2716700595498564</v>
      </c>
      <c r="F554" s="841">
        <v>6903.38</v>
      </c>
      <c r="G554" s="817">
        <f t="shared" si="265"/>
        <v>-6.7307802985830181E-3</v>
      </c>
      <c r="H554" s="822">
        <f t="shared" si="261"/>
        <v>0.35581043659288653</v>
      </c>
      <c r="I554" s="847">
        <v>337203.38</v>
      </c>
      <c r="J554" s="825">
        <v>290000</v>
      </c>
      <c r="K554" s="825">
        <f t="shared" si="262"/>
        <v>-1202.210000000021</v>
      </c>
      <c r="L554" s="817">
        <f t="shared" si="270"/>
        <v>-3.5525713390255191E-3</v>
      </c>
      <c r="M554" s="847">
        <f t="shared" ref="M554:M617" si="272">I554-J554</f>
        <v>47203.380000000005</v>
      </c>
      <c r="N554" s="827">
        <f t="shared" si="242"/>
        <v>0.16277027586206899</v>
      </c>
      <c r="O554" s="811">
        <f t="shared" si="267"/>
        <v>6.8730454634243585E-2</v>
      </c>
      <c r="P554" s="842" t="b">
        <f t="shared" ref="P554:P617" si="273">L554&gt;D554</f>
        <v>1</v>
      </c>
      <c r="Q554" s="827">
        <f>COUNTIF(P$2:P554, TRUE)/(COUNTIF(P$2:P554,FALSE) + COUNTIF(P$2:P554, TRUE))</f>
        <v>0.48462929475587702</v>
      </c>
      <c r="R554" s="825">
        <v>227993.4</v>
      </c>
      <c r="S554" s="825">
        <f t="shared" si="268"/>
        <v>109209.98000000001</v>
      </c>
      <c r="T554" s="825">
        <v>-31748</v>
      </c>
      <c r="U554" s="825">
        <f t="shared" si="269"/>
        <v>78951.38</v>
      </c>
      <c r="V554" s="827">
        <f>STDEV(D$2:D554)*SQRT(252)</f>
        <v>0.13485398052483238</v>
      </c>
      <c r="W554" s="827">
        <f>STDEV(L$2:L554)*SQRT(252)</f>
        <v>0.28997990122526646</v>
      </c>
      <c r="X554" s="826">
        <f t="shared" si="257"/>
        <v>0.85065238681758393</v>
      </c>
      <c r="Y554" s="826">
        <f t="shared" si="258"/>
        <v>0.237017994501803</v>
      </c>
      <c r="Z554" s="832">
        <f t="shared" si="259"/>
        <v>-0.10889978368778741</v>
      </c>
    </row>
    <row r="555" spans="1:26" ht="20.100000000000001" customHeight="1" x14ac:dyDescent="0.2">
      <c r="A555" s="801">
        <f t="shared" si="266"/>
        <v>869</v>
      </c>
      <c r="B555" s="820">
        <v>43102</v>
      </c>
      <c r="C555" s="845">
        <v>2695.81</v>
      </c>
      <c r="D555" s="817">
        <f t="shared" si="264"/>
        <v>8.3033800741319098E-3</v>
      </c>
      <c r="E555" s="844">
        <f t="shared" si="271"/>
        <v>0.28222921938319279</v>
      </c>
      <c r="F555" s="841">
        <v>7006.89</v>
      </c>
      <c r="G555" s="817">
        <f t="shared" si="265"/>
        <v>1.4994104337295675E-2</v>
      </c>
      <c r="H555" s="822">
        <f t="shared" si="261"/>
        <v>0.37613959974075467</v>
      </c>
      <c r="I555" s="824">
        <v>343412.47999999998</v>
      </c>
      <c r="J555" s="825">
        <v>290000</v>
      </c>
      <c r="K555" s="825">
        <f t="shared" si="262"/>
        <v>6209.0999999999767</v>
      </c>
      <c r="L555" s="817">
        <f t="shared" si="270"/>
        <v>1.8413516495593776E-2</v>
      </c>
      <c r="M555" s="842">
        <f t="shared" si="272"/>
        <v>53412.479999999981</v>
      </c>
      <c r="N555" s="827">
        <f t="shared" si="242"/>
        <v>0.18418096551724131</v>
      </c>
      <c r="O555" s="811">
        <f t="shared" si="267"/>
        <v>7.7413230903535551E-2</v>
      </c>
      <c r="P555" s="842" t="b">
        <f t="shared" si="273"/>
        <v>1</v>
      </c>
      <c r="Q555" s="827">
        <f>COUNTIF(P$2:P555, TRUE)/(COUNTIF(P$2:P555,FALSE) + COUNTIF(P$2:P555, TRUE))</f>
        <v>0.48555956678700363</v>
      </c>
      <c r="R555" s="825">
        <v>227205.1</v>
      </c>
      <c r="S555" s="825">
        <f t="shared" si="268"/>
        <v>116207.37999999998</v>
      </c>
      <c r="T555" s="825">
        <v>-30580</v>
      </c>
      <c r="U555" s="825">
        <f t="shared" si="269"/>
        <v>83992.479999999981</v>
      </c>
      <c r="V555" s="827">
        <f>STDEV(D$2:D555)*SQRT(252)</f>
        <v>0.13483546761309076</v>
      </c>
      <c r="W555" s="827">
        <f>STDEV(L$2:L555)*SQRT(252)</f>
        <v>0.28996702596265966</v>
      </c>
      <c r="X555" s="826">
        <f t="shared" si="257"/>
        <v>0.87976823465996945</v>
      </c>
      <c r="Y555" s="826">
        <f t="shared" si="258"/>
        <v>0.26697253126120757</v>
      </c>
      <c r="Z555" s="832">
        <f t="shared" si="259"/>
        <v>-9.8048253865951479E-2</v>
      </c>
    </row>
    <row r="556" spans="1:26" ht="20.100000000000001" customHeight="1" x14ac:dyDescent="0.2">
      <c r="A556" s="801">
        <f t="shared" si="266"/>
        <v>870</v>
      </c>
      <c r="B556" s="820">
        <v>43103</v>
      </c>
      <c r="C556" s="845">
        <v>2713.06</v>
      </c>
      <c r="D556" s="817">
        <f t="shared" si="264"/>
        <v>6.3988189078607177E-3</v>
      </c>
      <c r="E556" s="844">
        <f t="shared" si="271"/>
        <v>0.29043397195639348</v>
      </c>
      <c r="F556" s="841">
        <v>7065.53</v>
      </c>
      <c r="G556" s="817">
        <f t="shared" si="265"/>
        <v>8.3689054630512842E-3</v>
      </c>
      <c r="H556" s="822">
        <f t="shared" si="261"/>
        <v>0.38765638195494628</v>
      </c>
      <c r="I556" s="824">
        <v>344644.23</v>
      </c>
      <c r="J556" s="825">
        <v>290000</v>
      </c>
      <c r="K556" s="825">
        <f t="shared" si="262"/>
        <v>1231.75</v>
      </c>
      <c r="L556" s="817">
        <f t="shared" si="270"/>
        <v>3.5867945160292371E-3</v>
      </c>
      <c r="M556" s="842">
        <f t="shared" si="272"/>
        <v>54644.229999999981</v>
      </c>
      <c r="N556" s="827">
        <f t="shared" si="242"/>
        <v>0.18842837931034476</v>
      </c>
      <c r="O556" s="811">
        <f t="shared" si="267"/>
        <v>7.9107431658739555E-2</v>
      </c>
      <c r="P556" s="842" t="b">
        <f t="shared" si="273"/>
        <v>0</v>
      </c>
      <c r="Q556" s="827">
        <f>COUNTIF(P$2:P556, TRUE)/(COUNTIF(P$2:P556,FALSE) + COUNTIF(P$2:P556, TRUE))</f>
        <v>0.48468468468468467</v>
      </c>
      <c r="R556" s="825">
        <v>229704.9</v>
      </c>
      <c r="S556" s="825">
        <f t="shared" si="268"/>
        <v>114939.32999999999</v>
      </c>
      <c r="T556" s="825">
        <v>-31165</v>
      </c>
      <c r="U556" s="825">
        <f t="shared" si="269"/>
        <v>85809.229999999981</v>
      </c>
      <c r="V556" s="827">
        <f>STDEV(D$2:D556)*SQRT(252)</f>
        <v>0.13477252040825866</v>
      </c>
      <c r="W556" s="827">
        <f>STDEV(L$2:L556)*SQRT(252)</f>
        <v>0.2897116598883494</v>
      </c>
      <c r="X556" s="826">
        <f t="shared" si="257"/>
        <v>0.90472592654327422</v>
      </c>
      <c r="Y556" s="826">
        <f t="shared" si="258"/>
        <v>0.27305573993544613</v>
      </c>
      <c r="Z556" s="832">
        <f t="shared" si="259"/>
        <v>-0.10200559264604872</v>
      </c>
    </row>
    <row r="557" spans="1:26" ht="20.100000000000001" customHeight="1" x14ac:dyDescent="0.2">
      <c r="A557" s="801">
        <f t="shared" si="266"/>
        <v>871</v>
      </c>
      <c r="B557" s="820">
        <v>43104</v>
      </c>
      <c r="C557" s="845">
        <v>2723.99</v>
      </c>
      <c r="D557" s="817">
        <f t="shared" si="264"/>
        <v>4.0286613639211209E-3</v>
      </c>
      <c r="E557" s="844">
        <f t="shared" si="271"/>
        <v>0.29563269344190546</v>
      </c>
      <c r="F557" s="841">
        <v>7077.91</v>
      </c>
      <c r="G557" s="817">
        <f t="shared" si="265"/>
        <v>1.7521686271235292E-3</v>
      </c>
      <c r="H557" s="822">
        <f t="shared" si="261"/>
        <v>0.39008778993263549</v>
      </c>
      <c r="I557" s="824">
        <v>346398.26</v>
      </c>
      <c r="J557" s="825">
        <v>290000</v>
      </c>
      <c r="K557" s="825">
        <f t="shared" si="262"/>
        <v>1754.0300000000279</v>
      </c>
      <c r="L557" s="817">
        <f t="shared" si="270"/>
        <v>5.0893931983136001E-3</v>
      </c>
      <c r="M557" s="842">
        <f t="shared" si="272"/>
        <v>56398.260000000009</v>
      </c>
      <c r="N557" s="827">
        <f t="shared" si="242"/>
        <v>0.19447675862068969</v>
      </c>
      <c r="O557" s="811">
        <f t="shared" si="267"/>
        <v>8.1552969100122732E-2</v>
      </c>
      <c r="P557" s="842" t="b">
        <f t="shared" si="273"/>
        <v>1</v>
      </c>
      <c r="Q557" s="827">
        <f>COUNTIF(P$2:P557, TRUE)/(COUNTIF(P$2:P557,FALSE) + COUNTIF(P$2:P557, TRUE))</f>
        <v>0.48561151079136688</v>
      </c>
      <c r="R557" s="825">
        <v>242885.7</v>
      </c>
      <c r="S557" s="825">
        <f t="shared" si="268"/>
        <v>103512.56</v>
      </c>
      <c r="T557" s="825">
        <v>-32271</v>
      </c>
      <c r="U557" s="825">
        <f t="shared" si="269"/>
        <v>88669.260000000009</v>
      </c>
      <c r="V557" s="827">
        <f>STDEV(D$2:D557)*SQRT(252)</f>
        <v>0.13467186615728099</v>
      </c>
      <c r="W557" s="827">
        <f>STDEV(L$2:L557)*SQRT(252)</f>
        <v>0.28946572718948649</v>
      </c>
      <c r="X557" s="826">
        <f t="shared" si="257"/>
        <v>0.92055057061790302</v>
      </c>
      <c r="Y557" s="826">
        <f t="shared" si="258"/>
        <v>0.28173618304296705</v>
      </c>
      <c r="Z557" s="832">
        <f t="shared" si="259"/>
        <v>-0.10115593482121576</v>
      </c>
    </row>
    <row r="558" spans="1:26" ht="20.100000000000001" customHeight="1" x14ac:dyDescent="0.2">
      <c r="A558" s="801">
        <f t="shared" si="266"/>
        <v>872</v>
      </c>
      <c r="B558" s="820">
        <v>43105</v>
      </c>
      <c r="C558" s="845">
        <v>2743.15</v>
      </c>
      <c r="D558" s="817">
        <f t="shared" si="264"/>
        <v>7.0337996835525499E-3</v>
      </c>
      <c r="E558" s="844">
        <f t="shared" si="271"/>
        <v>0.30474591427103748</v>
      </c>
      <c r="F558" s="841">
        <v>7136.55</v>
      </c>
      <c r="G558" s="817">
        <f t="shared" si="265"/>
        <v>8.2849315687823569E-3</v>
      </c>
      <c r="H558" s="822">
        <f t="shared" si="261"/>
        <v>0.40160457214682727</v>
      </c>
      <c r="I558" s="824">
        <v>346659.69</v>
      </c>
      <c r="J558" s="825">
        <v>290000</v>
      </c>
      <c r="K558" s="825">
        <f t="shared" si="262"/>
        <v>261.42999999999302</v>
      </c>
      <c r="L558" s="817">
        <f t="shared" ref="L558:L589" si="274">K558/I557</f>
        <v>7.5470933370159826E-4</v>
      </c>
      <c r="M558" s="842">
        <f t="shared" si="272"/>
        <v>56659.69</v>
      </c>
      <c r="N558" s="827">
        <f t="shared" si="242"/>
        <v>0.19537824137931034</v>
      </c>
      <c r="O558" s="811">
        <f t="shared" si="267"/>
        <v>8.1837044339212267E-2</v>
      </c>
      <c r="P558" s="842" t="b">
        <f t="shared" si="273"/>
        <v>0</v>
      </c>
      <c r="Q558" s="827">
        <f>COUNTIF(P$2:P558, TRUE)/(COUNTIF(P$2:P558,FALSE) + COUNTIF(P$2:P558, TRUE))</f>
        <v>0.48473967684021546</v>
      </c>
      <c r="R558" s="825">
        <v>221685.2</v>
      </c>
      <c r="S558" s="825">
        <f t="shared" si="268"/>
        <v>124974.48999999999</v>
      </c>
      <c r="T558" s="825">
        <v>-31364</v>
      </c>
      <c r="U558" s="825">
        <f t="shared" si="269"/>
        <v>88023.69</v>
      </c>
      <c r="V558" s="827">
        <f>STDEV(D$2:D558)*SQRT(252)</f>
        <v>0.13462231067466959</v>
      </c>
      <c r="W558" s="827">
        <f>STDEV(L$2:L558)*SQRT(252)</f>
        <v>0.2892048419948855</v>
      </c>
      <c r="X558" s="826">
        <f t="shared" si="257"/>
        <v>0.9481882972237784</v>
      </c>
      <c r="Y558" s="826">
        <f t="shared" si="258"/>
        <v>0.28297259400884972</v>
      </c>
      <c r="Z558" s="832">
        <f t="shared" si="259"/>
        <v>-0.10936767289172714</v>
      </c>
    </row>
    <row r="559" spans="1:26" ht="20.100000000000001" customHeight="1" x14ac:dyDescent="0.2">
      <c r="A559" s="801">
        <f t="shared" si="266"/>
        <v>875</v>
      </c>
      <c r="B559" s="820">
        <v>43108</v>
      </c>
      <c r="C559" s="845">
        <v>2747.71</v>
      </c>
      <c r="D559" s="817">
        <f t="shared" si="264"/>
        <v>1.662322512440058E-3</v>
      </c>
      <c r="E559" s="844">
        <f t="shared" si="271"/>
        <v>0.30691482277734439</v>
      </c>
      <c r="F559" s="841">
        <v>7157.38</v>
      </c>
      <c r="G559" s="817">
        <f t="shared" si="265"/>
        <v>2.9187772803385289E-3</v>
      </c>
      <c r="H559" s="822">
        <f t="shared" si="261"/>
        <v>0.40569554372802802</v>
      </c>
      <c r="I559" s="824">
        <v>347500.29</v>
      </c>
      <c r="J559" s="825">
        <v>290000</v>
      </c>
      <c r="K559" s="825">
        <f t="shared" si="262"/>
        <v>840.59999999997672</v>
      </c>
      <c r="L559" s="817">
        <f t="shared" si="274"/>
        <v>2.4248564925445377E-3</v>
      </c>
      <c r="M559" s="842">
        <f t="shared" si="272"/>
        <v>57500.289999999979</v>
      </c>
      <c r="N559" s="827">
        <f t="shared" si="242"/>
        <v>0.19827686206896544</v>
      </c>
      <c r="O559" s="811">
        <f t="shared" si="267"/>
        <v>8.2766427280788146E-2</v>
      </c>
      <c r="P559" s="842" t="b">
        <f t="shared" si="273"/>
        <v>1</v>
      </c>
      <c r="Q559" s="827">
        <f>COUNTIF(P$2:P559, TRUE)/(COUNTIF(P$2:P559,FALSE) + COUNTIF(P$2:P559, TRUE))</f>
        <v>0.48566308243727596</v>
      </c>
      <c r="R559" s="825">
        <v>226002.5</v>
      </c>
      <c r="S559" s="825">
        <f t="shared" si="268"/>
        <v>121497.78999999998</v>
      </c>
      <c r="T559" s="825">
        <v>-30809</v>
      </c>
      <c r="U559" s="825">
        <f t="shared" si="269"/>
        <v>88309.289999999979</v>
      </c>
      <c r="V559" s="827">
        <f>STDEV(D$2:D559)*SQRT(252)</f>
        <v>0.13450340927460769</v>
      </c>
      <c r="W559" s="827">
        <f>STDEV(L$2:L559)*SQRT(252)</f>
        <v>0.28894717192273284</v>
      </c>
      <c r="X559" s="826">
        <f t="shared" si="257"/>
        <v>0.95250385631962065</v>
      </c>
      <c r="Y559" s="826">
        <f t="shared" si="258"/>
        <v>0.28644138210468678</v>
      </c>
      <c r="Z559" s="832">
        <f t="shared" si="259"/>
        <v>-0.10863796070837894</v>
      </c>
    </row>
    <row r="560" spans="1:26" ht="20.100000000000001" customHeight="1" x14ac:dyDescent="0.2">
      <c r="A560" s="801">
        <f t="shared" si="266"/>
        <v>876</v>
      </c>
      <c r="B560" s="820">
        <v>43109</v>
      </c>
      <c r="C560" s="845">
        <v>2751.29</v>
      </c>
      <c r="D560" s="817">
        <f t="shared" si="264"/>
        <v>1.3029031448005528E-3</v>
      </c>
      <c r="E560" s="844">
        <f t="shared" si="271"/>
        <v>0.30861760620992745</v>
      </c>
      <c r="F560" s="841">
        <v>7163.57</v>
      </c>
      <c r="G560" s="817">
        <f t="shared" si="265"/>
        <v>8.6484160405058829E-4</v>
      </c>
      <c r="H560" s="822">
        <f t="shared" si="261"/>
        <v>0.40691124771687254</v>
      </c>
      <c r="I560" s="824">
        <v>347598.39</v>
      </c>
      <c r="J560" s="825">
        <v>290000</v>
      </c>
      <c r="K560" s="825">
        <f t="shared" si="262"/>
        <v>98.100000000034925</v>
      </c>
      <c r="L560" s="817">
        <f t="shared" si="274"/>
        <v>2.8230192268338807E-4</v>
      </c>
      <c r="M560" s="842">
        <f t="shared" si="272"/>
        <v>57598.390000000014</v>
      </c>
      <c r="N560" s="827">
        <f t="shared" si="242"/>
        <v>0.19861513793103452</v>
      </c>
      <c r="O560" s="811">
        <f t="shared" si="267"/>
        <v>8.2812989873641968E-2</v>
      </c>
      <c r="P560" s="842" t="b">
        <f t="shared" si="273"/>
        <v>0</v>
      </c>
      <c r="Q560" s="827">
        <f>COUNTIF(P$2:P560, TRUE)/(COUNTIF(P$2:P560,FALSE) + COUNTIF(P$2:P560, TRUE))</f>
        <v>0.48479427549194992</v>
      </c>
      <c r="R560" s="825">
        <v>226100.6</v>
      </c>
      <c r="S560" s="825">
        <f t="shared" si="268"/>
        <v>121497.79000000001</v>
      </c>
      <c r="T560" s="825">
        <v>-31069</v>
      </c>
      <c r="U560" s="825">
        <f t="shared" si="269"/>
        <v>88667.390000000014</v>
      </c>
      <c r="V560" s="827">
        <f>STDEV(D$2:D560)*SQRT(252)</f>
        <v>0.13438365522082504</v>
      </c>
      <c r="W560" s="827">
        <f>STDEV(L$2:L560)*SQRT(252)</f>
        <v>0.28868777341821511</v>
      </c>
      <c r="X560" s="826">
        <f t="shared" si="257"/>
        <v>0.95754758897981262</v>
      </c>
      <c r="Y560" s="826">
        <f t="shared" si="258"/>
        <v>0.28686005262049236</v>
      </c>
      <c r="Z560" s="832">
        <f t="shared" si="259"/>
        <v>-0.11000246827889293</v>
      </c>
    </row>
    <row r="561" spans="1:26" ht="20.100000000000001" customHeight="1" x14ac:dyDescent="0.2">
      <c r="A561" s="801">
        <f t="shared" si="266"/>
        <v>877</v>
      </c>
      <c r="B561" s="820">
        <v>43110</v>
      </c>
      <c r="C561" s="845">
        <v>2748.23</v>
      </c>
      <c r="D561" s="817">
        <f t="shared" si="264"/>
        <v>-1.1122055472160134E-3</v>
      </c>
      <c r="E561" s="844">
        <f t="shared" si="271"/>
        <v>0.30716215444911626</v>
      </c>
      <c r="F561" s="841">
        <v>7153.57</v>
      </c>
      <c r="G561" s="817">
        <f t="shared" si="265"/>
        <v>-1.3959520183372258E-3</v>
      </c>
      <c r="H561" s="822">
        <f t="shared" si="261"/>
        <v>0.40494726712100082</v>
      </c>
      <c r="I561" s="824">
        <v>346712.84</v>
      </c>
      <c r="J561" s="825">
        <v>290000</v>
      </c>
      <c r="K561" s="825">
        <f t="shared" si="262"/>
        <v>-885.54999999998836</v>
      </c>
      <c r="L561" s="817">
        <f t="shared" si="274"/>
        <v>-2.5476239979131902E-3</v>
      </c>
      <c r="M561" s="842">
        <f t="shared" si="272"/>
        <v>56712.840000000026</v>
      </c>
      <c r="N561" s="827">
        <f t="shared" si="242"/>
        <v>0.19556151724137941</v>
      </c>
      <c r="O561" s="811">
        <f t="shared" si="267"/>
        <v>8.1446800652695356E-2</v>
      </c>
      <c r="P561" s="842" t="b">
        <f t="shared" si="273"/>
        <v>0</v>
      </c>
      <c r="Q561" s="827">
        <f>COUNTIF(P$2:P561, TRUE)/(COUNTIF(P$2:P561,FALSE) + COUNTIF(P$2:P561, TRUE))</f>
        <v>0.48392857142857143</v>
      </c>
      <c r="R561" s="825">
        <v>225215.05</v>
      </c>
      <c r="S561" s="825">
        <f t="shared" si="268"/>
        <v>121497.79000000004</v>
      </c>
      <c r="T561" s="825">
        <v>-30783</v>
      </c>
      <c r="U561" s="825">
        <f t="shared" si="269"/>
        <v>87495.840000000026</v>
      </c>
      <c r="V561" s="827">
        <f>STDEV(D$2:D561)*SQRT(252)</f>
        <v>0.13426764638873573</v>
      </c>
      <c r="W561" s="827">
        <f>STDEV(L$2:L561)*SQRT(252)</f>
        <v>0.28843687816025637</v>
      </c>
      <c r="X561" s="826">
        <f t="shared" si="257"/>
        <v>0.9527675565157494</v>
      </c>
      <c r="Y561" s="826">
        <f t="shared" si="258"/>
        <v>0.28237304873145685</v>
      </c>
      <c r="Z561" s="832">
        <f t="shared" si="259"/>
        <v>-0.11160063720773686</v>
      </c>
    </row>
    <row r="562" spans="1:26" ht="20.100000000000001" customHeight="1" x14ac:dyDescent="0.2">
      <c r="A562" s="801">
        <f t="shared" si="266"/>
        <v>878</v>
      </c>
      <c r="B562" s="820">
        <v>43111</v>
      </c>
      <c r="C562" s="845">
        <v>2767.56</v>
      </c>
      <c r="D562" s="817">
        <f t="shared" si="264"/>
        <v>7.0336180014045138E-3</v>
      </c>
      <c r="E562" s="844">
        <f t="shared" si="271"/>
        <v>0.31635623370940424</v>
      </c>
      <c r="F562" s="841">
        <v>7211.77</v>
      </c>
      <c r="G562" s="817">
        <f t="shared" si="265"/>
        <v>8.1357979302642911E-3</v>
      </c>
      <c r="H562" s="822">
        <f t="shared" si="261"/>
        <v>0.41637763418897433</v>
      </c>
      <c r="I562" s="824">
        <v>352178.1</v>
      </c>
      <c r="J562" s="825">
        <v>290000</v>
      </c>
      <c r="K562" s="825">
        <f t="shared" si="262"/>
        <v>5465.2599999999511</v>
      </c>
      <c r="L562" s="817">
        <f t="shared" si="274"/>
        <v>1.5763073556779583E-2</v>
      </c>
      <c r="M562" s="842">
        <f t="shared" si="272"/>
        <v>62178.099999999977</v>
      </c>
      <c r="N562" s="827">
        <f t="shared" si="242"/>
        <v>0.21440724137931028</v>
      </c>
      <c r="O562" s="811">
        <f t="shared" si="267"/>
        <v>8.9193900812976179E-2</v>
      </c>
      <c r="P562" s="842" t="b">
        <f t="shared" si="273"/>
        <v>1</v>
      </c>
      <c r="Q562" s="827">
        <f>COUNTIF(P$2:P562, TRUE)/(COUNTIF(P$2:P562,FALSE) + COUNTIF(P$2:P562, TRUE))</f>
        <v>0.48484848484848486</v>
      </c>
      <c r="R562" s="825">
        <v>218099.25</v>
      </c>
      <c r="S562" s="825">
        <f t="shared" si="268"/>
        <v>134078.84999999998</v>
      </c>
      <c r="T562" s="825">
        <v>-30666</v>
      </c>
      <c r="U562" s="825">
        <f t="shared" si="269"/>
        <v>92844.099999999977</v>
      </c>
      <c r="V562" s="827">
        <f>STDEV(D$2:D562)*SQRT(252)</f>
        <v>0.13421874970356712</v>
      </c>
      <c r="W562" s="827">
        <f>STDEV(L$2:L562)*SQRT(252)</f>
        <v>0.28835759971493757</v>
      </c>
      <c r="X562" s="826">
        <f t="shared" si="257"/>
        <v>0.980525553568381</v>
      </c>
      <c r="Y562" s="826">
        <f t="shared" si="258"/>
        <v>0.30931697621686</v>
      </c>
      <c r="Z562" s="832">
        <f t="shared" si="259"/>
        <v>-0.10194899233009397</v>
      </c>
    </row>
    <row r="563" spans="1:26" ht="20.100000000000001" customHeight="1" x14ac:dyDescent="0.2">
      <c r="A563" s="801">
        <f t="shared" si="266"/>
        <v>879</v>
      </c>
      <c r="B563" s="820">
        <v>43112</v>
      </c>
      <c r="C563" s="845">
        <v>2786.24</v>
      </c>
      <c r="D563" s="817">
        <f t="shared" si="264"/>
        <v>6.7496278310135412E-3</v>
      </c>
      <c r="E563" s="844">
        <f t="shared" si="271"/>
        <v>0.32524114837997742</v>
      </c>
      <c r="F563" s="841">
        <v>7261.06</v>
      </c>
      <c r="G563" s="817">
        <f t="shared" si="265"/>
        <v>6.8346605618315563E-3</v>
      </c>
      <c r="H563" s="822">
        <f t="shared" si="261"/>
        <v>0.426058094546026</v>
      </c>
      <c r="I563" s="824">
        <v>354257.05</v>
      </c>
      <c r="J563" s="825">
        <v>290000</v>
      </c>
      <c r="K563" s="825">
        <f t="shared" si="262"/>
        <v>2078.9500000000116</v>
      </c>
      <c r="L563" s="817">
        <f t="shared" si="274"/>
        <v>5.9031211764729603E-3</v>
      </c>
      <c r="M563" s="842">
        <f t="shared" si="272"/>
        <v>64257.049999999988</v>
      </c>
      <c r="N563" s="827">
        <f t="shared" si="242"/>
        <v>0.22157603448275859</v>
      </c>
      <c r="O563" s="811">
        <f t="shared" si="267"/>
        <v>9.2071270301282801E-2</v>
      </c>
      <c r="P563" s="842" t="b">
        <f t="shared" si="273"/>
        <v>0</v>
      </c>
      <c r="Q563" s="827">
        <f>COUNTIF(P$2:P563, TRUE)/(COUNTIF(P$2:P563,FALSE) + COUNTIF(P$2:P563, TRUE))</f>
        <v>0.48398576512455516</v>
      </c>
      <c r="R563" s="825">
        <v>210112.6</v>
      </c>
      <c r="S563" s="825">
        <f t="shared" si="268"/>
        <v>144144.44999999998</v>
      </c>
      <c r="T563" s="825">
        <v>-30546</v>
      </c>
      <c r="U563" s="825">
        <f t="shared" si="269"/>
        <v>94803.049999999988</v>
      </c>
      <c r="V563" s="827">
        <f>STDEV(D$2:D563)*SQRT(252)</f>
        <v>0.13416370433949046</v>
      </c>
      <c r="W563" s="827">
        <f>STDEV(L$2:L563)*SQRT(252)</f>
        <v>0.28812150589296726</v>
      </c>
      <c r="X563" s="826">
        <f t="shared" si="257"/>
        <v>1.0073300609926426</v>
      </c>
      <c r="Y563" s="826">
        <f t="shared" si="258"/>
        <v>0.31955709108186414</v>
      </c>
      <c r="Z563" s="832">
        <f t="shared" si="259"/>
        <v>-0.10366511389721883</v>
      </c>
    </row>
    <row r="564" spans="1:26" ht="20.100000000000001" customHeight="1" x14ac:dyDescent="0.2">
      <c r="A564" s="801">
        <f t="shared" si="266"/>
        <v>883</v>
      </c>
      <c r="B564" s="820">
        <v>43116</v>
      </c>
      <c r="C564" s="845">
        <v>2776.42</v>
      </c>
      <c r="D564" s="817">
        <f t="shared" si="264"/>
        <v>-3.5244630756861252E-3</v>
      </c>
      <c r="E564" s="844">
        <f t="shared" si="271"/>
        <v>0.32057038488613232</v>
      </c>
      <c r="F564" s="841">
        <v>7223.68</v>
      </c>
      <c r="G564" s="817">
        <f t="shared" si="265"/>
        <v>-5.148008692945673E-3</v>
      </c>
      <c r="H564" s="822">
        <f t="shared" si="261"/>
        <v>0.41871673507865753</v>
      </c>
      <c r="I564" s="824">
        <v>351080.55</v>
      </c>
      <c r="J564" s="825">
        <v>290000</v>
      </c>
      <c r="K564" s="825">
        <f t="shared" si="262"/>
        <v>-3176.5</v>
      </c>
      <c r="L564" s="817">
        <f t="shared" si="274"/>
        <v>-8.9666528866539138E-3</v>
      </c>
      <c r="M564" s="842">
        <f t="shared" si="272"/>
        <v>61080.549999999988</v>
      </c>
      <c r="N564" s="827">
        <f t="shared" si="242"/>
        <v>0.2106225862068965</v>
      </c>
      <c r="O564" s="811">
        <f t="shared" si="267"/>
        <v>8.7123329118990886E-2</v>
      </c>
      <c r="P564" s="842" t="b">
        <f t="shared" si="273"/>
        <v>0</v>
      </c>
      <c r="Q564" s="827">
        <f>COUNTIF(P$2:P564, TRUE)/(COUNTIF(P$2:P564,FALSE) + COUNTIF(P$2:P564, TRUE))</f>
        <v>0.48312611012433393</v>
      </c>
      <c r="R564" s="825">
        <v>216645.1</v>
      </c>
      <c r="S564" s="825">
        <f t="shared" si="268"/>
        <v>134435.44999999998</v>
      </c>
      <c r="T564" s="825">
        <v>-30403</v>
      </c>
      <c r="U564" s="825">
        <f t="shared" si="269"/>
        <v>91483.549999999988</v>
      </c>
      <c r="V564" s="827">
        <f>STDEV(D$2:D564)*SQRT(252)</f>
        <v>0.13407167164533457</v>
      </c>
      <c r="W564" s="827">
        <f>STDEV(L$2:L564)*SQRT(252)</f>
        <v>0.28793680916923503</v>
      </c>
      <c r="X564" s="826">
        <f t="shared" si="257"/>
        <v>0.9890446437534286</v>
      </c>
      <c r="Y564" s="826">
        <f t="shared" si="258"/>
        <v>0.30257794885746647</v>
      </c>
      <c r="Z564" s="832">
        <f t="shared" si="259"/>
        <v>-0.10994779867923582</v>
      </c>
    </row>
    <row r="565" spans="1:26" ht="20.100000000000001" customHeight="1" x14ac:dyDescent="0.2">
      <c r="A565" s="801">
        <f t="shared" si="266"/>
        <v>884</v>
      </c>
      <c r="B565" s="820">
        <v>43117</v>
      </c>
      <c r="C565" s="845">
        <v>2802.56</v>
      </c>
      <c r="D565" s="817">
        <f t="shared" si="264"/>
        <v>9.4150020530034614E-3</v>
      </c>
      <c r="E565" s="844">
        <f t="shared" si="271"/>
        <v>0.33300355777097079</v>
      </c>
      <c r="F565" s="841">
        <v>7298.27</v>
      </c>
      <c r="G565" s="817">
        <f t="shared" si="265"/>
        <v>1.0325761938513353E-2</v>
      </c>
      <c r="H565" s="822">
        <f t="shared" si="261"/>
        <v>0.43336606634326469</v>
      </c>
      <c r="I565" s="824">
        <v>354388.75</v>
      </c>
      <c r="J565" s="825">
        <v>290000</v>
      </c>
      <c r="K565" s="825">
        <f t="shared" si="262"/>
        <v>3308.2000000000116</v>
      </c>
      <c r="L565" s="817">
        <f t="shared" si="274"/>
        <v>9.4229087883108634E-3</v>
      </c>
      <c r="M565" s="842">
        <f t="shared" si="272"/>
        <v>64388.75</v>
      </c>
      <c r="N565" s="827">
        <f t="shared" si="242"/>
        <v>0.22203017241379311</v>
      </c>
      <c r="O565" s="811">
        <f t="shared" si="267"/>
        <v>9.1738145332735208E-2</v>
      </c>
      <c r="P565" s="842" t="b">
        <f t="shared" si="273"/>
        <v>1</v>
      </c>
      <c r="Q565" s="827">
        <f>COUNTIF(P$2:P565, TRUE)/(COUNTIF(P$2:P565,FALSE) + COUNTIF(P$2:P565, TRUE))</f>
        <v>0.48404255319148937</v>
      </c>
      <c r="R565" s="825">
        <v>210366.65</v>
      </c>
      <c r="S565" s="825">
        <f t="shared" si="268"/>
        <v>144022.1</v>
      </c>
      <c r="T565" s="825">
        <v>-29857</v>
      </c>
      <c r="U565" s="825">
        <f t="shared" si="269"/>
        <v>94245.75</v>
      </c>
      <c r="V565" s="827">
        <f>STDEV(D$2:D565)*SQRT(252)</f>
        <v>0.13408415455090031</v>
      </c>
      <c r="W565" s="827">
        <f>STDEV(L$2:L565)*SQRT(252)</f>
        <v>0.28774044965708556</v>
      </c>
      <c r="X565" s="826">
        <f t="shared" si="257"/>
        <v>1.0261465163851142</v>
      </c>
      <c r="Y565" s="826">
        <f t="shared" ref="Y565:Y596" si="275">O565/W565</f>
        <v>0.31882255498684342</v>
      </c>
      <c r="Z565" s="832">
        <f t="shared" si="259"/>
        <v>-0.11097338535717768</v>
      </c>
    </row>
    <row r="566" spans="1:26" ht="20.100000000000001" customHeight="1" x14ac:dyDescent="0.2">
      <c r="A566" s="801">
        <f t="shared" si="266"/>
        <v>885</v>
      </c>
      <c r="B566" s="820">
        <v>43118</v>
      </c>
      <c r="C566" s="845">
        <v>2798.03</v>
      </c>
      <c r="D566" s="817">
        <f t="shared" si="264"/>
        <v>-1.6163793103447367E-3</v>
      </c>
      <c r="E566" s="844">
        <f t="shared" si="271"/>
        <v>0.33084891839957387</v>
      </c>
      <c r="F566" s="841">
        <v>7296.04</v>
      </c>
      <c r="G566" s="817">
        <f t="shared" si="265"/>
        <v>-3.0555186366090493E-4</v>
      </c>
      <c r="H566" s="822">
        <f t="shared" si="261"/>
        <v>0.43292809867038518</v>
      </c>
      <c r="I566" s="824">
        <v>353987.72</v>
      </c>
      <c r="J566" s="825">
        <v>290000</v>
      </c>
      <c r="K566" s="825">
        <f t="shared" si="262"/>
        <v>-401.03000000002794</v>
      </c>
      <c r="L566" s="817">
        <f t="shared" si="274"/>
        <v>-1.1316104137053672E-3</v>
      </c>
      <c r="M566" s="842">
        <f t="shared" si="272"/>
        <v>63987.719999999972</v>
      </c>
      <c r="N566" s="827">
        <f t="shared" si="242"/>
        <v>0.22064731034482749</v>
      </c>
      <c r="O566" s="811">
        <f t="shared" si="267"/>
        <v>9.1063762828755071E-2</v>
      </c>
      <c r="P566" s="842" t="b">
        <f t="shared" si="273"/>
        <v>1</v>
      </c>
      <c r="Q566" s="827">
        <f>COUNTIF(P$2:P566, TRUE)/(COUNTIF(P$2:P566,FALSE) + COUNTIF(P$2:P566, TRUE))</f>
        <v>0.4849557522123894</v>
      </c>
      <c r="R566" s="825">
        <v>212405.65</v>
      </c>
      <c r="S566" s="825">
        <f t="shared" si="268"/>
        <v>141582.06999999998</v>
      </c>
      <c r="T566" s="825">
        <v>-30624</v>
      </c>
      <c r="U566" s="825">
        <f t="shared" si="269"/>
        <v>94611.719999999972</v>
      </c>
      <c r="V566" s="827">
        <f>STDEV(D$2:D566)*SQRT(252)</f>
        <v>0.13397282052500681</v>
      </c>
      <c r="W566" s="827">
        <f>STDEV(L$2:L566)*SQRT(252)</f>
        <v>0.28748729200804252</v>
      </c>
      <c r="X566" s="826">
        <f t="shared" si="257"/>
        <v>1.0192013082546669</v>
      </c>
      <c r="Y566" s="826">
        <f t="shared" si="275"/>
        <v>0.31675752410721358</v>
      </c>
      <c r="Z566" s="832">
        <f t="shared" si="259"/>
        <v>-0.11020160805474638</v>
      </c>
    </row>
    <row r="567" spans="1:26" ht="20.100000000000001" customHeight="1" x14ac:dyDescent="0.2">
      <c r="A567" s="801">
        <f t="shared" si="266"/>
        <v>886</v>
      </c>
      <c r="B567" s="820">
        <v>43119</v>
      </c>
      <c r="C567" s="845">
        <v>2810.3</v>
      </c>
      <c r="D567" s="817">
        <f t="shared" si="264"/>
        <v>4.3852281783969367E-3</v>
      </c>
      <c r="E567" s="844">
        <f t="shared" si="271"/>
        <v>0.33668499457772877</v>
      </c>
      <c r="F567" s="841">
        <v>7336.38</v>
      </c>
      <c r="G567" s="817">
        <f t="shared" si="265"/>
        <v>5.5290267048974714E-3</v>
      </c>
      <c r="H567" s="822">
        <f t="shared" si="261"/>
        <v>0.44085079639413172</v>
      </c>
      <c r="I567" s="824">
        <v>365192.76</v>
      </c>
      <c r="J567" s="825">
        <v>300000</v>
      </c>
      <c r="K567" s="825">
        <f t="shared" si="262"/>
        <v>1205.0400000000373</v>
      </c>
      <c r="L567" s="817">
        <f t="shared" si="274"/>
        <v>3.4041858853183873E-3</v>
      </c>
      <c r="M567" s="842">
        <f t="shared" si="272"/>
        <v>65192.760000000009</v>
      </c>
      <c r="N567" s="827">
        <f t="shared" si="242"/>
        <v>0.21730920000000004</v>
      </c>
      <c r="O567" s="811">
        <f t="shared" si="267"/>
        <v>8.9584859255079016E-2</v>
      </c>
      <c r="P567" s="842" t="b">
        <f t="shared" si="273"/>
        <v>0</v>
      </c>
      <c r="Q567" s="827">
        <f>COUNTIF(P$2:P567, TRUE)/(COUNTIF(P$2:P567,FALSE) + COUNTIF(P$2:P567, TRUE))</f>
        <v>0.48409893992932862</v>
      </c>
      <c r="R567" s="825">
        <v>204670.9</v>
      </c>
      <c r="S567" s="825">
        <f t="shared" si="268"/>
        <v>160521.86000000002</v>
      </c>
      <c r="T567" s="825">
        <v>-30347</v>
      </c>
      <c r="U567" s="825">
        <f t="shared" si="269"/>
        <v>95539.760000000009</v>
      </c>
      <c r="V567" s="827">
        <f>STDEV(D$2:D567)*SQRT(252)</f>
        <v>0.13387859886701176</v>
      </c>
      <c r="W567" s="827">
        <f>STDEV(L$2:L567)*SQRT(252)</f>
        <v>0.28723816892790788</v>
      </c>
      <c r="X567" s="826">
        <f t="shared" si="257"/>
        <v>1.0367382103603608</v>
      </c>
      <c r="Y567" s="826">
        <f t="shared" si="275"/>
        <v>0.31188354803070534</v>
      </c>
      <c r="Z567" s="832">
        <f t="shared" si="259"/>
        <v>-0.11937579457772873</v>
      </c>
    </row>
    <row r="568" spans="1:26" ht="20.100000000000001" customHeight="1" x14ac:dyDescent="0.2">
      <c r="A568" s="801">
        <f t="shared" si="266"/>
        <v>889</v>
      </c>
      <c r="B568" s="820">
        <v>43122</v>
      </c>
      <c r="C568" s="845">
        <v>2832.97</v>
      </c>
      <c r="D568" s="817">
        <f t="shared" si="264"/>
        <v>8.0667544390277245E-3</v>
      </c>
      <c r="E568" s="844">
        <f t="shared" si="271"/>
        <v>0.34746770419132045</v>
      </c>
      <c r="F568" s="841">
        <v>7408.03</v>
      </c>
      <c r="G568" s="817">
        <f t="shared" si="265"/>
        <v>9.7663970514067742E-3</v>
      </c>
      <c r="H568" s="822">
        <f t="shared" si="261"/>
        <v>0.45492271736355244</v>
      </c>
      <c r="I568" s="824">
        <v>368309.46</v>
      </c>
      <c r="J568" s="825">
        <v>300000</v>
      </c>
      <c r="K568" s="825">
        <f t="shared" si="262"/>
        <v>3116.7000000000116</v>
      </c>
      <c r="L568" s="817">
        <f t="shared" si="274"/>
        <v>8.5343970126899871E-3</v>
      </c>
      <c r="M568" s="842">
        <f t="shared" si="272"/>
        <v>68309.460000000021</v>
      </c>
      <c r="N568" s="827">
        <f t="shared" si="242"/>
        <v>0.22769820000000007</v>
      </c>
      <c r="O568" s="811">
        <f t="shared" si="267"/>
        <v>9.3550919628796428E-2</v>
      </c>
      <c r="P568" s="842" t="b">
        <f t="shared" si="273"/>
        <v>1</v>
      </c>
      <c r="Q568" s="827">
        <f>COUNTIF(P$2:P568, TRUE)/(COUNTIF(P$2:P568,FALSE) + COUNTIF(P$2:P568, TRUE))</f>
        <v>0.48500881834215165</v>
      </c>
      <c r="R568" s="825">
        <v>220079.8</v>
      </c>
      <c r="S568" s="825">
        <f t="shared" si="268"/>
        <v>148229.66000000003</v>
      </c>
      <c r="T568" s="825">
        <v>-30244</v>
      </c>
      <c r="U568" s="825">
        <f t="shared" si="269"/>
        <v>98553.460000000021</v>
      </c>
      <c r="V568" s="827">
        <f>STDEV(D$2:D568)*SQRT(252)</f>
        <v>0.13385409195936193</v>
      </c>
      <c r="W568" s="827">
        <f>STDEV(L$2:L568)*SQRT(252)</f>
        <v>0.28703192101417985</v>
      </c>
      <c r="X568" s="826">
        <f t="shared" si="257"/>
        <v>1.0665255307838999</v>
      </c>
      <c r="Y568" s="826">
        <f t="shared" si="275"/>
        <v>0.32592514204778938</v>
      </c>
      <c r="Z568" s="832">
        <f t="shared" si="259"/>
        <v>-0.11976950419132038</v>
      </c>
    </row>
    <row r="569" spans="1:26" ht="20.100000000000001" customHeight="1" x14ac:dyDescent="0.2">
      <c r="A569" s="801">
        <f t="shared" si="266"/>
        <v>890</v>
      </c>
      <c r="B569" s="820">
        <v>43123</v>
      </c>
      <c r="C569" s="845">
        <v>2839.12</v>
      </c>
      <c r="D569" s="817">
        <f t="shared" si="264"/>
        <v>2.170866617013273E-3</v>
      </c>
      <c r="E569" s="844">
        <f t="shared" si="271"/>
        <v>0.35039287684785286</v>
      </c>
      <c r="F569" s="841">
        <v>7460.28</v>
      </c>
      <c r="G569" s="817">
        <f t="shared" si="265"/>
        <v>7.0531571821388413E-3</v>
      </c>
      <c r="H569" s="822">
        <f t="shared" si="261"/>
        <v>0.46518451597698213</v>
      </c>
      <c r="I569" s="824">
        <v>368315.52</v>
      </c>
      <c r="J569" s="825">
        <v>300000</v>
      </c>
      <c r="K569" s="825">
        <f t="shared" si="262"/>
        <v>6.0599999999976717</v>
      </c>
      <c r="L569" s="817">
        <f t="shared" si="274"/>
        <v>1.6453555116389548E-5</v>
      </c>
      <c r="M569" s="842">
        <f t="shared" si="272"/>
        <v>68315.520000000019</v>
      </c>
      <c r="N569" s="827">
        <f t="shared" si="242"/>
        <v>0.22771840000000007</v>
      </c>
      <c r="O569" s="811">
        <f t="shared" si="267"/>
        <v>9.3454096179775306E-2</v>
      </c>
      <c r="P569" s="842" t="b">
        <f t="shared" si="273"/>
        <v>0</v>
      </c>
      <c r="Q569" s="827">
        <f>COUNTIF(P$2:P569, TRUE)/(COUNTIF(P$2:P569,FALSE) + COUNTIF(P$2:P569, TRUE))</f>
        <v>0.48415492957746481</v>
      </c>
      <c r="R569" s="825">
        <v>218456.75</v>
      </c>
      <c r="S569" s="825">
        <f t="shared" si="268"/>
        <v>149858.77000000002</v>
      </c>
      <c r="T569" s="825">
        <v>-30209</v>
      </c>
      <c r="U569" s="825">
        <f t="shared" si="269"/>
        <v>98524.520000000019</v>
      </c>
      <c r="V569" s="827">
        <f>STDEV(D$2:D569)*SQRT(252)</f>
        <v>0.1337400925810926</v>
      </c>
      <c r="W569" s="827">
        <f>STDEV(L$2:L569)*SQRT(252)</f>
        <v>0.28677858516310845</v>
      </c>
      <c r="X569" s="826">
        <f t="shared" si="257"/>
        <v>1.0752114170400873</v>
      </c>
      <c r="Y569" s="826">
        <f t="shared" si="275"/>
        <v>0.32587543496883586</v>
      </c>
      <c r="Z569" s="832">
        <f t="shared" si="259"/>
        <v>-0.12267447684785279</v>
      </c>
    </row>
    <row r="570" spans="1:26" ht="20.100000000000001" customHeight="1" x14ac:dyDescent="0.2">
      <c r="A570" s="801">
        <f t="shared" si="266"/>
        <v>891</v>
      </c>
      <c r="B570" s="820">
        <v>43124</v>
      </c>
      <c r="C570" s="845">
        <v>2837.54</v>
      </c>
      <c r="D570" s="817">
        <f t="shared" si="264"/>
        <v>-5.5651046803232239E-4</v>
      </c>
      <c r="E570" s="844">
        <f t="shared" si="271"/>
        <v>0.3496413690759308</v>
      </c>
      <c r="F570" s="841">
        <v>7415.05</v>
      </c>
      <c r="G570" s="817">
        <f t="shared" si="265"/>
        <v>-6.0627751237218395E-3</v>
      </c>
      <c r="H570" s="822">
        <f t="shared" si="261"/>
        <v>0.4563014317418545</v>
      </c>
      <c r="I570" s="824">
        <v>368621.05</v>
      </c>
      <c r="J570" s="825">
        <v>300000</v>
      </c>
      <c r="K570" s="825">
        <f t="shared" si="262"/>
        <v>305.52999999996973</v>
      </c>
      <c r="L570" s="817">
        <f t="shared" si="274"/>
        <v>8.2953333055302617E-4</v>
      </c>
      <c r="M570" s="842">
        <f t="shared" si="272"/>
        <v>68621.049999999988</v>
      </c>
      <c r="N570" s="827">
        <f t="shared" si="242"/>
        <v>0.22873683333333331</v>
      </c>
      <c r="O570" s="811">
        <f t="shared" si="267"/>
        <v>9.3766698512906838E-2</v>
      </c>
      <c r="P570" s="842" t="b">
        <f t="shared" si="273"/>
        <v>1</v>
      </c>
      <c r="Q570" s="827">
        <f>COUNTIF(P$2:P570, TRUE)/(COUNTIF(P$2:P570,FALSE) + COUNTIF(P$2:P570, TRUE))</f>
        <v>0.48506151142355008</v>
      </c>
      <c r="R570" s="825">
        <v>219596.85</v>
      </c>
      <c r="S570" s="825">
        <f t="shared" si="268"/>
        <v>149024.19999999998</v>
      </c>
      <c r="T570" s="825">
        <v>-30343</v>
      </c>
      <c r="U570" s="825">
        <f t="shared" si="269"/>
        <v>98964.049999999988</v>
      </c>
      <c r="V570" s="827">
        <f>STDEV(D$2:D570)*SQRT(252)</f>
        <v>0.13362419314060342</v>
      </c>
      <c r="W570" s="827">
        <f>STDEV(L$2:L570)*SQRT(252)</f>
        <v>0.28652560070203631</v>
      </c>
      <c r="X570" s="826">
        <f t="shared" si="257"/>
        <v>1.0726307345929313</v>
      </c>
      <c r="Y570" s="826">
        <f t="shared" si="275"/>
        <v>0.32725417304130078</v>
      </c>
      <c r="Z570" s="832">
        <f t="shared" si="259"/>
        <v>-0.12090453574259749</v>
      </c>
    </row>
    <row r="571" spans="1:26" ht="20.100000000000001" customHeight="1" x14ac:dyDescent="0.2">
      <c r="A571" s="801">
        <f t="shared" si="266"/>
        <v>892</v>
      </c>
      <c r="B571" s="820">
        <v>43125</v>
      </c>
      <c r="C571" s="845">
        <v>2839.25</v>
      </c>
      <c r="D571" s="817">
        <f t="shared" si="264"/>
        <v>6.0263467651558618E-4</v>
      </c>
      <c r="E571" s="844">
        <f t="shared" si="271"/>
        <v>0.3504547097657959</v>
      </c>
      <c r="F571" s="841">
        <v>7411.16</v>
      </c>
      <c r="G571" s="817">
        <f t="shared" si="265"/>
        <v>-5.2460873493777218E-4</v>
      </c>
      <c r="H571" s="822">
        <f t="shared" si="261"/>
        <v>0.4555374432900603</v>
      </c>
      <c r="I571" s="824">
        <v>365192.24</v>
      </c>
      <c r="J571" s="825">
        <v>300000</v>
      </c>
      <c r="K571" s="825">
        <f t="shared" si="262"/>
        <v>-3428.8099999999977</v>
      </c>
      <c r="L571" s="817">
        <f t="shared" si="274"/>
        <v>-9.3017205609934595E-3</v>
      </c>
      <c r="M571" s="842">
        <f t="shared" si="272"/>
        <v>65192.239999999991</v>
      </c>
      <c r="N571" s="827">
        <f t="shared" si="242"/>
        <v>0.21730746666666664</v>
      </c>
      <c r="O571" s="811">
        <f t="shared" si="267"/>
        <v>8.8981560762331838E-2</v>
      </c>
      <c r="P571" s="842" t="b">
        <f t="shared" si="273"/>
        <v>0</v>
      </c>
      <c r="Q571" s="827">
        <f>COUNTIF(P$2:P571, TRUE)/(COUNTIF(P$2:P571,FALSE) + COUNTIF(P$2:P571, TRUE))</f>
        <v>0.48421052631578948</v>
      </c>
      <c r="R571" s="825">
        <v>213406.25</v>
      </c>
      <c r="S571" s="825">
        <f t="shared" si="268"/>
        <v>151785.99</v>
      </c>
      <c r="T571" s="825">
        <v>-32432</v>
      </c>
      <c r="U571" s="825">
        <f t="shared" si="269"/>
        <v>97624.239999999991</v>
      </c>
      <c r="V571" s="827">
        <f>STDEV(D$2:D571)*SQRT(252)</f>
        <v>0.13350651695509588</v>
      </c>
      <c r="W571" s="827">
        <f>STDEV(L$2:L571)*SQRT(252)</f>
        <v>0.28635026505168731</v>
      </c>
      <c r="X571" s="826">
        <f t="shared" si="257"/>
        <v>1.0748671873647724</v>
      </c>
      <c r="Y571" s="826">
        <f t="shared" si="275"/>
        <v>0.31074376950994032</v>
      </c>
      <c r="Z571" s="832">
        <f t="shared" si="259"/>
        <v>-0.13314724309912926</v>
      </c>
    </row>
    <row r="572" spans="1:26" ht="20.100000000000001" customHeight="1" x14ac:dyDescent="0.2">
      <c r="A572" s="801">
        <f t="shared" si="266"/>
        <v>893</v>
      </c>
      <c r="B572" s="820">
        <v>43126</v>
      </c>
      <c r="C572" s="845">
        <v>2872.87</v>
      </c>
      <c r="D572" s="817">
        <f t="shared" si="264"/>
        <v>1.1841155234657001E-2</v>
      </c>
      <c r="E572" s="844">
        <f t="shared" si="271"/>
        <v>0.36644565362150633</v>
      </c>
      <c r="F572" s="841">
        <v>7505.77</v>
      </c>
      <c r="G572" s="817">
        <f t="shared" si="265"/>
        <v>1.2765882803771687E-2</v>
      </c>
      <c r="H572" s="822">
        <f t="shared" si="261"/>
        <v>0.47411866370760269</v>
      </c>
      <c r="I572" s="824">
        <v>367940.03</v>
      </c>
      <c r="J572" s="825">
        <v>300000</v>
      </c>
      <c r="K572" s="825">
        <f t="shared" si="262"/>
        <v>2747.7900000000373</v>
      </c>
      <c r="L572" s="817">
        <f t="shared" si="274"/>
        <v>7.5242288828482155E-3</v>
      </c>
      <c r="M572" s="842">
        <f t="shared" si="272"/>
        <v>67940.030000000028</v>
      </c>
      <c r="N572" s="827">
        <f t="shared" si="242"/>
        <v>0.22646676666666676</v>
      </c>
      <c r="O572" s="811">
        <f t="shared" si="267"/>
        <v>9.2628204395296801E-2</v>
      </c>
      <c r="P572" s="842" t="b">
        <f t="shared" si="273"/>
        <v>0</v>
      </c>
      <c r="Q572" s="827">
        <f>COUNTIF(P$2:P572, TRUE)/(COUNTIF(P$2:P572,FALSE) + COUNTIF(P$2:P572, TRUE))</f>
        <v>0.48336252189141854</v>
      </c>
      <c r="R572" s="825">
        <v>189727.75</v>
      </c>
      <c r="S572" s="825">
        <f t="shared" si="268"/>
        <v>178212.28000000003</v>
      </c>
      <c r="T572" s="825">
        <v>-32122</v>
      </c>
      <c r="U572" s="825">
        <f t="shared" si="269"/>
        <v>100062.03000000003</v>
      </c>
      <c r="V572" s="827">
        <f>STDEV(D$2:D572)*SQRT(252)</f>
        <v>0.13359975823184689</v>
      </c>
      <c r="W572" s="827">
        <f>STDEV(L$2:L572)*SQRT(252)</f>
        <v>0.28613494749113977</v>
      </c>
      <c r="X572" s="826">
        <f t="shared" si="257"/>
        <v>1.1218703455007415</v>
      </c>
      <c r="Y572" s="826">
        <f t="shared" si="275"/>
        <v>0.32372209409395913</v>
      </c>
      <c r="Z572" s="832">
        <f t="shared" si="259"/>
        <v>-0.13997888695483957</v>
      </c>
    </row>
    <row r="573" spans="1:26" ht="20.100000000000001" customHeight="1" x14ac:dyDescent="0.2">
      <c r="A573" s="801">
        <f t="shared" si="266"/>
        <v>896</v>
      </c>
      <c r="B573" s="820">
        <v>43129</v>
      </c>
      <c r="C573" s="845">
        <v>2853.53</v>
      </c>
      <c r="D573" s="817">
        <f t="shared" si="264"/>
        <v>-6.7319440141738723E-3</v>
      </c>
      <c r="E573" s="844">
        <f t="shared" si="271"/>
        <v>0.35724681798291513</v>
      </c>
      <c r="F573" s="841">
        <v>7466.5</v>
      </c>
      <c r="G573" s="817">
        <f t="shared" si="265"/>
        <v>-5.2319748673354547E-3</v>
      </c>
      <c r="H573" s="822">
        <f t="shared" si="261"/>
        <v>0.46640611190761438</v>
      </c>
      <c r="I573" s="824">
        <v>367642.25</v>
      </c>
      <c r="J573" s="825">
        <v>300000</v>
      </c>
      <c r="K573" s="825">
        <f t="shared" si="262"/>
        <v>-297.78000000002794</v>
      </c>
      <c r="L573" s="817">
        <f t="shared" si="274"/>
        <v>-8.0931667043683151E-4</v>
      </c>
      <c r="M573" s="842">
        <f t="shared" si="272"/>
        <v>67642.25</v>
      </c>
      <c r="N573" s="827">
        <f t="shared" si="242"/>
        <v>0.22547416666666667</v>
      </c>
      <c r="O573" s="811">
        <f t="shared" si="267"/>
        <v>9.1913436802455367E-2</v>
      </c>
      <c r="P573" s="842" t="b">
        <f t="shared" si="273"/>
        <v>1</v>
      </c>
      <c r="Q573" s="827">
        <f>COUNTIF(P$2:P573, TRUE)/(COUNTIF(P$2:P573,FALSE) + COUNTIF(P$2:P573, TRUE))</f>
        <v>0.48426573426573427</v>
      </c>
      <c r="R573" s="825">
        <v>189728.75</v>
      </c>
      <c r="S573" s="825">
        <f t="shared" si="268"/>
        <v>177913.5</v>
      </c>
      <c r="T573" s="825">
        <v>-32121</v>
      </c>
      <c r="U573" s="825">
        <f t="shared" si="269"/>
        <v>99763.25</v>
      </c>
      <c r="V573" s="827">
        <f>STDEV(D$2:D573)*SQRT(252)</f>
        <v>0.13357094602559386</v>
      </c>
      <c r="W573" s="827">
        <f>STDEV(L$2:L573)*SQRT(252)</f>
        <v>0.28588553208856937</v>
      </c>
      <c r="X573" s="826">
        <f t="shared" si="257"/>
        <v>1.0902813474554434</v>
      </c>
      <c r="Y573" s="826">
        <f t="shared" si="275"/>
        <v>0.32150433122995509</v>
      </c>
      <c r="Z573" s="832">
        <f t="shared" si="259"/>
        <v>-0.13177265131624846</v>
      </c>
    </row>
    <row r="574" spans="1:26" ht="20.100000000000001" customHeight="1" x14ac:dyDescent="0.2">
      <c r="A574" s="801">
        <f t="shared" si="266"/>
        <v>897</v>
      </c>
      <c r="B574" s="820">
        <v>43130</v>
      </c>
      <c r="C574" s="845">
        <v>2822.43</v>
      </c>
      <c r="D574" s="817">
        <f t="shared" si="264"/>
        <v>-1.0898781509218533E-2</v>
      </c>
      <c r="E574" s="844">
        <f t="shared" si="271"/>
        <v>0.34245448145963725</v>
      </c>
      <c r="F574" s="841">
        <v>7402.48</v>
      </c>
      <c r="G574" s="817">
        <f t="shared" si="265"/>
        <v>-8.5742985334494662E-3</v>
      </c>
      <c r="H574" s="822">
        <f t="shared" si="261"/>
        <v>0.4538327081328436</v>
      </c>
      <c r="I574" s="824">
        <v>363472.55</v>
      </c>
      <c r="J574" s="825">
        <v>300000</v>
      </c>
      <c r="K574" s="825">
        <f t="shared" si="262"/>
        <v>-4169.7000000000116</v>
      </c>
      <c r="L574" s="817">
        <f t="shared" si="274"/>
        <v>-1.1341732349859168E-2</v>
      </c>
      <c r="M574" s="842">
        <f t="shared" si="272"/>
        <v>63472.549999999988</v>
      </c>
      <c r="N574" s="827">
        <f t="shared" si="242"/>
        <v>0.21157516666666662</v>
      </c>
      <c r="O574" s="811">
        <f t="shared" si="267"/>
        <v>8.6151426560758054E-2</v>
      </c>
      <c r="P574" s="842" t="b">
        <f t="shared" si="273"/>
        <v>0</v>
      </c>
      <c r="Q574" s="827">
        <f>COUNTIF(P$2:P574, TRUE)/(COUNTIF(P$2:P574,FALSE) + COUNTIF(P$2:P574, TRUE))</f>
        <v>0.48342059336823734</v>
      </c>
      <c r="R574" s="825">
        <v>202153.55</v>
      </c>
      <c r="S574" s="825">
        <f t="shared" si="268"/>
        <v>161319</v>
      </c>
      <c r="T574" s="825">
        <v>-32010</v>
      </c>
      <c r="U574" s="825">
        <f t="shared" si="269"/>
        <v>95482.549999999988</v>
      </c>
      <c r="V574" s="827">
        <f>STDEV(D$2:D574)*SQRT(252)</f>
        <v>0.13367087900186314</v>
      </c>
      <c r="W574" s="827">
        <f>STDEV(L$2:L574)*SQRT(252)</f>
        <v>0.28574629394244244</v>
      </c>
      <c r="X574" s="826">
        <f t="shared" si="257"/>
        <v>1.0431909998648377</v>
      </c>
      <c r="Y574" s="826">
        <f t="shared" si="275"/>
        <v>0.30149621670372895</v>
      </c>
      <c r="Z574" s="832">
        <f t="shared" si="259"/>
        <v>-0.13087931479297063</v>
      </c>
    </row>
    <row r="575" spans="1:26" ht="20.100000000000001" customHeight="1" x14ac:dyDescent="0.2">
      <c r="A575" s="801">
        <f t="shared" si="266"/>
        <v>898</v>
      </c>
      <c r="B575" s="820">
        <v>43131</v>
      </c>
      <c r="C575" s="845">
        <v>2823.81</v>
      </c>
      <c r="D575" s="817">
        <f t="shared" si="264"/>
        <v>4.8894038116095327E-4</v>
      </c>
      <c r="E575" s="844">
        <f t="shared" si="271"/>
        <v>0.34311086166549337</v>
      </c>
      <c r="F575" s="841">
        <v>7411.48</v>
      </c>
      <c r="G575" s="817">
        <f t="shared" si="265"/>
        <v>1.215808755984481E-3</v>
      </c>
      <c r="H575" s="822">
        <f t="shared" ref="H575:H606" si="276">(F575-F$2)/F$2</f>
        <v>0.45560029066912816</v>
      </c>
      <c r="I575" s="847">
        <v>363062.5</v>
      </c>
      <c r="J575" s="825">
        <v>300000</v>
      </c>
      <c r="K575" s="825">
        <f t="shared" ref="K575:K606" si="277">I575-I574-J575+J574</f>
        <v>-410.04999999998836</v>
      </c>
      <c r="L575" s="817">
        <f t="shared" si="274"/>
        <v>-1.1281457155429987E-3</v>
      </c>
      <c r="M575" s="847">
        <f t="shared" si="272"/>
        <v>63062.5</v>
      </c>
      <c r="N575" s="827">
        <f t="shared" si="242"/>
        <v>0.21020833333333333</v>
      </c>
      <c r="O575" s="811">
        <f t="shared" si="267"/>
        <v>8.5499547605790635E-2</v>
      </c>
      <c r="P575" s="842" t="b">
        <f t="shared" si="273"/>
        <v>0</v>
      </c>
      <c r="Q575" s="827">
        <f>COUNTIF(P$2:P575, TRUE)/(COUNTIF(P$2:P575,FALSE) + COUNTIF(P$2:P575, TRUE))</f>
        <v>0.48257839721254353</v>
      </c>
      <c r="R575" s="825">
        <v>225816.5</v>
      </c>
      <c r="S575" s="825">
        <f t="shared" si="268"/>
        <v>137246</v>
      </c>
      <c r="T575" s="825">
        <v>-31812</v>
      </c>
      <c r="U575" s="825">
        <f t="shared" si="269"/>
        <v>94874.5</v>
      </c>
      <c r="V575" s="827">
        <f>STDEV(D$2:D575)*SQRT(252)</f>
        <v>0.13355398891699974</v>
      </c>
      <c r="W575" s="827">
        <f>STDEV(L$2:L575)*SQRT(252)</f>
        <v>0.28549883335268605</v>
      </c>
      <c r="X575" s="826">
        <f t="shared" si="257"/>
        <v>1.0449403282928045</v>
      </c>
      <c r="Y575" s="826">
        <f t="shared" si="275"/>
        <v>0.29947424513700288</v>
      </c>
      <c r="Z575" s="832">
        <f t="shared" si="259"/>
        <v>-0.13290252833216004</v>
      </c>
    </row>
    <row r="576" spans="1:26" ht="20.100000000000001" customHeight="1" x14ac:dyDescent="0.2">
      <c r="A576" s="801">
        <f t="shared" si="266"/>
        <v>899</v>
      </c>
      <c r="B576" s="820">
        <v>43132</v>
      </c>
      <c r="C576" s="845">
        <v>2821.98</v>
      </c>
      <c r="D576" s="817">
        <f t="shared" ref="D576:D607" si="278">(C576-C575)/C575</f>
        <v>-6.4806059897795079E-4</v>
      </c>
      <c r="E576" s="844">
        <f t="shared" si="271"/>
        <v>0.34224044443598861</v>
      </c>
      <c r="F576" s="841">
        <v>7385.86</v>
      </c>
      <c r="G576" s="817">
        <f t="shared" ref="G576:G607" si="279">(F576-F575)/F575</f>
        <v>-3.4567994516614621E-3</v>
      </c>
      <c r="H576" s="822">
        <f t="shared" si="276"/>
        <v>0.45056857238250486</v>
      </c>
      <c r="I576" s="824">
        <v>363770.56</v>
      </c>
      <c r="J576" s="825">
        <v>300000</v>
      </c>
      <c r="K576" s="825">
        <f t="shared" si="277"/>
        <v>708.05999999999767</v>
      </c>
      <c r="L576" s="817">
        <f t="shared" si="274"/>
        <v>1.95024272680323E-3</v>
      </c>
      <c r="M576" s="842">
        <f t="shared" si="272"/>
        <v>63770.559999999998</v>
      </c>
      <c r="N576" s="827">
        <f t="shared" si="242"/>
        <v>0.21256853333333334</v>
      </c>
      <c r="O576" s="811">
        <f t="shared" si="267"/>
        <v>8.6363355728587318E-2</v>
      </c>
      <c r="P576" s="842" t="b">
        <f t="shared" si="273"/>
        <v>1</v>
      </c>
      <c r="Q576" s="827">
        <f>COUNTIF(P$2:P576, TRUE)/(COUNTIF(P$2:P576,FALSE) + COUNTIF(P$2:P576, TRUE))</f>
        <v>0.48347826086956519</v>
      </c>
      <c r="R576" s="825">
        <v>233398.5</v>
      </c>
      <c r="S576" s="825">
        <f t="shared" si="268"/>
        <v>130372.06</v>
      </c>
      <c r="T576" s="825">
        <v>-31543</v>
      </c>
      <c r="U576" s="825">
        <f t="shared" si="269"/>
        <v>95313.56</v>
      </c>
      <c r="V576" s="827">
        <f>STDEV(D$2:D576)*SQRT(252)</f>
        <v>0.13343976080758532</v>
      </c>
      <c r="W576" s="827">
        <f>STDEV(L$2:L576)*SQRT(252)</f>
        <v>0.28525091154522259</v>
      </c>
      <c r="X576" s="826">
        <f t="shared" si="257"/>
        <v>1.0420213306571622</v>
      </c>
      <c r="Y576" s="826">
        <f t="shared" si="275"/>
        <v>0.30276276861220686</v>
      </c>
      <c r="Z576" s="832">
        <f t="shared" si="259"/>
        <v>-0.12967191110265527</v>
      </c>
    </row>
    <row r="577" spans="1:26" ht="20.100000000000001" customHeight="1" x14ac:dyDescent="0.2">
      <c r="A577" s="801">
        <f t="shared" si="266"/>
        <v>900</v>
      </c>
      <c r="B577" s="820">
        <v>43133</v>
      </c>
      <c r="C577" s="845">
        <v>2762.13</v>
      </c>
      <c r="D577" s="817">
        <f t="shared" si="278"/>
        <v>-2.1208513171602886E-2</v>
      </c>
      <c r="E577" s="844">
        <f t="shared" si="271"/>
        <v>0.31377352029070987</v>
      </c>
      <c r="F577" s="841">
        <v>7240.94</v>
      </c>
      <c r="G577" s="817">
        <f t="shared" si="279"/>
        <v>-1.9621276330718439E-2</v>
      </c>
      <c r="H577" s="822">
        <f t="shared" si="276"/>
        <v>0.422106565587132</v>
      </c>
      <c r="I577" s="824">
        <v>356559.21</v>
      </c>
      <c r="J577" s="825">
        <v>300000</v>
      </c>
      <c r="K577" s="825">
        <f t="shared" si="277"/>
        <v>-7211.3499999999767</v>
      </c>
      <c r="L577" s="817">
        <f t="shared" si="274"/>
        <v>-1.9823896689165767E-2</v>
      </c>
      <c r="M577" s="842">
        <f t="shared" si="272"/>
        <v>56559.210000000021</v>
      </c>
      <c r="N577" s="827">
        <f t="shared" ref="N577:N617" si="280">M577/J577</f>
        <v>0.18853070000000008</v>
      </c>
      <c r="O577" s="811">
        <f t="shared" si="267"/>
        <v>7.651204241666669E-2</v>
      </c>
      <c r="P577" s="842" t="b">
        <f t="shared" si="273"/>
        <v>1</v>
      </c>
      <c r="Q577" s="827">
        <f>COUNTIF(P$2:P577, TRUE)/(COUNTIF(P$2:P577,FALSE) + COUNTIF(P$2:P577, TRUE))</f>
        <v>0.484375</v>
      </c>
      <c r="R577" s="825">
        <v>256773.45</v>
      </c>
      <c r="S577" s="825">
        <f t="shared" si="268"/>
        <v>99785.760000000009</v>
      </c>
      <c r="T577" s="825">
        <v>-31380</v>
      </c>
      <c r="U577" s="825">
        <f t="shared" si="269"/>
        <v>87939.210000000021</v>
      </c>
      <c r="V577" s="827">
        <f>STDEV(D$2:D577)*SQRT(252)</f>
        <v>0.13409921649872969</v>
      </c>
      <c r="W577" s="827">
        <f>STDEV(L$2:L577)*SQRT(252)</f>
        <v>0.28532431904874161</v>
      </c>
      <c r="X577" s="826">
        <f t="shared" si="257"/>
        <v>0.94959356941894857</v>
      </c>
      <c r="Y577" s="826">
        <f t="shared" si="275"/>
        <v>0.26815815305107671</v>
      </c>
      <c r="Z577" s="832">
        <f t="shared" si="259"/>
        <v>-0.12524282029070979</v>
      </c>
    </row>
    <row r="578" spans="1:26" ht="20.100000000000001" customHeight="1" x14ac:dyDescent="0.2">
      <c r="A578" s="801">
        <f t="shared" si="266"/>
        <v>903</v>
      </c>
      <c r="B578" s="820">
        <v>43136</v>
      </c>
      <c r="C578" s="845">
        <v>2648.94</v>
      </c>
      <c r="D578" s="817">
        <f t="shared" si="278"/>
        <v>-4.0979244278871757E-2</v>
      </c>
      <c r="E578" s="844">
        <f t="shared" si="271"/>
        <v>0.25993607427560356</v>
      </c>
      <c r="F578" s="841">
        <v>6967.52</v>
      </c>
      <c r="G578" s="817">
        <f t="shared" si="279"/>
        <v>-3.7760290790974538E-2</v>
      </c>
      <c r="H578" s="822">
        <f t="shared" si="276"/>
        <v>0.36840740813480777</v>
      </c>
      <c r="I578" s="824">
        <v>346151.51</v>
      </c>
      <c r="J578" s="825">
        <v>300000</v>
      </c>
      <c r="K578" s="825">
        <f t="shared" si="277"/>
        <v>-10407.700000000012</v>
      </c>
      <c r="L578" s="817">
        <f t="shared" si="274"/>
        <v>-2.918926144131857E-2</v>
      </c>
      <c r="M578" s="842">
        <f t="shared" si="272"/>
        <v>46151.510000000009</v>
      </c>
      <c r="N578" s="827">
        <f t="shared" si="280"/>
        <v>0.1538383666666667</v>
      </c>
      <c r="O578" s="811">
        <f t="shared" si="267"/>
        <v>6.2225319407530469E-2</v>
      </c>
      <c r="P578" s="842" t="b">
        <f t="shared" si="273"/>
        <v>1</v>
      </c>
      <c r="Q578" s="827">
        <f>COUNTIF(P$2:P578, TRUE)/(COUNTIF(P$2:P578,FALSE) + COUNTIF(P$2:P578, TRUE))</f>
        <v>0.48526863084922012</v>
      </c>
      <c r="R578" s="825">
        <v>265974.57</v>
      </c>
      <c r="S578" s="825">
        <f t="shared" si="268"/>
        <v>80176.94</v>
      </c>
      <c r="T578" s="825">
        <v>-31901</v>
      </c>
      <c r="U578" s="825">
        <f t="shared" si="269"/>
        <v>78052.510000000009</v>
      </c>
      <c r="V578" s="827">
        <f>STDEV(D$2:D578)*SQRT(252)</f>
        <v>0.13676413993416908</v>
      </c>
      <c r="W578" s="827">
        <f>STDEV(L$2:L578)*SQRT(252)</f>
        <v>0.28575670816669452</v>
      </c>
      <c r="X578" s="826">
        <f t="shared" si="257"/>
        <v>0.76877064417325591</v>
      </c>
      <c r="Y578" s="826">
        <f t="shared" si="275"/>
        <v>0.21775628578151066</v>
      </c>
      <c r="Z578" s="832">
        <f t="shared" si="259"/>
        <v>-0.10609770760893686</v>
      </c>
    </row>
    <row r="579" spans="1:26" ht="20.100000000000001" customHeight="1" x14ac:dyDescent="0.2">
      <c r="A579" s="801">
        <f t="shared" ref="A579:A610" si="281">B579-$B$2</f>
        <v>904</v>
      </c>
      <c r="B579" s="820">
        <v>43137</v>
      </c>
      <c r="C579" s="845">
        <v>2695.14</v>
      </c>
      <c r="D579" s="817">
        <f t="shared" si="278"/>
        <v>1.7440938639606718E-2</v>
      </c>
      <c r="E579" s="844">
        <f t="shared" si="271"/>
        <v>0.28191054203687133</v>
      </c>
      <c r="F579" s="841">
        <v>7115.88</v>
      </c>
      <c r="G579" s="817">
        <f t="shared" si="279"/>
        <v>2.1293085631616367E-2</v>
      </c>
      <c r="H579" s="822">
        <f t="shared" si="276"/>
        <v>0.39754502425516042</v>
      </c>
      <c r="I579" s="824">
        <v>368455.72</v>
      </c>
      <c r="J579" s="825">
        <v>315000</v>
      </c>
      <c r="K579" s="825">
        <f t="shared" si="277"/>
        <v>7304.2099999999627</v>
      </c>
      <c r="L579" s="817">
        <f t="shared" si="274"/>
        <v>2.1101193520721498E-2</v>
      </c>
      <c r="M579" s="842">
        <f t="shared" si="272"/>
        <v>53455.719999999972</v>
      </c>
      <c r="N579" s="827">
        <f t="shared" si="280"/>
        <v>0.16970069841269833</v>
      </c>
      <c r="O579" s="811">
        <f t="shared" ref="O579:O610" si="282">N579/(A579/365.25)</f>
        <v>6.8565464707121757E-2</v>
      </c>
      <c r="P579" s="842" t="b">
        <f t="shared" si="273"/>
        <v>1</v>
      </c>
      <c r="Q579" s="827">
        <f>COUNTIF(P$2:P579, TRUE)/(COUNTIF(P$2:P579,FALSE) + COUNTIF(P$2:P579, TRUE))</f>
        <v>0.48615916955017302</v>
      </c>
      <c r="R579" s="825">
        <v>296999.40999999997</v>
      </c>
      <c r="S579" s="825">
        <f t="shared" si="268"/>
        <v>71456.31</v>
      </c>
      <c r="T579" s="825">
        <v>-31165</v>
      </c>
      <c r="U579" s="825">
        <f t="shared" si="269"/>
        <v>84620.719999999972</v>
      </c>
      <c r="V579" s="827">
        <f>STDEV(D$2:D579)*SQRT(252)</f>
        <v>0.13710658349791818</v>
      </c>
      <c r="W579" s="827">
        <f>STDEV(L$2:L579)*SQRT(252)</f>
        <v>0.28583112452570963</v>
      </c>
      <c r="X579" s="826">
        <f t="shared" si="257"/>
        <v>0.8307585157991072</v>
      </c>
      <c r="Y579" s="826">
        <f t="shared" si="275"/>
        <v>0.23988103052421256</v>
      </c>
      <c r="Z579" s="832">
        <f t="shared" si="259"/>
        <v>-0.11220984362417299</v>
      </c>
    </row>
    <row r="580" spans="1:26" ht="20.100000000000001" customHeight="1" x14ac:dyDescent="0.2">
      <c r="A580" s="801">
        <f t="shared" si="281"/>
        <v>905</v>
      </c>
      <c r="B580" s="820">
        <v>43138</v>
      </c>
      <c r="C580" s="845">
        <v>2681.66</v>
      </c>
      <c r="D580" s="817">
        <f t="shared" si="278"/>
        <v>-5.0015954644285713E-3</v>
      </c>
      <c r="E580" s="844">
        <f t="shared" si="271"/>
        <v>0.27549894408401654</v>
      </c>
      <c r="F580" s="841">
        <v>7051.98</v>
      </c>
      <c r="G580" s="817">
        <f t="shared" si="279"/>
        <v>-8.979915344272324E-3</v>
      </c>
      <c r="H580" s="822">
        <f t="shared" si="276"/>
        <v>0.38499518824754009</v>
      </c>
      <c r="I580" s="824">
        <v>449047.22</v>
      </c>
      <c r="J580" s="825">
        <v>400000</v>
      </c>
      <c r="K580" s="825">
        <f t="shared" si="277"/>
        <v>-4408.5</v>
      </c>
      <c r="L580" s="817">
        <f t="shared" si="274"/>
        <v>-1.196480271767799E-2</v>
      </c>
      <c r="M580" s="842">
        <f t="shared" si="272"/>
        <v>49047.219999999972</v>
      </c>
      <c r="N580" s="827">
        <f t="shared" si="280"/>
        <v>0.12261804999999994</v>
      </c>
      <c r="O580" s="811">
        <f t="shared" si="282"/>
        <v>4.9487561063535884E-2</v>
      </c>
      <c r="P580" s="842" t="b">
        <f t="shared" si="273"/>
        <v>0</v>
      </c>
      <c r="Q580" s="827">
        <f>COUNTIF(P$2:P580, TRUE)/(COUNTIF(P$2:P580,FALSE) + COUNTIF(P$2:P580, TRUE))</f>
        <v>0.48531951640759929</v>
      </c>
      <c r="R580" s="825">
        <v>292590.90999999997</v>
      </c>
      <c r="S580" s="825">
        <f t="shared" si="268"/>
        <v>156456.31</v>
      </c>
      <c r="T580" s="825">
        <v>-30966</v>
      </c>
      <c r="U580" s="825">
        <f t="shared" si="269"/>
        <v>80013.219999999972</v>
      </c>
      <c r="V580" s="827">
        <f>STDEV(D$2:D580)*SQRT(252)</f>
        <v>0.13703531607045086</v>
      </c>
      <c r="W580" s="827">
        <f>STDEV(L$2:L580)*SQRT(252)</f>
        <v>0.28570370626215735</v>
      </c>
      <c r="X580" s="826">
        <f t="shared" si="257"/>
        <v>0.81138893002854873</v>
      </c>
      <c r="Y580" s="826">
        <f t="shared" si="275"/>
        <v>0.17321287746308356</v>
      </c>
      <c r="Z580" s="832">
        <f t="shared" si="259"/>
        <v>-0.15288089408401662</v>
      </c>
    </row>
    <row r="581" spans="1:26" ht="20.100000000000001" customHeight="1" x14ac:dyDescent="0.2">
      <c r="A581" s="801">
        <f t="shared" si="281"/>
        <v>906</v>
      </c>
      <c r="B581" s="820">
        <v>43139</v>
      </c>
      <c r="C581" s="845">
        <v>2581</v>
      </c>
      <c r="D581" s="817">
        <f t="shared" si="278"/>
        <v>-3.753645130255135E-2</v>
      </c>
      <c r="E581" s="844">
        <f t="shared" si="271"/>
        <v>0.2276212400829512</v>
      </c>
      <c r="F581" s="841">
        <v>6777.15</v>
      </c>
      <c r="G581" s="817">
        <f t="shared" si="279"/>
        <v>-3.8972033386368073E-2</v>
      </c>
      <c r="H581" s="822">
        <f t="shared" si="276"/>
        <v>0.33101910953119779</v>
      </c>
      <c r="I581" s="824">
        <v>437852.33</v>
      </c>
      <c r="J581" s="825">
        <v>400000</v>
      </c>
      <c r="K581" s="825">
        <f t="shared" si="277"/>
        <v>-11194.889999999956</v>
      </c>
      <c r="L581" s="817">
        <f t="shared" si="274"/>
        <v>-2.4930318018670634E-2</v>
      </c>
      <c r="M581" s="842">
        <f t="shared" si="272"/>
        <v>37852.330000000016</v>
      </c>
      <c r="N581" s="827">
        <f t="shared" si="280"/>
        <v>9.4630825000000043E-2</v>
      </c>
      <c r="O581" s="811">
        <f t="shared" si="282"/>
        <v>3.8150009747516575E-2</v>
      </c>
      <c r="P581" s="842" t="b">
        <f t="shared" si="273"/>
        <v>1</v>
      </c>
      <c r="Q581" s="827">
        <f>COUNTIF(P$2:P581, TRUE)/(COUNTIF(P$2:P581,FALSE) + COUNTIF(P$2:P581, TRUE))</f>
        <v>0.48620689655172411</v>
      </c>
      <c r="R581" s="825">
        <v>297311.21000000002</v>
      </c>
      <c r="S581" s="825">
        <f t="shared" si="268"/>
        <v>140541.12</v>
      </c>
      <c r="T581" s="825">
        <v>-31340</v>
      </c>
      <c r="U581" s="825">
        <f t="shared" si="269"/>
        <v>69192.330000000016</v>
      </c>
      <c r="V581" s="827">
        <f>STDEV(D$2:D581)*SQRT(252)</f>
        <v>0.13919227894653693</v>
      </c>
      <c r="W581" s="827">
        <f>STDEV(L$2:L581)*SQRT(252)</f>
        <v>0.28595185199746759</v>
      </c>
      <c r="X581" s="826">
        <f t="shared" si="257"/>
        <v>0.65926446357098534</v>
      </c>
      <c r="Y581" s="826">
        <f t="shared" si="275"/>
        <v>0.13341410269255552</v>
      </c>
      <c r="Z581" s="832">
        <f t="shared" si="259"/>
        <v>-0.13299041508295117</v>
      </c>
    </row>
    <row r="582" spans="1:26" ht="20.100000000000001" customHeight="1" x14ac:dyDescent="0.2">
      <c r="A582" s="801">
        <f t="shared" si="281"/>
        <v>907</v>
      </c>
      <c r="B582" s="820">
        <v>43140</v>
      </c>
      <c r="C582" s="845">
        <v>2619.5500000000002</v>
      </c>
      <c r="D582" s="817">
        <f t="shared" si="278"/>
        <v>1.4936071290197668E-2</v>
      </c>
      <c r="E582" s="844">
        <f t="shared" si="271"/>
        <v>0.24595707844219103</v>
      </c>
      <c r="F582" s="841">
        <v>6874.49</v>
      </c>
      <c r="G582" s="817">
        <f t="shared" si="279"/>
        <v>1.4362969684897066E-2</v>
      </c>
      <c r="H582" s="822">
        <f t="shared" si="276"/>
        <v>0.35013649665141311</v>
      </c>
      <c r="I582" s="824">
        <v>439997.44</v>
      </c>
      <c r="J582" s="825">
        <v>400000</v>
      </c>
      <c r="K582" s="825">
        <f t="shared" si="277"/>
        <v>2145.109999999986</v>
      </c>
      <c r="L582" s="817">
        <f t="shared" si="274"/>
        <v>4.8991631493658736E-3</v>
      </c>
      <c r="M582" s="842">
        <f t="shared" si="272"/>
        <v>39997.440000000002</v>
      </c>
      <c r="N582" s="827">
        <f t="shared" si="280"/>
        <v>9.9993600000000002E-2</v>
      </c>
      <c r="O582" s="811">
        <f t="shared" si="282"/>
        <v>4.0267543991179718E-2</v>
      </c>
      <c r="P582" s="842" t="b">
        <f t="shared" si="273"/>
        <v>0</v>
      </c>
      <c r="Q582" s="827">
        <f>COUNTIF(P$2:P582, TRUE)/(COUNTIF(P$2:P582,FALSE) + COUNTIF(P$2:P582, TRUE))</f>
        <v>0.48537005163511188</v>
      </c>
      <c r="R582" s="825">
        <v>299744.40000000002</v>
      </c>
      <c r="S582" s="825">
        <f t="shared" si="268"/>
        <v>140253.03999999998</v>
      </c>
      <c r="T582" s="825">
        <v>-31484</v>
      </c>
      <c r="U582" s="825">
        <f t="shared" si="269"/>
        <v>71481.440000000002</v>
      </c>
      <c r="V582" s="827">
        <f>STDEV(D$2:D582)*SQRT(252)</f>
        <v>0.13940203230869319</v>
      </c>
      <c r="W582" s="827">
        <f>STDEV(L$2:L582)*SQRT(252)</f>
        <v>0.28571933333245791</v>
      </c>
      <c r="X582" s="826">
        <f t="shared" si="257"/>
        <v>0.71051484790035679</v>
      </c>
      <c r="Y582" s="826">
        <f t="shared" si="275"/>
        <v>0.14093391413707773</v>
      </c>
      <c r="Z582" s="832">
        <f t="shared" si="259"/>
        <v>-0.14596347844219104</v>
      </c>
    </row>
    <row r="583" spans="1:26" ht="20.100000000000001" customHeight="1" x14ac:dyDescent="0.2">
      <c r="A583" s="801">
        <f t="shared" si="281"/>
        <v>910</v>
      </c>
      <c r="B583" s="820">
        <v>43143</v>
      </c>
      <c r="C583" s="845">
        <v>2656</v>
      </c>
      <c r="D583" s="817">
        <f t="shared" si="278"/>
        <v>1.3914603653299161E-2</v>
      </c>
      <c r="E583" s="844">
        <f t="shared" si="271"/>
        <v>0.26329407735773669</v>
      </c>
      <c r="F583" s="841">
        <v>6981.96</v>
      </c>
      <c r="G583" s="817">
        <f t="shared" si="279"/>
        <v>1.5633159696210229E-2</v>
      </c>
      <c r="H583" s="822">
        <f t="shared" si="276"/>
        <v>0.37124339611524643</v>
      </c>
      <c r="I583" s="824">
        <v>444241.95</v>
      </c>
      <c r="J583" s="825">
        <v>400000</v>
      </c>
      <c r="K583" s="825">
        <f t="shared" si="277"/>
        <v>4244.5100000000093</v>
      </c>
      <c r="L583" s="817">
        <f t="shared" si="274"/>
        <v>9.6466697624422761E-3</v>
      </c>
      <c r="M583" s="842">
        <f t="shared" si="272"/>
        <v>44241.950000000012</v>
      </c>
      <c r="N583" s="827">
        <f t="shared" si="280"/>
        <v>0.11060487500000003</v>
      </c>
      <c r="O583" s="811">
        <f t="shared" si="282"/>
        <v>4.4393879773351658E-2</v>
      </c>
      <c r="P583" s="842" t="b">
        <f t="shared" si="273"/>
        <v>0</v>
      </c>
      <c r="Q583" s="827">
        <f>COUNTIF(P$2:P583, TRUE)/(COUNTIF(P$2:P583,FALSE) + COUNTIF(P$2:P583, TRUE))</f>
        <v>0.4845360824742268</v>
      </c>
      <c r="R583" s="825">
        <v>304740.26</v>
      </c>
      <c r="S583" s="825">
        <f t="shared" si="268"/>
        <v>139501.69</v>
      </c>
      <c r="T583" s="825">
        <v>-31937</v>
      </c>
      <c r="U583" s="825">
        <f t="shared" si="269"/>
        <v>76178.950000000012</v>
      </c>
      <c r="V583" s="827">
        <f>STDEV(D$2:D583)*SQRT(252)</f>
        <v>0.13956515808931669</v>
      </c>
      <c r="W583" s="827">
        <f>STDEV(L$2:L583)*SQRT(252)</f>
        <v>0.28553596486340588</v>
      </c>
      <c r="X583" s="826">
        <f t="shared" si="257"/>
        <v>0.75720401910154334</v>
      </c>
      <c r="Y583" s="826">
        <f t="shared" si="275"/>
        <v>0.15547561511065239</v>
      </c>
      <c r="Z583" s="832">
        <f t="shared" si="259"/>
        <v>-0.15268920235773664</v>
      </c>
    </row>
    <row r="584" spans="1:26" ht="20.100000000000001" customHeight="1" x14ac:dyDescent="0.2">
      <c r="A584" s="801">
        <f t="shared" si="281"/>
        <v>911</v>
      </c>
      <c r="B584" s="820">
        <v>43144</v>
      </c>
      <c r="C584" s="845">
        <v>2662.94</v>
      </c>
      <c r="D584" s="817">
        <f t="shared" si="278"/>
        <v>2.6129518072289361E-3</v>
      </c>
      <c r="E584" s="844">
        <f t="shared" si="271"/>
        <v>0.26659500390023022</v>
      </c>
      <c r="F584" s="841">
        <v>7013.51</v>
      </c>
      <c r="G584" s="817">
        <f t="shared" si="279"/>
        <v>4.518788420443569E-3</v>
      </c>
      <c r="H584" s="822">
        <f t="shared" si="276"/>
        <v>0.37743975489522175</v>
      </c>
      <c r="I584" s="824">
        <v>443416.54</v>
      </c>
      <c r="J584" s="825">
        <v>400000</v>
      </c>
      <c r="K584" s="825">
        <f t="shared" si="277"/>
        <v>-825.4100000000326</v>
      </c>
      <c r="L584" s="817">
        <f t="shared" si="274"/>
        <v>-1.858019036698431E-3</v>
      </c>
      <c r="M584" s="842">
        <f t="shared" si="272"/>
        <v>43416.539999999979</v>
      </c>
      <c r="N584" s="827">
        <f t="shared" si="280"/>
        <v>0.10854134999999995</v>
      </c>
      <c r="O584" s="811">
        <f t="shared" si="282"/>
        <v>4.3517813487925334E-2</v>
      </c>
      <c r="P584" s="842" t="b">
        <f t="shared" si="273"/>
        <v>0</v>
      </c>
      <c r="Q584" s="827">
        <f>COUNTIF(P$2:P584, TRUE)/(COUNTIF(P$2:P584,FALSE) + COUNTIF(P$2:P584, TRUE))</f>
        <v>0.483704974271012</v>
      </c>
      <c r="R584" s="825">
        <v>303914.84999999998</v>
      </c>
      <c r="S584" s="825">
        <f t="shared" si="268"/>
        <v>139501.69</v>
      </c>
      <c r="T584" s="825">
        <v>-31767</v>
      </c>
      <c r="U584" s="825">
        <f t="shared" si="269"/>
        <v>75183.539999999979</v>
      </c>
      <c r="V584" s="827">
        <f>STDEV(D$2:D584)*SQRT(252)</f>
        <v>0.13945232278826475</v>
      </c>
      <c r="W584" s="827">
        <f>STDEV(L$2:L584)*SQRT(252)</f>
        <v>0.28529453793858889</v>
      </c>
      <c r="X584" s="826">
        <f t="shared" si="257"/>
        <v>0.76647518943588588</v>
      </c>
      <c r="Y584" s="826">
        <f t="shared" si="275"/>
        <v>0.15253644111929254</v>
      </c>
      <c r="Z584" s="832">
        <f t="shared" ref="Z584:Z617" si="283">-(E584-N584)</f>
        <v>-0.15805365390023027</v>
      </c>
    </row>
    <row r="585" spans="1:26" ht="20.100000000000001" customHeight="1" x14ac:dyDescent="0.2">
      <c r="A585" s="801">
        <f t="shared" si="281"/>
        <v>912</v>
      </c>
      <c r="B585" s="820">
        <v>43145</v>
      </c>
      <c r="C585" s="845">
        <v>2698.63</v>
      </c>
      <c r="D585" s="817">
        <f t="shared" si="278"/>
        <v>1.3402479965752159E-2</v>
      </c>
      <c r="E585" s="844">
        <f t="shared" si="271"/>
        <v>0.28357051806472483</v>
      </c>
      <c r="F585" s="841">
        <v>7143.61</v>
      </c>
      <c r="G585" s="817">
        <f t="shared" si="279"/>
        <v>1.854991295371354E-2</v>
      </c>
      <c r="H585" s="822">
        <f t="shared" si="276"/>
        <v>0.40299114244751261</v>
      </c>
      <c r="I585" s="824">
        <v>451561.53</v>
      </c>
      <c r="J585" s="825">
        <v>400000</v>
      </c>
      <c r="K585" s="825">
        <f t="shared" si="277"/>
        <v>8144.9900000000489</v>
      </c>
      <c r="L585" s="817">
        <f t="shared" si="274"/>
        <v>1.8368710377831304E-2</v>
      </c>
      <c r="M585" s="842">
        <f t="shared" si="272"/>
        <v>51561.530000000028</v>
      </c>
      <c r="N585" s="827">
        <f t="shared" si="280"/>
        <v>0.12890382500000008</v>
      </c>
      <c r="O585" s="811">
        <f t="shared" si="282"/>
        <v>5.1625133861019766E-2</v>
      </c>
      <c r="P585" s="842" t="b">
        <f t="shared" si="273"/>
        <v>1</v>
      </c>
      <c r="Q585" s="827">
        <f>COUNTIF(P$2:P585, TRUE)/(COUNTIF(P$2:P585,FALSE) + COUNTIF(P$2:P585, TRUE))</f>
        <v>0.4845890410958904</v>
      </c>
      <c r="R585" s="825">
        <v>309463.90999999997</v>
      </c>
      <c r="S585" s="825">
        <f t="shared" si="268"/>
        <v>142097.62000000005</v>
      </c>
      <c r="T585" s="825">
        <v>-31599</v>
      </c>
      <c r="U585" s="825">
        <f t="shared" si="269"/>
        <v>83160.530000000028</v>
      </c>
      <c r="V585" s="827">
        <f>STDEV(D$2:D585)*SQRT(252)</f>
        <v>0.13959266682591912</v>
      </c>
      <c r="W585" s="827">
        <f>STDEV(L$2:L585)*SQRT(252)</f>
        <v>0.28529002745867649</v>
      </c>
      <c r="X585" s="826">
        <f t="shared" si="257"/>
        <v>0.8135680008967473</v>
      </c>
      <c r="Y585" s="826">
        <f t="shared" si="275"/>
        <v>0.18095667178025537</v>
      </c>
      <c r="Z585" s="832">
        <f t="shared" si="283"/>
        <v>-0.15466669306472475</v>
      </c>
    </row>
    <row r="586" spans="1:26" ht="20.100000000000001" customHeight="1" x14ac:dyDescent="0.2">
      <c r="A586" s="801">
        <f t="shared" si="281"/>
        <v>913</v>
      </c>
      <c r="B586" s="820">
        <v>43146</v>
      </c>
      <c r="C586" s="845">
        <v>2731.2</v>
      </c>
      <c r="D586" s="817">
        <f t="shared" si="278"/>
        <v>1.206908690706014E-2</v>
      </c>
      <c r="E586" s="844">
        <f t="shared" si="271"/>
        <v>0.29906204219858817</v>
      </c>
      <c r="F586" s="841">
        <v>7256.43</v>
      </c>
      <c r="G586" s="817">
        <f t="shared" si="279"/>
        <v>1.5793135403528554E-2</v>
      </c>
      <c r="H586" s="822">
        <f t="shared" si="276"/>
        <v>0.42514877153013741</v>
      </c>
      <c r="I586" s="824">
        <v>450705.94</v>
      </c>
      <c r="J586" s="825">
        <v>400000</v>
      </c>
      <c r="K586" s="825">
        <f t="shared" si="277"/>
        <v>-855.59000000002561</v>
      </c>
      <c r="L586" s="817">
        <f t="shared" si="274"/>
        <v>-1.8947362500078904E-3</v>
      </c>
      <c r="M586" s="842">
        <f t="shared" si="272"/>
        <v>50705.94</v>
      </c>
      <c r="N586" s="827">
        <f t="shared" si="280"/>
        <v>0.12676485000000001</v>
      </c>
      <c r="O586" s="811">
        <f t="shared" si="282"/>
        <v>5.071288221522454E-2</v>
      </c>
      <c r="P586" s="842" t="b">
        <f t="shared" si="273"/>
        <v>0</v>
      </c>
      <c r="Q586" s="827">
        <f>COUNTIF(P$2:P586, TRUE)/(COUNTIF(P$2:P586,FALSE) + COUNTIF(P$2:P586, TRUE))</f>
        <v>0.48376068376068376</v>
      </c>
      <c r="R586" s="825">
        <v>308168.68</v>
      </c>
      <c r="S586" s="825">
        <f t="shared" si="268"/>
        <v>142537.26</v>
      </c>
      <c r="T586" s="825">
        <v>-31476</v>
      </c>
      <c r="U586" s="825">
        <f t="shared" si="269"/>
        <v>82181.94</v>
      </c>
      <c r="V586" s="827">
        <f>STDEV(D$2:D586)*SQRT(252)</f>
        <v>0.13968097297667137</v>
      </c>
      <c r="W586" s="827">
        <f>STDEV(L$2:L586)*SQRT(252)</f>
        <v>0.28504987730153164</v>
      </c>
      <c r="X586" s="826">
        <f t="shared" si="257"/>
        <v>0.85653179754406417</v>
      </c>
      <c r="Y586" s="826">
        <f t="shared" si="275"/>
        <v>0.17790880212019669</v>
      </c>
      <c r="Z586" s="832">
        <f t="shared" si="283"/>
        <v>-0.17229719219858816</v>
      </c>
    </row>
    <row r="587" spans="1:26" ht="20.100000000000001" customHeight="1" x14ac:dyDescent="0.2">
      <c r="A587" s="801">
        <f t="shared" si="281"/>
        <v>914</v>
      </c>
      <c r="B587" s="820">
        <v>43147</v>
      </c>
      <c r="C587" s="845">
        <v>2732.22</v>
      </c>
      <c r="D587" s="817">
        <f t="shared" si="278"/>
        <v>3.7346221441124117E-4</v>
      </c>
      <c r="E587" s="844">
        <f t="shared" si="271"/>
        <v>0.29954719278552527</v>
      </c>
      <c r="F587" s="841">
        <v>7239.46</v>
      </c>
      <c r="G587" s="817">
        <f t="shared" si="279"/>
        <v>-2.3386155451096827E-3</v>
      </c>
      <c r="H587" s="822">
        <f t="shared" si="276"/>
        <v>0.42181589645894302</v>
      </c>
      <c r="I587" s="824">
        <v>447551.93</v>
      </c>
      <c r="J587" s="825">
        <v>400000</v>
      </c>
      <c r="K587" s="825">
        <f t="shared" si="277"/>
        <v>-3154.0100000000093</v>
      </c>
      <c r="L587" s="817">
        <f t="shared" si="274"/>
        <v>-6.9979330647384173E-3</v>
      </c>
      <c r="M587" s="842">
        <f t="shared" si="272"/>
        <v>47551.929999999993</v>
      </c>
      <c r="N587" s="827">
        <f t="shared" si="280"/>
        <v>0.11887982499999998</v>
      </c>
      <c r="O587" s="811">
        <f t="shared" si="282"/>
        <v>4.7506407091083142E-2</v>
      </c>
      <c r="P587" s="842" t="b">
        <f t="shared" si="273"/>
        <v>0</v>
      </c>
      <c r="Q587" s="827">
        <f>COUNTIF(P$2:P587, TRUE)/(COUNTIF(P$2:P587,FALSE) + COUNTIF(P$2:P587, TRUE))</f>
        <v>0.48293515358361777</v>
      </c>
      <c r="R587" s="825">
        <v>312866.87</v>
      </c>
      <c r="S587" s="825">
        <f t="shared" si="268"/>
        <v>134685.06</v>
      </c>
      <c r="T587" s="825">
        <v>-31310</v>
      </c>
      <c r="U587" s="825">
        <f t="shared" si="269"/>
        <v>78861.929999999993</v>
      </c>
      <c r="V587" s="827">
        <f>STDEV(D$2:D587)*SQRT(252)</f>
        <v>0.13956135167754313</v>
      </c>
      <c r="W587" s="827">
        <f>STDEV(L$2:L587)*SQRT(252)</f>
        <v>0.28484907912566382</v>
      </c>
      <c r="X587" s="826">
        <f t="shared" si="257"/>
        <v>0.85771719333403895</v>
      </c>
      <c r="Y587" s="826">
        <f t="shared" si="275"/>
        <v>0.16677746418174394</v>
      </c>
      <c r="Z587" s="832">
        <f t="shared" si="283"/>
        <v>-0.18066736778552528</v>
      </c>
    </row>
    <row r="588" spans="1:26" ht="20.100000000000001" customHeight="1" x14ac:dyDescent="0.2">
      <c r="A588" s="801">
        <f t="shared" si="281"/>
        <v>918</v>
      </c>
      <c r="B588" s="820">
        <v>43151</v>
      </c>
      <c r="C588" s="845">
        <v>2716.26</v>
      </c>
      <c r="D588" s="817">
        <f t="shared" si="278"/>
        <v>-5.8414036936994766E-3</v>
      </c>
      <c r="E588" s="844">
        <f t="shared" si="271"/>
        <v>0.29195601301345109</v>
      </c>
      <c r="F588" s="841">
        <v>7234.3</v>
      </c>
      <c r="G588" s="817">
        <f t="shared" si="279"/>
        <v>-7.1276034400353822E-4</v>
      </c>
      <c r="H588" s="822">
        <f t="shared" si="276"/>
        <v>0.42080248247147328</v>
      </c>
      <c r="I588" s="824">
        <v>445228.37</v>
      </c>
      <c r="J588" s="825">
        <v>400000</v>
      </c>
      <c r="K588" s="825">
        <f t="shared" si="277"/>
        <v>-2323.5599999999977</v>
      </c>
      <c r="L588" s="817">
        <f t="shared" si="274"/>
        <v>-5.191710378726325E-3</v>
      </c>
      <c r="M588" s="842">
        <f t="shared" si="272"/>
        <v>45228.369999999995</v>
      </c>
      <c r="N588" s="827">
        <f t="shared" si="280"/>
        <v>0.11307092499999999</v>
      </c>
      <c r="O588" s="811">
        <f t="shared" si="282"/>
        <v>4.4988186662581697E-2</v>
      </c>
      <c r="P588" s="842" t="b">
        <f t="shared" si="273"/>
        <v>1</v>
      </c>
      <c r="Q588" s="827">
        <f>COUNTIF(P$2:P588, TRUE)/(COUNTIF(P$2:P588,FALSE) + COUNTIF(P$2:P588, TRUE))</f>
        <v>0.48381601362862009</v>
      </c>
      <c r="R588" s="825"/>
      <c r="S588" s="825"/>
      <c r="T588" s="825"/>
      <c r="U588" s="825"/>
      <c r="V588" s="827">
        <f>STDEV(D$2:D588)*SQRT(252)</f>
        <v>0.13950374983937611</v>
      </c>
      <c r="W588" s="827">
        <f>STDEV(L$2:L588)*SQRT(252)</f>
        <v>0.28463051579206888</v>
      </c>
      <c r="X588" s="826">
        <f t="shared" si="257"/>
        <v>0.83268182638552635</v>
      </c>
      <c r="Y588" s="826">
        <f t="shared" si="275"/>
        <v>0.15805819884557604</v>
      </c>
      <c r="Z588" s="832">
        <f t="shared" si="283"/>
        <v>-0.1788850880134511</v>
      </c>
    </row>
    <row r="589" spans="1:26" ht="20.100000000000001" customHeight="1" x14ac:dyDescent="0.2">
      <c r="A589" s="801">
        <f t="shared" si="281"/>
        <v>919</v>
      </c>
      <c r="B589" s="820">
        <v>43152</v>
      </c>
      <c r="C589" s="845">
        <v>2701.33</v>
      </c>
      <c r="D589" s="817">
        <f t="shared" si="278"/>
        <v>-5.496528314668069E-3</v>
      </c>
      <c r="E589" s="844">
        <f t="shared" si="271"/>
        <v>0.284854740206617</v>
      </c>
      <c r="F589" s="841">
        <v>7218.22</v>
      </c>
      <c r="G589" s="817">
        <f t="shared" si="279"/>
        <v>-2.2227444258601284E-3</v>
      </c>
      <c r="H589" s="822">
        <f t="shared" si="276"/>
        <v>0.41764440167331157</v>
      </c>
      <c r="I589" s="824">
        <v>442526.81</v>
      </c>
      <c r="J589" s="825">
        <v>400000</v>
      </c>
      <c r="K589" s="825">
        <f t="shared" si="277"/>
        <v>-2701.5599999999977</v>
      </c>
      <c r="L589" s="817">
        <f t="shared" si="274"/>
        <v>-6.0678074040969084E-3</v>
      </c>
      <c r="M589" s="842">
        <f t="shared" si="272"/>
        <v>42526.81</v>
      </c>
      <c r="N589" s="827">
        <f t="shared" si="280"/>
        <v>0.106317025</v>
      </c>
      <c r="O589" s="811">
        <f t="shared" si="282"/>
        <v>4.2254943831610443E-2</v>
      </c>
      <c r="P589" s="842" t="b">
        <f t="shared" si="273"/>
        <v>0</v>
      </c>
      <c r="Q589" s="827">
        <f>COUNTIF(P$2:P589, TRUE)/(COUNTIF(P$2:P589,FALSE) + COUNTIF(P$2:P589, TRUE))</f>
        <v>0.48299319727891155</v>
      </c>
      <c r="R589" s="825">
        <v>327182.61</v>
      </c>
      <c r="S589" s="825">
        <f t="shared" ref="S589:S606" si="284">I589-R589</f>
        <v>115344.20000000001</v>
      </c>
      <c r="T589" s="825">
        <v>-31702</v>
      </c>
      <c r="U589" s="825">
        <f>M589-T589</f>
        <v>74228.81</v>
      </c>
      <c r="V589" s="827">
        <f>STDEV(D$2:D589)*SQRT(252)</f>
        <v>0.13943958663784506</v>
      </c>
      <c r="W589" s="827">
        <f>STDEV(L$2:L589)*SQRT(252)</f>
        <v>0.28442061992708212</v>
      </c>
      <c r="X589" s="826">
        <f t="shared" si="257"/>
        <v>0.81191782747081387</v>
      </c>
      <c r="Y589" s="826">
        <f t="shared" si="275"/>
        <v>0.14856498042386479</v>
      </c>
      <c r="Z589" s="832">
        <f t="shared" si="283"/>
        <v>-0.17853771520661699</v>
      </c>
    </row>
    <row r="590" spans="1:26" ht="20.100000000000001" customHeight="1" x14ac:dyDescent="0.2">
      <c r="A590" s="801">
        <f t="shared" si="281"/>
        <v>920</v>
      </c>
      <c r="B590" s="820">
        <v>43153</v>
      </c>
      <c r="C590" s="845">
        <v>2703.96</v>
      </c>
      <c r="D590" s="817">
        <f t="shared" si="278"/>
        <v>9.735944886408211E-4</v>
      </c>
      <c r="E590" s="844">
        <f t="shared" si="271"/>
        <v>0.2861056677003862</v>
      </c>
      <c r="F590" s="841">
        <v>7210.08</v>
      </c>
      <c r="G590" s="817">
        <f t="shared" si="279"/>
        <v>-1.1277018433907982E-3</v>
      </c>
      <c r="H590" s="822">
        <f t="shared" si="276"/>
        <v>0.41604572146827196</v>
      </c>
      <c r="I590" s="824">
        <v>441168.86</v>
      </c>
      <c r="J590" s="825">
        <v>400000</v>
      </c>
      <c r="K590" s="825">
        <f t="shared" si="277"/>
        <v>-1357.9500000000116</v>
      </c>
      <c r="L590" s="817">
        <f t="shared" ref="L590:L621" si="285">K590/I589</f>
        <v>-3.0686276386282939E-3</v>
      </c>
      <c r="M590" s="842">
        <f t="shared" si="272"/>
        <v>41168.859999999986</v>
      </c>
      <c r="N590" s="827">
        <f t="shared" si="280"/>
        <v>0.10292214999999996</v>
      </c>
      <c r="O590" s="811">
        <f t="shared" si="282"/>
        <v>4.0861212269021729E-2</v>
      </c>
      <c r="P590" s="842" t="b">
        <f t="shared" si="273"/>
        <v>0</v>
      </c>
      <c r="Q590" s="827">
        <f>COUNTIF(P$2:P590, TRUE)/(COUNTIF(P$2:P590,FALSE) + COUNTIF(P$2:P590, TRUE))</f>
        <v>0.48217317487266553</v>
      </c>
      <c r="R590" s="825">
        <v>325824.65000000002</v>
      </c>
      <c r="S590" s="825">
        <f t="shared" si="284"/>
        <v>115344.20999999996</v>
      </c>
      <c r="T590" s="825">
        <v>-31901</v>
      </c>
      <c r="U590" s="825">
        <f>M590-T590</f>
        <v>73069.859999999986</v>
      </c>
      <c r="V590" s="827">
        <f>STDEV(D$2:D590)*SQRT(252)</f>
        <v>0.13932115984802981</v>
      </c>
      <c r="W590" s="827">
        <f>STDEV(L$2:L590)*SQRT(252)</f>
        <v>0.2841880695419704</v>
      </c>
      <c r="X590" s="826">
        <f t="shared" si="257"/>
        <v>0.81528936483996495</v>
      </c>
      <c r="Y590" s="826">
        <f t="shared" si="275"/>
        <v>0.14378229295437445</v>
      </c>
      <c r="Z590" s="832">
        <f t="shared" si="283"/>
        <v>-0.18318351770038624</v>
      </c>
    </row>
    <row r="591" spans="1:26" ht="20.100000000000001" customHeight="1" x14ac:dyDescent="0.2">
      <c r="A591" s="801">
        <f t="shared" si="281"/>
        <v>921</v>
      </c>
      <c r="B591" s="820">
        <v>43154</v>
      </c>
      <c r="C591" s="845">
        <v>2747.3</v>
      </c>
      <c r="D591" s="817">
        <f t="shared" si="278"/>
        <v>1.6028343614550564E-2</v>
      </c>
      <c r="E591" s="844">
        <f t="shared" si="271"/>
        <v>0.306719811266909</v>
      </c>
      <c r="F591" s="841">
        <v>7337.39</v>
      </c>
      <c r="G591" s="817">
        <f t="shared" si="279"/>
        <v>1.7657224330381964E-2</v>
      </c>
      <c r="H591" s="822">
        <f t="shared" si="276"/>
        <v>0.4410491584343148</v>
      </c>
      <c r="I591" s="824">
        <v>446261.7</v>
      </c>
      <c r="J591" s="825">
        <v>400000</v>
      </c>
      <c r="K591" s="825">
        <f t="shared" si="277"/>
        <v>5092.8400000000256</v>
      </c>
      <c r="L591" s="817">
        <f t="shared" si="285"/>
        <v>1.154396980784189E-2</v>
      </c>
      <c r="M591" s="842">
        <f t="shared" si="272"/>
        <v>46261.700000000012</v>
      </c>
      <c r="N591" s="827">
        <f t="shared" si="280"/>
        <v>0.11565425000000003</v>
      </c>
      <c r="O591" s="811">
        <f t="shared" si="282"/>
        <v>4.5866139861563529E-2</v>
      </c>
      <c r="P591" s="842" t="b">
        <f t="shared" si="273"/>
        <v>0</v>
      </c>
      <c r="Q591" s="827">
        <f>COUNTIF(P$2:P591, TRUE)/(COUNTIF(P$2:P591,FALSE) + COUNTIF(P$2:P591, TRUE))</f>
        <v>0.48135593220338985</v>
      </c>
      <c r="R591" s="825">
        <v>328333.55</v>
      </c>
      <c r="S591" s="825">
        <f t="shared" si="284"/>
        <v>117928.15000000002</v>
      </c>
      <c r="T591" s="825">
        <v>-31711</v>
      </c>
      <c r="U591" s="825">
        <f>M591-T591</f>
        <v>77972.700000000012</v>
      </c>
      <c r="V591" s="827">
        <f>STDEV(D$2:D591)*SQRT(252)</f>
        <v>0.13957430470539237</v>
      </c>
      <c r="W591" s="827">
        <f>STDEV(L$2:L591)*SQRT(252)</f>
        <v>0.28403762341097771</v>
      </c>
      <c r="X591" s="826">
        <f t="shared" si="257"/>
        <v>0.87149911342020359</v>
      </c>
      <c r="Y591" s="826">
        <f t="shared" si="275"/>
        <v>0.16147910023595438</v>
      </c>
      <c r="Z591" s="832">
        <f t="shared" si="283"/>
        <v>-0.19106556126690899</v>
      </c>
    </row>
    <row r="592" spans="1:26" ht="20.100000000000001" customHeight="1" x14ac:dyDescent="0.2">
      <c r="A592" s="801">
        <f t="shared" si="281"/>
        <v>924</v>
      </c>
      <c r="B592" s="820">
        <v>43157</v>
      </c>
      <c r="C592" s="845">
        <v>2779.6</v>
      </c>
      <c r="D592" s="817">
        <f t="shared" si="278"/>
        <v>1.175699777963809E-2</v>
      </c>
      <c r="E592" s="844">
        <f t="shared" si="271"/>
        <v>0.32208291318658311</v>
      </c>
      <c r="F592" s="841">
        <v>7421.46</v>
      </c>
      <c r="G592" s="817">
        <f t="shared" si="279"/>
        <v>1.1457752688626296E-2</v>
      </c>
      <c r="H592" s="822">
        <f t="shared" si="276"/>
        <v>0.45756034330380824</v>
      </c>
      <c r="I592" s="824">
        <v>445461.4</v>
      </c>
      <c r="J592" s="825">
        <v>400000</v>
      </c>
      <c r="K592" s="825">
        <f t="shared" si="277"/>
        <v>-800.29999999998836</v>
      </c>
      <c r="L592" s="817">
        <f t="shared" si="285"/>
        <v>-1.7933423370188129E-3</v>
      </c>
      <c r="M592" s="842">
        <f t="shared" si="272"/>
        <v>45461.400000000023</v>
      </c>
      <c r="N592" s="827">
        <f t="shared" si="280"/>
        <v>0.11365350000000006</v>
      </c>
      <c r="O592" s="811">
        <f t="shared" si="282"/>
        <v>4.4926342938311707E-2</v>
      </c>
      <c r="P592" s="842" t="b">
        <f t="shared" si="273"/>
        <v>0</v>
      </c>
      <c r="Q592" s="827">
        <f>COUNTIF(P$2:P592, TRUE)/(COUNTIF(P$2:P592,FALSE) + COUNTIF(P$2:P592, TRUE))</f>
        <v>0.48054145516074448</v>
      </c>
      <c r="R592" s="825">
        <v>330526.96000000002</v>
      </c>
      <c r="S592" s="825">
        <f t="shared" si="284"/>
        <v>114934.44</v>
      </c>
      <c r="T592" s="825">
        <v>-31425</v>
      </c>
      <c r="U592" s="825">
        <f>M592-T592</f>
        <v>76886.400000000023</v>
      </c>
      <c r="V592" s="827">
        <f>STDEV(D$2:D592)*SQRT(252)</f>
        <v>0.13964993647213261</v>
      </c>
      <c r="W592" s="827">
        <f>STDEV(L$2:L592)*SQRT(252)</f>
        <v>0.28380054359843188</v>
      </c>
      <c r="X592" s="826">
        <f t="shared" si="257"/>
        <v>0.91168581284014205</v>
      </c>
      <c r="Y592" s="826">
        <f t="shared" si="275"/>
        <v>0.15830252602292741</v>
      </c>
      <c r="Z592" s="832">
        <f t="shared" si="283"/>
        <v>-0.20842941318658303</v>
      </c>
    </row>
    <row r="593" spans="1:26" ht="20.100000000000001" customHeight="1" x14ac:dyDescent="0.2">
      <c r="A593" s="801">
        <f t="shared" si="281"/>
        <v>925</v>
      </c>
      <c r="B593" s="820">
        <v>43158</v>
      </c>
      <c r="C593" s="845">
        <v>2744.28</v>
      </c>
      <c r="D593" s="817">
        <f t="shared" si="278"/>
        <v>-1.270686429702105E-2</v>
      </c>
      <c r="E593" s="844">
        <f t="shared" si="271"/>
        <v>0.30528338501931096</v>
      </c>
      <c r="F593" s="841">
        <v>7330.35</v>
      </c>
      <c r="G593" s="817">
        <f t="shared" si="279"/>
        <v>-1.2276560137762606E-2</v>
      </c>
      <c r="H593" s="822">
        <f t="shared" si="276"/>
        <v>0.4396665160948211</v>
      </c>
      <c r="I593" s="824">
        <v>439475.96</v>
      </c>
      <c r="J593" s="825">
        <v>400000</v>
      </c>
      <c r="K593" s="825">
        <f t="shared" si="277"/>
        <v>-5985.4400000000023</v>
      </c>
      <c r="L593" s="817">
        <f t="shared" si="285"/>
        <v>-1.3436495283317482E-2</v>
      </c>
      <c r="M593" s="842">
        <f t="shared" si="272"/>
        <v>39475.960000000021</v>
      </c>
      <c r="N593" s="827">
        <f t="shared" si="280"/>
        <v>9.8689900000000053E-2</v>
      </c>
      <c r="O593" s="811">
        <f t="shared" si="282"/>
        <v>3.8969174027027043E-2</v>
      </c>
      <c r="P593" s="842" t="b">
        <f t="shared" si="273"/>
        <v>0</v>
      </c>
      <c r="Q593" s="827">
        <f>COUNTIF(P$2:P593, TRUE)/(COUNTIF(P$2:P593,FALSE) + COUNTIF(P$2:P593, TRUE))</f>
        <v>0.47972972972972971</v>
      </c>
      <c r="R593" s="825">
        <v>324541.51</v>
      </c>
      <c r="S593" s="825">
        <f t="shared" si="284"/>
        <v>114934.45000000001</v>
      </c>
      <c r="T593" s="825">
        <v>-31811</v>
      </c>
      <c r="U593" s="825">
        <f>M593-T593</f>
        <v>71286.960000000021</v>
      </c>
      <c r="V593" s="827">
        <f>STDEV(D$2:D593)*SQRT(252)</f>
        <v>0.139798275476226</v>
      </c>
      <c r="W593" s="827">
        <f>STDEV(L$2:L593)*SQRT(252)</f>
        <v>0.28370694512028866</v>
      </c>
      <c r="X593" s="826">
        <f t="shared" si="257"/>
        <v>0.86228304434011871</v>
      </c>
      <c r="Y593" s="826">
        <f t="shared" si="275"/>
        <v>0.13735713805139502</v>
      </c>
      <c r="Z593" s="832">
        <f t="shared" si="283"/>
        <v>-0.20659348501931091</v>
      </c>
    </row>
    <row r="594" spans="1:26" ht="20.100000000000001" customHeight="1" x14ac:dyDescent="0.2">
      <c r="A594" s="801">
        <f t="shared" si="281"/>
        <v>926</v>
      </c>
      <c r="B594" s="820">
        <v>43159</v>
      </c>
      <c r="C594" s="845">
        <v>2713.83</v>
      </c>
      <c r="D594" s="817">
        <f t="shared" si="278"/>
        <v>-1.1095806550352104E-2</v>
      </c>
      <c r="E594" s="844">
        <f t="shared" si="271"/>
        <v>0.29080021308574794</v>
      </c>
      <c r="F594" s="841">
        <v>7273</v>
      </c>
      <c r="G594" s="817">
        <f t="shared" si="279"/>
        <v>-7.8236373433738307E-3</v>
      </c>
      <c r="H594" s="822">
        <f t="shared" si="276"/>
        <v>0.42840308737749677</v>
      </c>
      <c r="I594" s="848">
        <v>434359.8</v>
      </c>
      <c r="J594" s="825">
        <v>400000</v>
      </c>
      <c r="K594" s="825">
        <f t="shared" si="277"/>
        <v>-5116.1600000000326</v>
      </c>
      <c r="L594" s="817">
        <f t="shared" si="285"/>
        <v>-1.1641501391794064E-2</v>
      </c>
      <c r="M594" s="848">
        <f t="shared" si="272"/>
        <v>34359.799999999988</v>
      </c>
      <c r="N594" s="827">
        <f t="shared" si="280"/>
        <v>8.5899499999999976E-2</v>
      </c>
      <c r="O594" s="811">
        <f t="shared" si="282"/>
        <v>3.3882065199784005E-2</v>
      </c>
      <c r="P594" s="842" t="b">
        <f t="shared" si="273"/>
        <v>0</v>
      </c>
      <c r="Q594" s="827">
        <f>COUNTIF(P$2:P594, TRUE)/(COUNTIF(P$2:P594,FALSE) + COUNTIF(P$2:P594, TRUE))</f>
        <v>0.47892074198988194</v>
      </c>
      <c r="R594" s="825">
        <v>325325.34999999998</v>
      </c>
      <c r="S594" s="825">
        <f t="shared" si="284"/>
        <v>109034.45000000001</v>
      </c>
      <c r="T594" s="825"/>
      <c r="U594" s="825"/>
      <c r="V594" s="827">
        <f>STDEV(D$2:D594)*SQRT(252)</f>
        <v>0.13988432434963807</v>
      </c>
      <c r="W594" s="827">
        <f>STDEV(L$2:L594)*SQRT(252)</f>
        <v>0.28357793902623352</v>
      </c>
      <c r="X594" s="826">
        <f t="shared" si="257"/>
        <v>0.81998311366562426</v>
      </c>
      <c r="Y594" s="826">
        <f t="shared" si="275"/>
        <v>0.11948061021999884</v>
      </c>
      <c r="Z594" s="832">
        <f t="shared" si="283"/>
        <v>-0.20490071308574798</v>
      </c>
    </row>
    <row r="595" spans="1:26" ht="20.100000000000001" customHeight="1" x14ac:dyDescent="0.2">
      <c r="A595" s="801">
        <f t="shared" si="281"/>
        <v>927</v>
      </c>
      <c r="B595" s="820">
        <v>43160</v>
      </c>
      <c r="C595" s="845">
        <v>2677.67</v>
      </c>
      <c r="D595" s="817">
        <f t="shared" si="278"/>
        <v>-1.3324342350110308E-2</v>
      </c>
      <c r="E595" s="844">
        <f t="shared" si="271"/>
        <v>0.27360114914099809</v>
      </c>
      <c r="F595" s="841">
        <v>7180.56</v>
      </c>
      <c r="G595" s="817">
        <f t="shared" si="279"/>
        <v>-1.2710023374123415E-2</v>
      </c>
      <c r="H595" s="822">
        <f t="shared" si="276"/>
        <v>0.41024805074925874</v>
      </c>
      <c r="I595" s="824">
        <v>432219.29</v>
      </c>
      <c r="J595" s="825">
        <v>400000</v>
      </c>
      <c r="K595" s="825">
        <f t="shared" si="277"/>
        <v>-2140.5100000000093</v>
      </c>
      <c r="L595" s="817">
        <f t="shared" si="285"/>
        <v>-4.9279652490861478E-3</v>
      </c>
      <c r="M595" s="842">
        <f t="shared" si="272"/>
        <v>32219.289999999979</v>
      </c>
      <c r="N595" s="827">
        <f t="shared" si="280"/>
        <v>8.0548224999999946E-2</v>
      </c>
      <c r="O595" s="811">
        <f t="shared" si="282"/>
        <v>3.1737043345469236E-2</v>
      </c>
      <c r="P595" s="842" t="b">
        <f t="shared" si="273"/>
        <v>1</v>
      </c>
      <c r="Q595" s="827">
        <f>COUNTIF(P$2:P595, TRUE)/(COUNTIF(P$2:P595,FALSE) + COUNTIF(P$2:P595, TRUE))</f>
        <v>0.47979797979797978</v>
      </c>
      <c r="R595" s="825">
        <v>330616.65000000002</v>
      </c>
      <c r="S595" s="825">
        <f t="shared" si="284"/>
        <v>101602.63999999996</v>
      </c>
      <c r="T595" s="825">
        <v>-32527</v>
      </c>
      <c r="U595" s="825">
        <f t="shared" ref="U595:U604" si="286">M595-T595</f>
        <v>64746.289999999979</v>
      </c>
      <c r="V595" s="827">
        <f>STDEV(D$2:D595)*SQRT(252)</f>
        <v>0.14005511018347203</v>
      </c>
      <c r="W595" s="827">
        <f>STDEV(L$2:L595)*SQRT(252)</f>
        <v>0.28336045846644775</v>
      </c>
      <c r="X595" s="826">
        <f t="shared" si="257"/>
        <v>0.76971411027259673</v>
      </c>
      <c r="Y595" s="826">
        <f t="shared" si="275"/>
        <v>0.1120023715278791</v>
      </c>
      <c r="Z595" s="832">
        <f t="shared" si="283"/>
        <v>-0.19305292414099814</v>
      </c>
    </row>
    <row r="596" spans="1:26" ht="20.100000000000001" customHeight="1" x14ac:dyDescent="0.2">
      <c r="A596" s="801">
        <f t="shared" si="281"/>
        <v>928</v>
      </c>
      <c r="B596" s="820">
        <v>43161</v>
      </c>
      <c r="C596" s="845">
        <v>2691.25</v>
      </c>
      <c r="D596" s="817">
        <f t="shared" si="278"/>
        <v>5.0715734201749758E-3</v>
      </c>
      <c r="E596" s="844">
        <f t="shared" si="271"/>
        <v>0.28006031087688588</v>
      </c>
      <c r="F596" s="841">
        <v>7257.86</v>
      </c>
      <c r="G596" s="817">
        <f t="shared" si="279"/>
        <v>1.076517708925199E-2</v>
      </c>
      <c r="H596" s="822">
        <f t="shared" si="276"/>
        <v>0.4254296207553469</v>
      </c>
      <c r="I596" s="824">
        <v>435569.11</v>
      </c>
      <c r="J596" s="825">
        <v>400000</v>
      </c>
      <c r="K596" s="825">
        <f t="shared" si="277"/>
        <v>3349.820000000007</v>
      </c>
      <c r="L596" s="817">
        <f t="shared" si="285"/>
        <v>7.7502787994492501E-3</v>
      </c>
      <c r="M596" s="842">
        <f t="shared" si="272"/>
        <v>35569.109999999986</v>
      </c>
      <c r="N596" s="827">
        <f t="shared" si="280"/>
        <v>8.8922774999999968E-2</v>
      </c>
      <c r="O596" s="811">
        <f t="shared" si="282"/>
        <v>3.4998969362877143E-2</v>
      </c>
      <c r="P596" s="842" t="b">
        <f t="shared" si="273"/>
        <v>1</v>
      </c>
      <c r="Q596" s="827">
        <f>COUNTIF(P$2:P596, TRUE)/(COUNTIF(P$2:P596,FALSE) + COUNTIF(P$2:P596, TRUE))</f>
        <v>0.48067226890756304</v>
      </c>
      <c r="R596" s="825">
        <v>340478.65</v>
      </c>
      <c r="S596" s="825">
        <f t="shared" si="284"/>
        <v>95090.459999999963</v>
      </c>
      <c r="T596" s="825">
        <v>-31997</v>
      </c>
      <c r="U596" s="825">
        <f t="shared" si="286"/>
        <v>67566.109999999986</v>
      </c>
      <c r="V596" s="827">
        <f>STDEV(D$2:D596)*SQRT(252)</f>
        <v>0.13996938804181233</v>
      </c>
      <c r="W596" s="827">
        <f>STDEV(L$2:L596)*SQRT(252)</f>
        <v>0.28316087017865788</v>
      </c>
      <c r="X596" s="826">
        <f t="shared" si="257"/>
        <v>0.78751847515137252</v>
      </c>
      <c r="Y596" s="826">
        <f t="shared" si="275"/>
        <v>0.1236010093513092</v>
      </c>
      <c r="Z596" s="832">
        <f t="shared" si="283"/>
        <v>-0.19113753587688592</v>
      </c>
    </row>
    <row r="597" spans="1:26" ht="20.100000000000001" customHeight="1" x14ac:dyDescent="0.2">
      <c r="A597" s="801">
        <f t="shared" si="281"/>
        <v>931</v>
      </c>
      <c r="B597" s="820">
        <v>43164</v>
      </c>
      <c r="C597" s="845">
        <v>2720.94</v>
      </c>
      <c r="D597" s="817">
        <f t="shared" si="278"/>
        <v>1.1032048304691148E-2</v>
      </c>
      <c r="E597" s="844">
        <f t="shared" si="271"/>
        <v>0.29418199805939765</v>
      </c>
      <c r="F597" s="841">
        <v>7330.7</v>
      </c>
      <c r="G597" s="817">
        <f t="shared" si="279"/>
        <v>1.0036016125965526E-2</v>
      </c>
      <c r="H597" s="822">
        <f t="shared" si="276"/>
        <v>0.43973525541567648</v>
      </c>
      <c r="I597" s="824">
        <v>441211.16</v>
      </c>
      <c r="J597" s="825">
        <v>400000</v>
      </c>
      <c r="K597" s="825">
        <f t="shared" si="277"/>
        <v>5642.0499999999884</v>
      </c>
      <c r="L597" s="817">
        <f t="shared" si="285"/>
        <v>1.2953283119640851E-2</v>
      </c>
      <c r="M597" s="842">
        <f t="shared" si="272"/>
        <v>41211.159999999974</v>
      </c>
      <c r="N597" s="827">
        <f t="shared" si="280"/>
        <v>0.10302789999999994</v>
      </c>
      <c r="O597" s="811">
        <f t="shared" si="282"/>
        <v>4.0419914581095569E-2</v>
      </c>
      <c r="P597" s="842" t="b">
        <f t="shared" si="273"/>
        <v>1</v>
      </c>
      <c r="Q597" s="827">
        <f>COUNTIF(P$2:P597, TRUE)/(COUNTIF(P$2:P597,FALSE) + COUNTIF(P$2:P597, TRUE))</f>
        <v>0.48154362416107382</v>
      </c>
      <c r="R597" s="825">
        <v>346120.7</v>
      </c>
      <c r="S597" s="825">
        <f t="shared" si="284"/>
        <v>95090.459999999963</v>
      </c>
      <c r="T597" s="825">
        <v>-31972</v>
      </c>
      <c r="U597" s="825">
        <f t="shared" si="286"/>
        <v>73183.159999999974</v>
      </c>
      <c r="V597" s="827">
        <f>STDEV(D$2:D597)*SQRT(252)</f>
        <v>0.14002083127496495</v>
      </c>
      <c r="W597" s="827">
        <f>STDEV(L$2:L597)*SQRT(252)</f>
        <v>0.28303833628625708</v>
      </c>
      <c r="X597" s="826">
        <f t="shared" si="257"/>
        <v>0.82425954557302428</v>
      </c>
      <c r="Y597" s="826">
        <f t="shared" ref="Y597:Y630" si="287">O597/W597</f>
        <v>0.14280720806744707</v>
      </c>
      <c r="Z597" s="832">
        <f t="shared" si="283"/>
        <v>-0.1911540980593977</v>
      </c>
    </row>
    <row r="598" spans="1:26" ht="20.100000000000001" customHeight="1" x14ac:dyDescent="0.2">
      <c r="A598" s="801">
        <f t="shared" si="281"/>
        <v>932</v>
      </c>
      <c r="B598" s="820">
        <v>43165</v>
      </c>
      <c r="C598" s="845">
        <v>2728.12</v>
      </c>
      <c r="D598" s="817">
        <f t="shared" si="278"/>
        <v>2.6387939462097056E-3</v>
      </c>
      <c r="E598" s="844">
        <f t="shared" si="271"/>
        <v>0.29759707768117039</v>
      </c>
      <c r="F598" s="841">
        <v>7372</v>
      </c>
      <c r="G598" s="817">
        <f t="shared" si="279"/>
        <v>5.6338412429918269E-3</v>
      </c>
      <c r="H598" s="822">
        <f t="shared" si="276"/>
        <v>0.44784649527662673</v>
      </c>
      <c r="I598" s="824">
        <v>440897.46</v>
      </c>
      <c r="J598" s="825">
        <v>400000</v>
      </c>
      <c r="K598" s="825">
        <f t="shared" si="277"/>
        <v>-313.69999999995343</v>
      </c>
      <c r="L598" s="817">
        <f t="shared" si="285"/>
        <v>-7.1099742807945621E-4</v>
      </c>
      <c r="M598" s="842">
        <f t="shared" si="272"/>
        <v>40897.460000000021</v>
      </c>
      <c r="N598" s="827">
        <f t="shared" si="280"/>
        <v>0.10224365000000005</v>
      </c>
      <c r="O598" s="811">
        <f t="shared" si="282"/>
        <v>4.0069198672210322E-2</v>
      </c>
      <c r="P598" s="842" t="b">
        <f t="shared" si="273"/>
        <v>0</v>
      </c>
      <c r="Q598" s="827">
        <f>COUNTIF(P$2:P598, TRUE)/(COUNTIF(P$2:P598,FALSE) + COUNTIF(P$2:P598, TRUE))</f>
        <v>0.48073701842546063</v>
      </c>
      <c r="R598" s="825">
        <v>355214.01</v>
      </c>
      <c r="S598" s="825">
        <f t="shared" si="284"/>
        <v>85683.450000000012</v>
      </c>
      <c r="T598" s="825">
        <v>-32140</v>
      </c>
      <c r="U598" s="825">
        <f t="shared" si="286"/>
        <v>73037.460000000021</v>
      </c>
      <c r="V598" s="827">
        <f>STDEV(D$2:D598)*SQRT(252)</f>
        <v>0.13991020947866528</v>
      </c>
      <c r="W598" s="827">
        <f>STDEV(L$2:L598)*SQRT(252)</f>
        <v>0.28280153709709011</v>
      </c>
      <c r="X598" s="826">
        <f t="shared" si="257"/>
        <v>0.8335920568605808</v>
      </c>
      <c r="Y598" s="826">
        <f t="shared" si="287"/>
        <v>0.14168663679665203</v>
      </c>
      <c r="Z598" s="832">
        <f t="shared" si="283"/>
        <v>-0.19535342768117034</v>
      </c>
    </row>
    <row r="599" spans="1:26" ht="20.100000000000001" customHeight="1" x14ac:dyDescent="0.2">
      <c r="A599" s="801">
        <f t="shared" si="281"/>
        <v>933</v>
      </c>
      <c r="B599" s="820">
        <v>43166</v>
      </c>
      <c r="C599" s="845">
        <v>2726.8</v>
      </c>
      <c r="D599" s="817">
        <f t="shared" si="278"/>
        <v>-4.8384968403138753E-4</v>
      </c>
      <c r="E599" s="844">
        <f t="shared" si="271"/>
        <v>0.29696923574513429</v>
      </c>
      <c r="F599" s="841">
        <v>7396.64</v>
      </c>
      <c r="G599" s="817">
        <f t="shared" si="279"/>
        <v>3.3423765599566368E-3</v>
      </c>
      <c r="H599" s="822">
        <f t="shared" si="276"/>
        <v>0.45268574346485468</v>
      </c>
      <c r="I599" s="824">
        <v>435779.16</v>
      </c>
      <c r="J599" s="825">
        <v>400000</v>
      </c>
      <c r="K599" s="825">
        <f t="shared" si="277"/>
        <v>-5118.3000000000466</v>
      </c>
      <c r="L599" s="817">
        <f t="shared" si="285"/>
        <v>-1.1608821697453295E-2</v>
      </c>
      <c r="M599" s="842">
        <f t="shared" si="272"/>
        <v>35779.159999999974</v>
      </c>
      <c r="N599" s="827">
        <f t="shared" si="280"/>
        <v>8.9447899999999941E-2</v>
      </c>
      <c r="O599" s="811">
        <f t="shared" si="282"/>
        <v>3.5016983360128595E-2</v>
      </c>
      <c r="P599" s="842" t="b">
        <f t="shared" si="273"/>
        <v>0</v>
      </c>
      <c r="Q599" s="827">
        <f>COUNTIF(P$2:P599, TRUE)/(COUNTIF(P$2:P599,FALSE) + COUNTIF(P$2:P599, TRUE))</f>
        <v>0.47993311036789299</v>
      </c>
      <c r="R599" s="825">
        <v>358173.46</v>
      </c>
      <c r="S599" s="825">
        <f t="shared" si="284"/>
        <v>77605.699999999953</v>
      </c>
      <c r="T599" s="825">
        <v>-33468</v>
      </c>
      <c r="U599" s="825">
        <f t="shared" si="286"/>
        <v>69247.159999999974</v>
      </c>
      <c r="V599" s="827">
        <f>STDEV(D$2:D599)*SQRT(252)</f>
        <v>0.13979417676369779</v>
      </c>
      <c r="W599" s="827">
        <f>STDEV(L$2:L599)*SQRT(252)</f>
        <v>0.28267415895687487</v>
      </c>
      <c r="X599" s="826">
        <f t="shared" si="257"/>
        <v>0.83163155814580803</v>
      </c>
      <c r="Y599" s="826">
        <f t="shared" si="287"/>
        <v>0.12387755389225667</v>
      </c>
      <c r="Z599" s="832">
        <f t="shared" si="283"/>
        <v>-0.20752133574513434</v>
      </c>
    </row>
    <row r="600" spans="1:26" ht="20.100000000000001" customHeight="1" x14ac:dyDescent="0.2">
      <c r="A600" s="801">
        <f t="shared" si="281"/>
        <v>934</v>
      </c>
      <c r="B600" s="820">
        <v>43167</v>
      </c>
      <c r="C600" s="845">
        <v>2738.97</v>
      </c>
      <c r="D600" s="817">
        <f t="shared" si="278"/>
        <v>4.4631069385358728E-3</v>
      </c>
      <c r="E600" s="844">
        <f t="shared" si="271"/>
        <v>0.30275774814025597</v>
      </c>
      <c r="F600" s="841">
        <v>7427.94</v>
      </c>
      <c r="G600" s="817">
        <f t="shared" si="279"/>
        <v>4.2316511280796783E-3</v>
      </c>
      <c r="H600" s="822">
        <f t="shared" si="276"/>
        <v>0.45883300272993299</v>
      </c>
      <c r="I600" s="824">
        <v>429670.56</v>
      </c>
      <c r="J600" s="825">
        <v>400000</v>
      </c>
      <c r="K600" s="825">
        <f t="shared" si="277"/>
        <v>-6108.5999999999767</v>
      </c>
      <c r="L600" s="817">
        <f t="shared" si="285"/>
        <v>-1.4017650591643659E-2</v>
      </c>
      <c r="M600" s="842">
        <f t="shared" si="272"/>
        <v>29670.559999999998</v>
      </c>
      <c r="N600" s="827">
        <f t="shared" si="280"/>
        <v>7.417639999999999E-2</v>
      </c>
      <c r="O600" s="811">
        <f t="shared" si="282"/>
        <v>2.9007419807280513E-2</v>
      </c>
      <c r="P600" s="842" t="b">
        <f t="shared" si="273"/>
        <v>0</v>
      </c>
      <c r="Q600" s="827">
        <f>COUNTIF(P$2:P600, TRUE)/(COUNTIF(P$2:P600,FALSE) + COUNTIF(P$2:P600, TRUE))</f>
        <v>0.47913188647746241</v>
      </c>
      <c r="R600" s="825">
        <v>369341.21</v>
      </c>
      <c r="S600" s="825">
        <f t="shared" si="284"/>
        <v>60329.349999999977</v>
      </c>
      <c r="T600" s="825">
        <v>-40317</v>
      </c>
      <c r="U600" s="825">
        <f t="shared" si="286"/>
        <v>69987.56</v>
      </c>
      <c r="V600" s="827">
        <f>STDEV(D$2:D600)*SQRT(252)</f>
        <v>0.13970104530269922</v>
      </c>
      <c r="W600" s="827">
        <f>STDEV(L$2:L600)*SQRT(252)</f>
        <v>0.28259463012255009</v>
      </c>
      <c r="X600" s="826">
        <f t="shared" si="257"/>
        <v>0.84749854065243946</v>
      </c>
      <c r="Y600" s="826">
        <f t="shared" si="287"/>
        <v>0.10264674808116893</v>
      </c>
      <c r="Z600" s="832">
        <f t="shared" si="283"/>
        <v>-0.22858134814025599</v>
      </c>
    </row>
    <row r="601" spans="1:26" ht="20.100000000000001" customHeight="1" x14ac:dyDescent="0.2">
      <c r="A601" s="801">
        <f t="shared" si="281"/>
        <v>935</v>
      </c>
      <c r="B601" s="820">
        <v>43168</v>
      </c>
      <c r="C601" s="845">
        <v>2786.57</v>
      </c>
      <c r="D601" s="817">
        <f t="shared" si="278"/>
        <v>1.7378795678667663E-2</v>
      </c>
      <c r="E601" s="844">
        <f t="shared" si="271"/>
        <v>0.32539810886398662</v>
      </c>
      <c r="F601" s="841">
        <v>7560.81</v>
      </c>
      <c r="G601" s="817">
        <f t="shared" si="279"/>
        <v>1.7887866622509175E-2</v>
      </c>
      <c r="H601" s="822">
        <f t="shared" si="276"/>
        <v>0.48492841290728061</v>
      </c>
      <c r="I601" s="824">
        <v>438280.9</v>
      </c>
      <c r="J601" s="825">
        <v>400000</v>
      </c>
      <c r="K601" s="825">
        <f t="shared" si="277"/>
        <v>8610.3400000000256</v>
      </c>
      <c r="L601" s="817">
        <f t="shared" si="285"/>
        <v>2.0039399487830921E-2</v>
      </c>
      <c r="M601" s="842">
        <f t="shared" si="272"/>
        <v>38280.900000000023</v>
      </c>
      <c r="N601" s="827">
        <f t="shared" si="280"/>
        <v>9.5702250000000058E-2</v>
      </c>
      <c r="O601" s="811">
        <f t="shared" si="282"/>
        <v>3.7385290708556174E-2</v>
      </c>
      <c r="P601" s="842" t="b">
        <f t="shared" si="273"/>
        <v>1</v>
      </c>
      <c r="Q601" s="827">
        <f>COUNTIF(P$2:P601, TRUE)/(COUNTIF(P$2:P601,FALSE) + COUNTIF(P$2:P601, TRUE))</f>
        <v>0.48</v>
      </c>
      <c r="R601" s="825">
        <v>374980.71</v>
      </c>
      <c r="S601" s="825">
        <f t="shared" si="284"/>
        <v>63300.19</v>
      </c>
      <c r="T601" s="825">
        <v>-37017</v>
      </c>
      <c r="U601" s="825">
        <f t="shared" si="286"/>
        <v>75297.900000000023</v>
      </c>
      <c r="V601" s="827">
        <f>STDEV(D$2:D601)*SQRT(252)</f>
        <v>0.14001382261721679</v>
      </c>
      <c r="W601" s="827">
        <f>STDEV(L$2:L601)*SQRT(252)</f>
        <v>0.2826430633070916</v>
      </c>
      <c r="X601" s="826">
        <f t="shared" si="257"/>
        <v>0.90786803546627559</v>
      </c>
      <c r="Y601" s="826">
        <f t="shared" si="287"/>
        <v>0.13227032806369307</v>
      </c>
      <c r="Z601" s="832">
        <f t="shared" si="283"/>
        <v>-0.22969585886398658</v>
      </c>
    </row>
    <row r="602" spans="1:26" ht="20.100000000000001" customHeight="1" x14ac:dyDescent="0.2">
      <c r="A602" s="801">
        <f t="shared" si="281"/>
        <v>938</v>
      </c>
      <c r="B602" s="820">
        <v>43171</v>
      </c>
      <c r="C602" s="845">
        <v>2783.02</v>
      </c>
      <c r="D602" s="817">
        <f t="shared" si="278"/>
        <v>-1.273967637633428E-3</v>
      </c>
      <c r="E602" s="844">
        <f t="shared" si="271"/>
        <v>0.32370959456631337</v>
      </c>
      <c r="F602" s="841">
        <v>7588.32</v>
      </c>
      <c r="G602" s="817">
        <f t="shared" si="279"/>
        <v>3.6384990497049003E-3</v>
      </c>
      <c r="H602" s="822">
        <f t="shared" si="276"/>
        <v>0.49033132352652353</v>
      </c>
      <c r="I602" s="824">
        <v>437286.12</v>
      </c>
      <c r="J602" s="825">
        <v>400000</v>
      </c>
      <c r="K602" s="825">
        <f t="shared" si="277"/>
        <v>-994.78000000002794</v>
      </c>
      <c r="L602" s="817">
        <f t="shared" si="285"/>
        <v>-2.2697315808195792E-3</v>
      </c>
      <c r="M602" s="842">
        <f t="shared" si="272"/>
        <v>37286.119999999995</v>
      </c>
      <c r="N602" s="827">
        <f t="shared" si="280"/>
        <v>9.3215299999999987E-2</v>
      </c>
      <c r="O602" s="811">
        <f t="shared" si="282"/>
        <v>3.6297322308102335E-2</v>
      </c>
      <c r="P602" s="842" t="b">
        <f t="shared" si="273"/>
        <v>0</v>
      </c>
      <c r="Q602" s="827">
        <f>COUNTIF(P$2:P602, TRUE)/(COUNTIF(P$2:P602,FALSE) + COUNTIF(P$2:P602, TRUE))</f>
        <v>0.47920133111480867</v>
      </c>
      <c r="R602" s="825">
        <v>373985.93</v>
      </c>
      <c r="S602" s="825">
        <f t="shared" si="284"/>
        <v>63300.19</v>
      </c>
      <c r="T602" s="825">
        <v>-37287</v>
      </c>
      <c r="U602" s="825">
        <f t="shared" si="286"/>
        <v>74573.119999999995</v>
      </c>
      <c r="V602" s="827">
        <f>STDEV(D$2:D602)*SQRT(252)</f>
        <v>0.13990167405306719</v>
      </c>
      <c r="W602" s="827">
        <f>STDEV(L$2:L602)*SQRT(252)</f>
        <v>0.28241279907260419</v>
      </c>
      <c r="X602" s="826">
        <f t="shared" si="257"/>
        <v>0.90099015764336643</v>
      </c>
      <c r="Y602" s="826">
        <f t="shared" si="287"/>
        <v>0.1285257694668818</v>
      </c>
      <c r="Z602" s="832">
        <f t="shared" si="283"/>
        <v>-0.23049429456631337</v>
      </c>
    </row>
    <row r="603" spans="1:26" ht="20.100000000000001" customHeight="1" x14ac:dyDescent="0.2">
      <c r="A603" s="801">
        <f t="shared" si="281"/>
        <v>939</v>
      </c>
      <c r="B603" s="820">
        <v>43172</v>
      </c>
      <c r="C603" s="845">
        <v>2765.31</v>
      </c>
      <c r="D603" s="817">
        <f t="shared" si="278"/>
        <v>-6.3635906317597562E-3</v>
      </c>
      <c r="E603" s="844">
        <f t="shared" si="271"/>
        <v>0.31528604859116066</v>
      </c>
      <c r="F603" s="841">
        <v>7511.01</v>
      </c>
      <c r="G603" s="817">
        <f t="shared" si="279"/>
        <v>-1.0188025808083936E-2</v>
      </c>
      <c r="H603" s="822">
        <f t="shared" si="276"/>
        <v>0.47514778953983944</v>
      </c>
      <c r="I603" s="824">
        <v>435615.49</v>
      </c>
      <c r="J603" s="825">
        <v>400000</v>
      </c>
      <c r="K603" s="825">
        <f t="shared" si="277"/>
        <v>-1670.6300000000047</v>
      </c>
      <c r="L603" s="817">
        <f t="shared" si="285"/>
        <v>-3.8204505553480744E-3</v>
      </c>
      <c r="M603" s="842">
        <f t="shared" si="272"/>
        <v>35615.489999999991</v>
      </c>
      <c r="N603" s="827">
        <f t="shared" si="280"/>
        <v>8.9038724999999971E-2</v>
      </c>
      <c r="O603" s="811">
        <f t="shared" si="282"/>
        <v>3.463407274361021E-2</v>
      </c>
      <c r="P603" s="842" t="b">
        <f t="shared" si="273"/>
        <v>1</v>
      </c>
      <c r="Q603" s="827">
        <f>COUNTIF(P$2:P603, TRUE)/(COUNTIF(P$2:P603,FALSE) + COUNTIF(P$2:P603, TRUE))</f>
        <v>0.48006644518272423</v>
      </c>
      <c r="R603" s="825">
        <v>378952.58</v>
      </c>
      <c r="S603" s="825">
        <f t="shared" si="284"/>
        <v>56662.909999999974</v>
      </c>
      <c r="T603" s="825">
        <v>-37227</v>
      </c>
      <c r="U603" s="825">
        <f t="shared" si="286"/>
        <v>72842.489999999991</v>
      </c>
      <c r="V603" s="827">
        <f>STDEV(D$2:D603)*SQRT(252)</f>
        <v>0.13985580631771188</v>
      </c>
      <c r="W603" s="827">
        <f>STDEV(L$2:L603)*SQRT(252)</f>
        <v>0.28219128709643676</v>
      </c>
      <c r="X603" s="826">
        <f t="shared" ref="X603:X638" si="288">E603/(A603/365.25)/V603</f>
        <v>0.87689760622217827</v>
      </c>
      <c r="Y603" s="826">
        <f t="shared" si="287"/>
        <v>0.12273260843724872</v>
      </c>
      <c r="Z603" s="832">
        <f t="shared" si="283"/>
        <v>-0.22624732359116068</v>
      </c>
    </row>
    <row r="604" spans="1:26" ht="20.100000000000001" customHeight="1" x14ac:dyDescent="0.2">
      <c r="A604" s="801">
        <f t="shared" si="281"/>
        <v>940</v>
      </c>
      <c r="B604" s="820">
        <v>43173</v>
      </c>
      <c r="C604" s="845">
        <v>2749.48</v>
      </c>
      <c r="D604" s="817">
        <f t="shared" si="278"/>
        <v>-5.7244938180529229E-3</v>
      </c>
      <c r="E604" s="844">
        <f t="shared" si="271"/>
        <v>0.30775670173702935</v>
      </c>
      <c r="F604" s="841">
        <v>7496.81</v>
      </c>
      <c r="G604" s="817">
        <f t="shared" si="279"/>
        <v>-1.8905579941978267E-3</v>
      </c>
      <c r="H604" s="822">
        <f t="shared" si="276"/>
        <v>0.47235893709370164</v>
      </c>
      <c r="I604" s="824">
        <v>429341.77</v>
      </c>
      <c r="J604" s="825">
        <v>400000</v>
      </c>
      <c r="K604" s="825">
        <f t="shared" si="277"/>
        <v>-6273.7199999999721</v>
      </c>
      <c r="L604" s="817">
        <f t="shared" si="285"/>
        <v>-1.4401967202773189E-2</v>
      </c>
      <c r="M604" s="842">
        <f t="shared" si="272"/>
        <v>29341.770000000019</v>
      </c>
      <c r="N604" s="827">
        <f t="shared" si="280"/>
        <v>7.3354425000000043E-2</v>
      </c>
      <c r="O604" s="811">
        <f t="shared" si="282"/>
        <v>2.8502876309840441E-2</v>
      </c>
      <c r="P604" s="842" t="b">
        <f t="shared" si="273"/>
        <v>0</v>
      </c>
      <c r="Q604" s="827">
        <f>COUNTIF(P$2:P604, TRUE)/(COUNTIF(P$2:P604,FALSE) + COUNTIF(P$2:P604, TRUE))</f>
        <v>0.4792703150912106</v>
      </c>
      <c r="R604" s="825">
        <v>372630.86</v>
      </c>
      <c r="S604" s="825">
        <f t="shared" si="284"/>
        <v>56710.910000000033</v>
      </c>
      <c r="T604" s="825">
        <v>-38937</v>
      </c>
      <c r="U604" s="825">
        <f t="shared" si="286"/>
        <v>68278.770000000019</v>
      </c>
      <c r="V604" s="827">
        <f>STDEV(D$2:D604)*SQRT(252)</f>
        <v>0.1397973286660589</v>
      </c>
      <c r="W604" s="827">
        <f>STDEV(L$2:L604)*SQRT(252)</f>
        <v>0.28212127314780289</v>
      </c>
      <c r="X604" s="826">
        <f t="shared" si="288"/>
        <v>0.8554034888269002</v>
      </c>
      <c r="Y604" s="826">
        <f t="shared" si="287"/>
        <v>0.10103058160703758</v>
      </c>
      <c r="Z604" s="832">
        <f t="shared" si="283"/>
        <v>-0.23440227673702929</v>
      </c>
    </row>
    <row r="605" spans="1:26" ht="20.100000000000001" customHeight="1" x14ac:dyDescent="0.2">
      <c r="A605" s="801">
        <f t="shared" si="281"/>
        <v>941</v>
      </c>
      <c r="B605" s="820">
        <v>43174</v>
      </c>
      <c r="C605" s="845">
        <v>2747.33</v>
      </c>
      <c r="D605" s="817">
        <f t="shared" si="278"/>
        <v>-7.8196604448844541E-4</v>
      </c>
      <c r="E605" s="844">
        <f t="shared" si="271"/>
        <v>0.30673408040181876</v>
      </c>
      <c r="F605" s="841">
        <v>7481.74</v>
      </c>
      <c r="G605" s="817">
        <f t="shared" si="279"/>
        <v>-2.0101883334379044E-3</v>
      </c>
      <c r="H605" s="822">
        <f t="shared" si="276"/>
        <v>0.46939921833572285</v>
      </c>
      <c r="I605" s="824">
        <v>429379.29</v>
      </c>
      <c r="J605" s="825">
        <v>400000</v>
      </c>
      <c r="K605" s="825">
        <f t="shared" si="277"/>
        <v>37.519999999960419</v>
      </c>
      <c r="L605" s="817">
        <f t="shared" si="285"/>
        <v>8.7389587088068359E-5</v>
      </c>
      <c r="M605" s="842">
        <f t="shared" si="272"/>
        <v>29379.289999999979</v>
      </c>
      <c r="N605" s="827">
        <f t="shared" si="280"/>
        <v>7.344822499999995E-2</v>
      </c>
      <c r="O605" s="811">
        <f t="shared" si="282"/>
        <v>2.8508994879117941E-2</v>
      </c>
      <c r="P605" s="842" t="b">
        <f t="shared" si="273"/>
        <v>1</v>
      </c>
      <c r="Q605" s="827">
        <f>COUNTIF(P$2:P605, TRUE)/(COUNTIF(P$2:P605,FALSE) + COUNTIF(P$2:P605, TRUE))</f>
        <v>0.48013245033112584</v>
      </c>
      <c r="R605" s="825">
        <v>376490.31</v>
      </c>
      <c r="S605" s="825">
        <f t="shared" si="284"/>
        <v>52888.979999999981</v>
      </c>
      <c r="T605" s="825"/>
      <c r="U605" s="825"/>
      <c r="V605" s="827">
        <f>STDEV(D$2:D605)*SQRT(252)</f>
        <v>0.13968356910665927</v>
      </c>
      <c r="W605" s="827">
        <f>STDEV(L$2:L605)*SQRT(252)</f>
        <v>0.2818869686749797</v>
      </c>
      <c r="X605" s="826">
        <f t="shared" si="288"/>
        <v>0.85234871317056815</v>
      </c>
      <c r="Y605" s="826">
        <f t="shared" si="287"/>
        <v>0.10113626398951872</v>
      </c>
      <c r="Z605" s="832">
        <f t="shared" si="283"/>
        <v>-0.23328585540181881</v>
      </c>
    </row>
    <row r="606" spans="1:26" ht="20.100000000000001" customHeight="1" x14ac:dyDescent="0.2">
      <c r="A606" s="801">
        <f t="shared" si="281"/>
        <v>942</v>
      </c>
      <c r="B606" s="820">
        <v>43175</v>
      </c>
      <c r="C606" s="845">
        <v>2752.02</v>
      </c>
      <c r="D606" s="817">
        <f t="shared" si="278"/>
        <v>1.707111996010692E-3</v>
      </c>
      <c r="E606" s="844">
        <f t="shared" si="271"/>
        <v>0.30896482182606871</v>
      </c>
      <c r="F606" s="841">
        <v>7481.98</v>
      </c>
      <c r="G606" s="817">
        <f t="shared" si="279"/>
        <v>3.2078099479503662E-5</v>
      </c>
      <c r="H606" s="822">
        <f t="shared" si="276"/>
        <v>0.46944635387002376</v>
      </c>
      <c r="I606" s="824">
        <v>432834.68</v>
      </c>
      <c r="J606" s="825">
        <v>400000</v>
      </c>
      <c r="K606" s="825">
        <f t="shared" si="277"/>
        <v>3455.390000000014</v>
      </c>
      <c r="L606" s="817">
        <f t="shared" si="285"/>
        <v>8.0474072235761866E-3</v>
      </c>
      <c r="M606" s="842">
        <f t="shared" si="272"/>
        <v>32834.679999999993</v>
      </c>
      <c r="N606" s="827">
        <f t="shared" si="280"/>
        <v>8.2086699999999985E-2</v>
      </c>
      <c r="O606" s="811">
        <f t="shared" si="282"/>
        <v>3.1828202945859869E-2</v>
      </c>
      <c r="P606" s="842" t="b">
        <f t="shared" si="273"/>
        <v>1</v>
      </c>
      <c r="Q606" s="827">
        <f>COUNTIF(P$2:P606, TRUE)/(COUNTIF(P$2:P606,FALSE) + COUNTIF(P$2:P606, TRUE))</f>
        <v>0.4809917355371901</v>
      </c>
      <c r="R606" s="825">
        <v>369896.1</v>
      </c>
      <c r="S606" s="825">
        <f t="shared" si="284"/>
        <v>62938.580000000016</v>
      </c>
      <c r="T606" s="825"/>
      <c r="U606" s="825"/>
      <c r="V606" s="827">
        <f>STDEV(D$2:D606)*SQRT(252)</f>
        <v>0.13956993901998668</v>
      </c>
      <c r="W606" s="827">
        <f>STDEV(L$2:L606)*SQRT(252)</f>
        <v>0.28169557911049675</v>
      </c>
      <c r="X606" s="826">
        <f t="shared" si="288"/>
        <v>0.85833429912511727</v>
      </c>
      <c r="Y606" s="826">
        <f t="shared" si="287"/>
        <v>0.112987939130472</v>
      </c>
      <c r="Z606" s="832">
        <f t="shared" si="283"/>
        <v>-0.22687812182606873</v>
      </c>
    </row>
    <row r="607" spans="1:26" ht="20.100000000000001" customHeight="1" x14ac:dyDescent="0.2">
      <c r="A607" s="801">
        <f t="shared" si="281"/>
        <v>945</v>
      </c>
      <c r="B607" s="820">
        <v>43178</v>
      </c>
      <c r="C607" s="845">
        <v>2712.92</v>
      </c>
      <c r="D607" s="817">
        <f t="shared" si="278"/>
        <v>-1.4207745583244275E-2</v>
      </c>
      <c r="E607" s="844">
        <f t="shared" si="271"/>
        <v>0.29036738266014728</v>
      </c>
      <c r="F607" s="841">
        <v>7324.44</v>
      </c>
      <c r="G607" s="817">
        <f t="shared" si="279"/>
        <v>-2.1055923699341613E-2</v>
      </c>
      <c r="H607" s="822">
        <f t="shared" ref="H607:H629" si="289">(F607-F$2)/F$2</f>
        <v>0.43850580356266078</v>
      </c>
      <c r="I607" s="824">
        <v>436840.3</v>
      </c>
      <c r="J607" s="825">
        <v>410000</v>
      </c>
      <c r="K607" s="825">
        <f t="shared" ref="K607:K629" si="290">I607-I606-J607+J606</f>
        <v>-5994.3800000000047</v>
      </c>
      <c r="L607" s="817">
        <f t="shared" si="285"/>
        <v>-1.3849121331959825E-2</v>
      </c>
      <c r="M607" s="842">
        <f t="shared" si="272"/>
        <v>26840.299999999988</v>
      </c>
      <c r="N607" s="827">
        <f t="shared" si="280"/>
        <v>6.5464146341463386E-2</v>
      </c>
      <c r="O607" s="811">
        <f t="shared" si="282"/>
        <v>2.5302412117692595E-2</v>
      </c>
      <c r="P607" s="842" t="b">
        <f t="shared" si="273"/>
        <v>1</v>
      </c>
      <c r="Q607" s="827">
        <f>COUNTIF(P$2:P607, TRUE)/(COUNTIF(P$2:P607,FALSE) + COUNTIF(P$2:P607, TRUE))</f>
        <v>0.48184818481848185</v>
      </c>
      <c r="R607" s="825"/>
      <c r="S607" s="825"/>
      <c r="T607" s="825"/>
      <c r="U607" s="825"/>
      <c r="V607" s="827">
        <f>STDEV(D$2:D607)*SQRT(252)</f>
        <v>0.13977635246668721</v>
      </c>
      <c r="W607" s="827">
        <f>STDEV(L$2:L607)*SQRT(252)</f>
        <v>0.28161437917604071</v>
      </c>
      <c r="X607" s="826">
        <f t="shared" si="288"/>
        <v>0.80292049349285621</v>
      </c>
      <c r="Y607" s="826">
        <f t="shared" si="287"/>
        <v>8.9847727916889275E-2</v>
      </c>
      <c r="Z607" s="832">
        <f t="shared" si="283"/>
        <v>-0.22490323631868389</v>
      </c>
    </row>
    <row r="608" spans="1:26" ht="20.100000000000001" customHeight="1" x14ac:dyDescent="0.2">
      <c r="A608" s="801">
        <f t="shared" si="281"/>
        <v>946</v>
      </c>
      <c r="B608" s="820">
        <v>43179</v>
      </c>
      <c r="C608" s="845">
        <v>2716.94</v>
      </c>
      <c r="D608" s="817">
        <f t="shared" ref="D608:D629" si="291">(C608-C607)/C607</f>
        <v>1.4817982100467325E-3</v>
      </c>
      <c r="E608" s="844">
        <f t="shared" si="271"/>
        <v>0.29227944673807577</v>
      </c>
      <c r="F608" s="841">
        <v>7364.3</v>
      </c>
      <c r="G608" s="817">
        <f t="shared" ref="G608:G629" si="292">(F608-F607)/F607</f>
        <v>5.4420542730912649E-3</v>
      </c>
      <c r="H608" s="822">
        <f t="shared" si="289"/>
        <v>0.44633423021780555</v>
      </c>
      <c r="I608" s="824">
        <v>437944.26</v>
      </c>
      <c r="J608" s="825">
        <v>410000</v>
      </c>
      <c r="K608" s="825">
        <f t="shared" si="290"/>
        <v>1103.960000000021</v>
      </c>
      <c r="L608" s="817">
        <f t="shared" si="285"/>
        <v>2.5271477929120116E-3</v>
      </c>
      <c r="M608" s="842">
        <f t="shared" si="272"/>
        <v>27944.260000000009</v>
      </c>
      <c r="N608" s="827">
        <f t="shared" si="280"/>
        <v>6.8156731707317092E-2</v>
      </c>
      <c r="O608" s="811">
        <f t="shared" si="282"/>
        <v>2.6315270883824068E-2</v>
      </c>
      <c r="P608" s="842" t="b">
        <f t="shared" si="273"/>
        <v>1</v>
      </c>
      <c r="Q608" s="827">
        <f>COUNTIF(P$2:P608, TRUE)/(COUNTIF(P$2:P608,FALSE) + COUNTIF(P$2:P608, TRUE))</f>
        <v>0.48270181219110381</v>
      </c>
      <c r="R608" s="825">
        <v>408998.53</v>
      </c>
      <c r="S608" s="825">
        <f t="shared" ref="S608:S615" si="293">I608-R608</f>
        <v>28945.729999999981</v>
      </c>
      <c r="T608" s="825">
        <v>-39027</v>
      </c>
      <c r="U608" s="825">
        <f t="shared" ref="U608:U615" si="294">M608-T608</f>
        <v>66971.260000000009</v>
      </c>
      <c r="V608" s="827">
        <f>STDEV(D$2:D608)*SQRT(252)</f>
        <v>0.13966234092312027</v>
      </c>
      <c r="W608" s="827">
        <f>STDEV(L$2:L608)*SQRT(252)</f>
        <v>0.28138468339100431</v>
      </c>
      <c r="X608" s="826">
        <f t="shared" si="288"/>
        <v>0.8080124410173406</v>
      </c>
      <c r="Y608" s="826">
        <f t="shared" si="287"/>
        <v>9.3520622966023703E-2</v>
      </c>
      <c r="Z608" s="832">
        <f t="shared" si="283"/>
        <v>-0.22412271503075867</v>
      </c>
    </row>
    <row r="609" spans="1:26" ht="20.100000000000001" customHeight="1" x14ac:dyDescent="0.2">
      <c r="A609" s="801">
        <f t="shared" si="281"/>
        <v>947</v>
      </c>
      <c r="B609" s="820">
        <v>43180</v>
      </c>
      <c r="C609" s="845">
        <v>2711.93</v>
      </c>
      <c r="D609" s="817">
        <f t="shared" si="291"/>
        <v>-1.8439862492363535E-3</v>
      </c>
      <c r="E609" s="844">
        <f t="shared" si="271"/>
        <v>0.28989650120811999</v>
      </c>
      <c r="F609" s="841">
        <v>7345.28</v>
      </c>
      <c r="G609" s="817">
        <f t="shared" si="292"/>
        <v>-2.582730198389587E-3</v>
      </c>
      <c r="H609" s="822">
        <f t="shared" si="289"/>
        <v>0.44259873912445746</v>
      </c>
      <c r="I609" s="824">
        <v>444291.72</v>
      </c>
      <c r="J609" s="825">
        <v>410000</v>
      </c>
      <c r="K609" s="825">
        <f t="shared" si="290"/>
        <v>6347.4599999999627</v>
      </c>
      <c r="L609" s="817">
        <f t="shared" si="285"/>
        <v>1.4493762288378806E-2</v>
      </c>
      <c r="M609" s="842">
        <f t="shared" si="272"/>
        <v>34291.719999999972</v>
      </c>
      <c r="N609" s="827">
        <f t="shared" si="280"/>
        <v>8.3638341463414562E-2</v>
      </c>
      <c r="O609" s="811">
        <f t="shared" si="282"/>
        <v>3.2258610580266286E-2</v>
      </c>
      <c r="P609" s="842" t="b">
        <f t="shared" si="273"/>
        <v>1</v>
      </c>
      <c r="Q609" s="827">
        <f>COUNTIF(P$2:P609, TRUE)/(COUNTIF(P$2:P609,FALSE) + COUNTIF(P$2:P609, TRUE))</f>
        <v>0.48355263157894735</v>
      </c>
      <c r="R609" s="825">
        <v>388465.73</v>
      </c>
      <c r="S609" s="825">
        <f t="shared" si="293"/>
        <v>55825.989999999991</v>
      </c>
      <c r="T609" s="825">
        <v>-38907</v>
      </c>
      <c r="U609" s="825">
        <f t="shared" si="294"/>
        <v>73198.719999999972</v>
      </c>
      <c r="V609" s="827">
        <f>STDEV(D$2:D609)*SQRT(252)</f>
        <v>0.13955496906364678</v>
      </c>
      <c r="W609" s="827">
        <f>STDEV(L$2:L609)*SQRT(252)</f>
        <v>0.28129760062211118</v>
      </c>
      <c r="X609" s="826">
        <f t="shared" si="288"/>
        <v>0.80119441759034837</v>
      </c>
      <c r="Y609" s="826">
        <f t="shared" si="287"/>
        <v>0.11467787321656459</v>
      </c>
      <c r="Z609" s="832">
        <f t="shared" si="283"/>
        <v>-0.20625815974470543</v>
      </c>
    </row>
    <row r="610" spans="1:26" ht="20.100000000000001" customHeight="1" x14ac:dyDescent="0.2">
      <c r="A610" s="801">
        <f t="shared" si="281"/>
        <v>948</v>
      </c>
      <c r="B610" s="820">
        <v>43181</v>
      </c>
      <c r="C610" s="845">
        <v>2643.69</v>
      </c>
      <c r="D610" s="817">
        <f t="shared" si="291"/>
        <v>-2.5162891372564847E-2</v>
      </c>
      <c r="E610" s="844">
        <f t="shared" si="271"/>
        <v>0.25743897566636859</v>
      </c>
      <c r="F610" s="841">
        <v>7166.67</v>
      </c>
      <c r="G610" s="817">
        <f t="shared" si="292"/>
        <v>-2.4316295634747714E-2</v>
      </c>
      <c r="H610" s="822">
        <f t="shared" si="289"/>
        <v>0.40752008170159287</v>
      </c>
      <c r="I610" s="824">
        <v>436497.12</v>
      </c>
      <c r="J610" s="825">
        <v>410000</v>
      </c>
      <c r="K610" s="825">
        <f t="shared" si="290"/>
        <v>-7794.5999999999767</v>
      </c>
      <c r="L610" s="817">
        <f t="shared" si="285"/>
        <v>-1.7543878603004298E-2</v>
      </c>
      <c r="M610" s="842">
        <f t="shared" si="272"/>
        <v>26497.119999999995</v>
      </c>
      <c r="N610" s="827">
        <f t="shared" si="280"/>
        <v>6.4627121951219502E-2</v>
      </c>
      <c r="O610" s="811">
        <f t="shared" si="282"/>
        <v>2.4899848410003086E-2</v>
      </c>
      <c r="P610" s="842" t="b">
        <f t="shared" si="273"/>
        <v>1</v>
      </c>
      <c r="Q610" s="827">
        <f>COUNTIF(P$2:P610, TRUE)/(COUNTIF(P$2:P610,FALSE) + COUNTIF(P$2:P610, TRUE))</f>
        <v>0.48440065681444994</v>
      </c>
      <c r="R610" s="825">
        <v>405000.68</v>
      </c>
      <c r="S610" s="825">
        <f t="shared" si="293"/>
        <v>31496.440000000002</v>
      </c>
      <c r="T610" s="825">
        <v>-39087</v>
      </c>
      <c r="U610" s="825">
        <f t="shared" si="294"/>
        <v>65584.12</v>
      </c>
      <c r="V610" s="827">
        <f>STDEV(D$2:D610)*SQRT(252)</f>
        <v>0.1404121731089179</v>
      </c>
      <c r="W610" s="827">
        <f>STDEV(L$2:L610)*SQRT(252)</f>
        <v>0.28130554779717615</v>
      </c>
      <c r="X610" s="826">
        <f t="shared" si="288"/>
        <v>0.706401194872605</v>
      </c>
      <c r="Y610" s="826">
        <f t="shared" si="287"/>
        <v>8.8515312282273592E-2</v>
      </c>
      <c r="Z610" s="832">
        <f t="shared" si="283"/>
        <v>-0.19281185371514908</v>
      </c>
    </row>
    <row r="611" spans="1:26" ht="20.100000000000001" customHeight="1" x14ac:dyDescent="0.2">
      <c r="A611" s="801">
        <f t="shared" ref="A611:A642" si="295">B611-$B$2</f>
        <v>949</v>
      </c>
      <c r="B611" s="820">
        <v>43182</v>
      </c>
      <c r="C611" s="845">
        <v>2588.2800000000002</v>
      </c>
      <c r="D611" s="817">
        <f t="shared" si="291"/>
        <v>-2.0959340921212342E-2</v>
      </c>
      <c r="E611" s="844">
        <f t="shared" si="271"/>
        <v>0.23108388348775716</v>
      </c>
      <c r="F611" s="841">
        <v>6992.66</v>
      </c>
      <c r="G611" s="817">
        <f t="shared" si="292"/>
        <v>-2.4280453823044765E-2</v>
      </c>
      <c r="H611" s="822">
        <f t="shared" si="289"/>
        <v>0.37334485535282913</v>
      </c>
      <c r="I611" s="824">
        <v>432731.74</v>
      </c>
      <c r="J611" s="825">
        <v>410000</v>
      </c>
      <c r="K611" s="825">
        <f t="shared" si="290"/>
        <v>-3765.3800000000047</v>
      </c>
      <c r="L611" s="817">
        <f t="shared" si="285"/>
        <v>-8.6263570307176483E-3</v>
      </c>
      <c r="M611" s="842">
        <f t="shared" si="272"/>
        <v>22731.739999999991</v>
      </c>
      <c r="N611" s="827">
        <f t="shared" si="280"/>
        <v>5.5443268292682903E-2</v>
      </c>
      <c r="O611" s="811">
        <f t="shared" ref="O611:O642" si="296">N611/(A611/365.25)</f>
        <v>2.1338939666915101E-2</v>
      </c>
      <c r="P611" s="842" t="b">
        <f t="shared" si="273"/>
        <v>1</v>
      </c>
      <c r="Q611" s="827">
        <f>COUNTIF(P$2:P611, TRUE)/(COUNTIF(P$2:P611,FALSE) + COUNTIF(P$2:P611, TRUE))</f>
        <v>0.48524590163934428</v>
      </c>
      <c r="R611" s="825">
        <v>410695.78</v>
      </c>
      <c r="S611" s="825">
        <f t="shared" si="293"/>
        <v>22035.959999999963</v>
      </c>
      <c r="T611" s="825">
        <v>-38588</v>
      </c>
      <c r="U611" s="825">
        <f t="shared" si="294"/>
        <v>61319.739999999991</v>
      </c>
      <c r="V611" s="827">
        <f>STDEV(D$2:D611)*SQRT(252)</f>
        <v>0.14096884043280336</v>
      </c>
      <c r="W611" s="827">
        <f>STDEV(L$2:L611)*SQRT(252)</f>
        <v>0.28113491852881572</v>
      </c>
      <c r="X611" s="826">
        <f t="shared" si="288"/>
        <v>0.63091454878179509</v>
      </c>
      <c r="Y611" s="826">
        <f t="shared" si="287"/>
        <v>7.5902843298805325E-2</v>
      </c>
      <c r="Z611" s="832">
        <f t="shared" si="283"/>
        <v>-0.17564061519507426</v>
      </c>
    </row>
    <row r="612" spans="1:26" ht="20.100000000000001" customHeight="1" x14ac:dyDescent="0.2">
      <c r="A612" s="801">
        <f t="shared" si="295"/>
        <v>952</v>
      </c>
      <c r="B612" s="820">
        <v>43185</v>
      </c>
      <c r="C612" s="845">
        <v>2658.55</v>
      </c>
      <c r="D612" s="817">
        <f t="shared" si="291"/>
        <v>2.7149303784752801E-2</v>
      </c>
      <c r="E612" s="844">
        <f t="shared" si="271"/>
        <v>0.26450695382507949</v>
      </c>
      <c r="F612" s="841">
        <v>7220.54</v>
      </c>
      <c r="G612" s="817">
        <f t="shared" si="292"/>
        <v>3.2588457039238301E-2</v>
      </c>
      <c r="H612" s="822">
        <f t="shared" si="289"/>
        <v>0.41810004517155375</v>
      </c>
      <c r="I612" s="824">
        <v>442155.65</v>
      </c>
      <c r="J612" s="825">
        <v>410000</v>
      </c>
      <c r="K612" s="825">
        <f t="shared" si="290"/>
        <v>9423.9100000000326</v>
      </c>
      <c r="L612" s="817">
        <f t="shared" si="285"/>
        <v>2.1777718454394013E-2</v>
      </c>
      <c r="M612" s="842">
        <f t="shared" si="272"/>
        <v>32155.650000000023</v>
      </c>
      <c r="N612" s="827">
        <f t="shared" si="280"/>
        <v>7.8428414634146404E-2</v>
      </c>
      <c r="O612" s="811">
        <f t="shared" si="296"/>
        <v>3.0090313492775182E-2</v>
      </c>
      <c r="P612" s="842" t="b">
        <f t="shared" si="273"/>
        <v>0</v>
      </c>
      <c r="Q612" s="827">
        <f>COUNTIF(P$2:P612, TRUE)/(COUNTIF(P$2:P612,FALSE) + COUNTIF(P$2:P612, TRUE))</f>
        <v>0.48445171849427171</v>
      </c>
      <c r="R612" s="825">
        <v>420120.18</v>
      </c>
      <c r="S612" s="825">
        <f t="shared" si="293"/>
        <v>22035.47000000003</v>
      </c>
      <c r="T612" s="825">
        <v>-36818</v>
      </c>
      <c r="U612" s="825">
        <f t="shared" si="294"/>
        <v>68973.650000000023</v>
      </c>
      <c r="V612" s="827">
        <f>STDEV(D$2:D612)*SQRT(252)</f>
        <v>0.14189996990715831</v>
      </c>
      <c r="W612" s="827">
        <f>STDEV(L$2:L612)*SQRT(252)</f>
        <v>0.28123835873909325</v>
      </c>
      <c r="X612" s="826">
        <f t="shared" si="288"/>
        <v>0.71516798856025343</v>
      </c>
      <c r="Y612" s="826">
        <f t="shared" si="287"/>
        <v>0.10699220983823964</v>
      </c>
      <c r="Z612" s="832">
        <f t="shared" si="283"/>
        <v>-0.18607853919093309</v>
      </c>
    </row>
    <row r="613" spans="1:26" ht="20.100000000000001" customHeight="1" x14ac:dyDescent="0.2">
      <c r="A613" s="801">
        <f t="shared" si="295"/>
        <v>953</v>
      </c>
      <c r="B613" s="820">
        <v>43186</v>
      </c>
      <c r="C613" s="845">
        <v>2612.62</v>
      </c>
      <c r="D613" s="817">
        <f t="shared" si="291"/>
        <v>-1.7276334844182086E-2</v>
      </c>
      <c r="E613" s="844">
        <f t="shared" si="271"/>
        <v>0.24266090827800071</v>
      </c>
      <c r="F613" s="841">
        <v>7008.8</v>
      </c>
      <c r="G613" s="817">
        <f t="shared" si="292"/>
        <v>-2.9324676547737398E-2</v>
      </c>
      <c r="H613" s="822">
        <f t="shared" si="289"/>
        <v>0.37651472003456615</v>
      </c>
      <c r="I613" s="824">
        <v>435282.26</v>
      </c>
      <c r="J613" s="825">
        <v>410000</v>
      </c>
      <c r="K613" s="825">
        <f t="shared" si="290"/>
        <v>-6873.390000000014</v>
      </c>
      <c r="L613" s="817">
        <f t="shared" si="285"/>
        <v>-1.5545181883348124E-2</v>
      </c>
      <c r="M613" s="842">
        <f t="shared" si="272"/>
        <v>25282.260000000009</v>
      </c>
      <c r="N613" s="827">
        <f t="shared" si="280"/>
        <v>6.1664048780487826E-2</v>
      </c>
      <c r="O613" s="811">
        <f t="shared" si="296"/>
        <v>2.363357168633072E-2</v>
      </c>
      <c r="P613" s="842" t="b">
        <f t="shared" si="273"/>
        <v>1</v>
      </c>
      <c r="Q613" s="827">
        <f>COUNTIF(P$2:P613, TRUE)/(COUNTIF(P$2:P613,FALSE) + COUNTIF(P$2:P613, TRUE))</f>
        <v>0.48529411764705882</v>
      </c>
      <c r="R613" s="825">
        <v>416208.39</v>
      </c>
      <c r="S613" s="825">
        <f t="shared" si="293"/>
        <v>19073.869999999995</v>
      </c>
      <c r="T613" s="825">
        <v>-38018</v>
      </c>
      <c r="U613" s="825">
        <f t="shared" si="294"/>
        <v>63300.260000000009</v>
      </c>
      <c r="V613" s="827">
        <f>STDEV(D$2:D613)*SQRT(252)</f>
        <v>0.14223860281970682</v>
      </c>
      <c r="W613" s="827">
        <f>STDEV(L$2:L613)*SQRT(252)</f>
        <v>0.28119620130080319</v>
      </c>
      <c r="X613" s="826">
        <f t="shared" si="288"/>
        <v>0.65385231411549516</v>
      </c>
      <c r="Y613" s="826">
        <f t="shared" si="287"/>
        <v>8.4046553890140388E-2</v>
      </c>
      <c r="Z613" s="832">
        <f t="shared" si="283"/>
        <v>-0.18099685949751287</v>
      </c>
    </row>
    <row r="614" spans="1:26" ht="20.100000000000001" customHeight="1" x14ac:dyDescent="0.2">
      <c r="A614" s="801">
        <f t="shared" si="295"/>
        <v>954</v>
      </c>
      <c r="B614" s="820">
        <v>43187</v>
      </c>
      <c r="C614" s="845">
        <v>2605</v>
      </c>
      <c r="D614" s="817">
        <f t="shared" si="291"/>
        <v>-2.9166124426820168E-3</v>
      </c>
      <c r="E614" s="844">
        <f t="shared" si="271"/>
        <v>0.23903654801088256</v>
      </c>
      <c r="F614" s="841">
        <v>6949.22</v>
      </c>
      <c r="G614" s="817">
        <f t="shared" si="292"/>
        <v>-8.5007419244378397E-3</v>
      </c>
      <c r="H614" s="822">
        <f t="shared" si="289"/>
        <v>0.36481332364436247</v>
      </c>
      <c r="I614" s="824">
        <v>434900.1</v>
      </c>
      <c r="J614" s="825">
        <v>410000</v>
      </c>
      <c r="K614" s="825">
        <f t="shared" si="290"/>
        <v>-382.1600000000326</v>
      </c>
      <c r="L614" s="817">
        <f t="shared" si="285"/>
        <v>-8.7795905121433755E-4</v>
      </c>
      <c r="M614" s="842">
        <f t="shared" si="272"/>
        <v>24900.099999999977</v>
      </c>
      <c r="N614" s="827">
        <f t="shared" si="280"/>
        <v>6.0731951219512137E-2</v>
      </c>
      <c r="O614" s="811">
        <f t="shared" si="296"/>
        <v>2.325193415401133E-2</v>
      </c>
      <c r="P614" s="842" t="b">
        <f t="shared" si="273"/>
        <v>1</v>
      </c>
      <c r="Q614" s="827">
        <f>COUNTIF(P$2:P614, TRUE)/(COUNTIF(P$2:P614,FALSE) + COUNTIF(P$2:P614, TRUE))</f>
        <v>0.48613376835236544</v>
      </c>
      <c r="R614" s="825">
        <v>423639.23</v>
      </c>
      <c r="S614" s="825">
        <f t="shared" si="293"/>
        <v>11260.869999999995</v>
      </c>
      <c r="T614" s="825">
        <v>-37568</v>
      </c>
      <c r="U614" s="825">
        <f t="shared" si="294"/>
        <v>62468.099999999977</v>
      </c>
      <c r="V614" s="827">
        <f>STDEV(D$2:D614)*SQRT(252)</f>
        <v>0.14213804976079963</v>
      </c>
      <c r="W614" s="827">
        <f>STDEV(L$2:L614)*SQRT(252)</f>
        <v>0.28096730052537355</v>
      </c>
      <c r="X614" s="826">
        <f t="shared" si="288"/>
        <v>0.64386646505164302</v>
      </c>
      <c r="Y614" s="826">
        <f t="shared" si="287"/>
        <v>8.2756726887908791E-2</v>
      </c>
      <c r="Z614" s="832">
        <f t="shared" si="283"/>
        <v>-0.17830459679137042</v>
      </c>
    </row>
    <row r="615" spans="1:26" ht="20.100000000000001" customHeight="1" x14ac:dyDescent="0.2">
      <c r="A615" s="801">
        <f t="shared" si="295"/>
        <v>955</v>
      </c>
      <c r="B615" s="820">
        <v>43188</v>
      </c>
      <c r="C615" s="845">
        <v>2640.87</v>
      </c>
      <c r="D615" s="817">
        <f t="shared" si="291"/>
        <v>1.3769673704414545E-2</v>
      </c>
      <c r="E615" s="844">
        <f t="shared" si="271"/>
        <v>0.2560976769848366</v>
      </c>
      <c r="F615" s="841">
        <v>7063.44</v>
      </c>
      <c r="G615" s="817">
        <f t="shared" si="292"/>
        <v>1.6436377032242374E-2</v>
      </c>
      <c r="H615" s="822">
        <f t="shared" si="289"/>
        <v>0.38724591001040909</v>
      </c>
      <c r="I615" s="848">
        <v>442598.74</v>
      </c>
      <c r="J615" s="825">
        <v>410000</v>
      </c>
      <c r="K615" s="825">
        <f t="shared" si="290"/>
        <v>7698.640000000014</v>
      </c>
      <c r="L615" s="817">
        <f t="shared" si="285"/>
        <v>1.770208836466125E-2</v>
      </c>
      <c r="M615" s="848">
        <f t="shared" si="272"/>
        <v>32598.739999999991</v>
      </c>
      <c r="N615" s="827">
        <f t="shared" si="280"/>
        <v>7.9509121951219494E-2</v>
      </c>
      <c r="O615" s="811">
        <f t="shared" si="296"/>
        <v>3.0409117060400961E-2</v>
      </c>
      <c r="P615" s="842" t="b">
        <f t="shared" si="273"/>
        <v>1</v>
      </c>
      <c r="Q615" s="827">
        <f>COUNTIF(P$2:P615, TRUE)/(COUNTIF(P$2:P615,FALSE) + COUNTIF(P$2:P615, TRUE))</f>
        <v>0.48697068403908794</v>
      </c>
      <c r="R615" s="825">
        <v>415205.93</v>
      </c>
      <c r="S615" s="825">
        <f t="shared" si="293"/>
        <v>27392.809999999998</v>
      </c>
      <c r="T615" s="825">
        <v>-36608</v>
      </c>
      <c r="U615" s="825">
        <f t="shared" si="294"/>
        <v>69206.739999999991</v>
      </c>
      <c r="V615" s="827">
        <f>STDEV(D$2:D615)*SQRT(252)</f>
        <v>0.1422807158227519</v>
      </c>
      <c r="W615" s="827">
        <f>STDEV(L$2:L615)*SQRT(252)</f>
        <v>0.28095538225453753</v>
      </c>
      <c r="X615" s="826">
        <f t="shared" si="288"/>
        <v>0.68840885912616945</v>
      </c>
      <c r="Y615" s="826">
        <f t="shared" si="287"/>
        <v>0.10823468415654401</v>
      </c>
      <c r="Z615" s="832">
        <f t="shared" si="283"/>
        <v>-0.17658855503361709</v>
      </c>
    </row>
    <row r="616" spans="1:26" ht="20.100000000000001" customHeight="1" x14ac:dyDescent="0.2">
      <c r="A616" s="801">
        <f t="shared" si="295"/>
        <v>959</v>
      </c>
      <c r="B616" s="820">
        <v>43192</v>
      </c>
      <c r="C616" s="845">
        <v>2581.88</v>
      </c>
      <c r="D616" s="817">
        <f t="shared" si="291"/>
        <v>-2.2337335802216612E-2</v>
      </c>
      <c r="E616" s="844">
        <f t="shared" si="271"/>
        <v>0.22803980137364208</v>
      </c>
      <c r="F616" s="841">
        <v>6870.11</v>
      </c>
      <c r="G616" s="817">
        <f t="shared" si="292"/>
        <v>-2.737051634897443E-2</v>
      </c>
      <c r="H616" s="822">
        <f t="shared" si="289"/>
        <v>0.34927627315042126</v>
      </c>
      <c r="I616" s="824">
        <v>431276</v>
      </c>
      <c r="J616" s="825">
        <v>410000</v>
      </c>
      <c r="K616" s="825">
        <f t="shared" si="290"/>
        <v>-11322.739999999991</v>
      </c>
      <c r="L616" s="817">
        <f t="shared" si="285"/>
        <v>-2.558240450481172E-2</v>
      </c>
      <c r="M616" s="842">
        <f t="shared" si="272"/>
        <v>21276</v>
      </c>
      <c r="N616" s="827">
        <f t="shared" si="280"/>
        <v>5.1892682926829269E-2</v>
      </c>
      <c r="O616" s="811">
        <f t="shared" si="296"/>
        <v>1.9764131844655256E-2</v>
      </c>
      <c r="P616" s="842" t="b">
        <f t="shared" si="273"/>
        <v>0</v>
      </c>
      <c r="Q616" s="827">
        <f>COUNTIF(P$2:P616, TRUE)/(COUNTIF(P$2:P616,FALSE) + COUNTIF(P$2:P616, TRUE))</f>
        <v>0.48617886178861791</v>
      </c>
      <c r="R616" s="825"/>
      <c r="S616" s="825"/>
      <c r="T616" s="825"/>
      <c r="U616" s="825"/>
      <c r="V616" s="827">
        <f>STDEV(D$2:D616)*SQRT(252)</f>
        <v>0.14290971909934441</v>
      </c>
      <c r="W616" s="827">
        <f>STDEV(L$2:L616)*SQRT(252)</f>
        <v>0.28122231314673968</v>
      </c>
      <c r="X616" s="826">
        <f t="shared" si="288"/>
        <v>0.60774375647435264</v>
      </c>
      <c r="Y616" s="826">
        <f t="shared" si="287"/>
        <v>7.0279387234619906E-2</v>
      </c>
      <c r="Z616" s="832">
        <f t="shared" si="283"/>
        <v>-0.1761471184468128</v>
      </c>
    </row>
    <row r="617" spans="1:26" ht="20.100000000000001" customHeight="1" x14ac:dyDescent="0.2">
      <c r="A617" s="801">
        <f t="shared" si="295"/>
        <v>960</v>
      </c>
      <c r="B617" s="820">
        <v>43193</v>
      </c>
      <c r="C617" s="845">
        <v>2614.4499999999998</v>
      </c>
      <c r="D617" s="817">
        <f t="shared" si="291"/>
        <v>1.2614838799634261E-2</v>
      </c>
      <c r="E617" s="844">
        <f t="shared" si="271"/>
        <v>0.24353132550750545</v>
      </c>
      <c r="F617" s="841">
        <v>6941.28</v>
      </c>
      <c r="G617" s="817">
        <f t="shared" si="292"/>
        <v>1.0359368336169301E-2</v>
      </c>
      <c r="H617" s="822">
        <f t="shared" si="289"/>
        <v>0.36325392305124027</v>
      </c>
      <c r="I617" s="824">
        <v>437107.28</v>
      </c>
      <c r="J617" s="825">
        <v>410000</v>
      </c>
      <c r="K617" s="825">
        <f t="shared" si="290"/>
        <v>5831.2800000000279</v>
      </c>
      <c r="L617" s="817">
        <f t="shared" si="285"/>
        <v>1.3520993516912669E-2</v>
      </c>
      <c r="M617" s="842">
        <f t="shared" si="272"/>
        <v>27107.280000000028</v>
      </c>
      <c r="N617" s="827">
        <f t="shared" si="280"/>
        <v>6.6115317073170796E-2</v>
      </c>
      <c r="O617" s="811">
        <f t="shared" si="296"/>
        <v>2.5154812042682953E-2</v>
      </c>
      <c r="P617" s="842" t="b">
        <f t="shared" si="273"/>
        <v>1</v>
      </c>
      <c r="Q617" s="827">
        <f>COUNTIF(P$2:P617, TRUE)/(COUNTIF(P$2:P617,FALSE) + COUNTIF(P$2:P617, TRUE))</f>
        <v>0.48701298701298701</v>
      </c>
      <c r="R617" s="825">
        <v>418088.69</v>
      </c>
      <c r="S617" s="825">
        <f t="shared" ref="S617:S648" si="297">I617-R617</f>
        <v>19018.590000000026</v>
      </c>
      <c r="T617" s="825">
        <v>-37594</v>
      </c>
      <c r="U617" s="825">
        <f t="shared" ref="U617:U662" si="298">M617-T617</f>
        <v>64701.280000000028</v>
      </c>
      <c r="V617" s="827">
        <f>STDEV(D$2:D617)*SQRT(252)</f>
        <v>0.14300808205246943</v>
      </c>
      <c r="W617" s="827">
        <f>STDEV(L$2:L617)*SQRT(252)</f>
        <v>0.28111794508373883</v>
      </c>
      <c r="X617" s="826">
        <f t="shared" si="288"/>
        <v>0.64790785018491726</v>
      </c>
      <c r="Y617" s="826">
        <f t="shared" si="287"/>
        <v>8.9481345757524977E-2</v>
      </c>
      <c r="Z617" s="832">
        <f t="shared" si="283"/>
        <v>-0.17741600843433464</v>
      </c>
    </row>
    <row r="618" spans="1:26" ht="20.100000000000001" customHeight="1" x14ac:dyDescent="0.2">
      <c r="A618" s="801">
        <f t="shared" si="295"/>
        <v>961</v>
      </c>
      <c r="B618" s="820">
        <v>43194</v>
      </c>
      <c r="C618" s="845">
        <v>2644.69</v>
      </c>
      <c r="D618" s="817">
        <f t="shared" si="291"/>
        <v>1.1566486259060314E-2</v>
      </c>
      <c r="E618" s="844">
        <f t="shared" ref="E618:E685" si="299">(C618-$C$2)/$C$2</f>
        <v>0.25791461349669909</v>
      </c>
      <c r="F618" s="841">
        <v>7042.1</v>
      </c>
      <c r="G618" s="817">
        <f t="shared" si="292"/>
        <v>1.452469861466482E-2</v>
      </c>
      <c r="H618" s="822">
        <f t="shared" si="289"/>
        <v>0.38305477541881899</v>
      </c>
      <c r="I618" s="824">
        <v>442334.44</v>
      </c>
      <c r="J618" s="825">
        <v>410000</v>
      </c>
      <c r="K618" s="825">
        <f t="shared" si="290"/>
        <v>5227.1599999999744</v>
      </c>
      <c r="L618" s="817">
        <f t="shared" si="285"/>
        <v>1.1958528807847753E-2</v>
      </c>
      <c r="M618" s="842">
        <f t="shared" ref="M618:M685" si="300">I618-J618</f>
        <v>32334.440000000002</v>
      </c>
      <c r="N618" s="827">
        <f t="shared" ref="N618:N623" si="301">M618/J618</f>
        <v>7.886448780487805E-2</v>
      </c>
      <c r="O618" s="811">
        <f t="shared" si="296"/>
        <v>2.9974249917514788E-2</v>
      </c>
      <c r="P618" s="842" t="b">
        <f t="shared" ref="P618:P685" si="302">L618&gt;D618</f>
        <v>1</v>
      </c>
      <c r="Q618" s="827">
        <f>COUNTIF(P$2:P618, TRUE)/(COUNTIF(P$2:P618,FALSE) + COUNTIF(P$2:P618, TRUE))</f>
        <v>0.4878444084278768</v>
      </c>
      <c r="R618" s="825">
        <v>400282.39</v>
      </c>
      <c r="S618" s="825">
        <f t="shared" si="297"/>
        <v>42052.049999999988</v>
      </c>
      <c r="T618" s="825">
        <v>-36222</v>
      </c>
      <c r="U618" s="825">
        <f t="shared" si="298"/>
        <v>68556.44</v>
      </c>
      <c r="V618" s="827">
        <f>STDEV(D$2:D618)*SQRT(252)</f>
        <v>0.14307030762480688</v>
      </c>
      <c r="W618" s="827">
        <f>STDEV(L$2:L618)*SQRT(252)</f>
        <v>0.28098554360281597</v>
      </c>
      <c r="X618" s="826">
        <f t="shared" si="288"/>
        <v>0.68516201202440108</v>
      </c>
      <c r="Y618" s="826">
        <f t="shared" si="287"/>
        <v>0.10667541658258604</v>
      </c>
      <c r="Z618" s="832">
        <f t="shared" ref="Z618:Z623" si="303">-(E618-N618)</f>
        <v>-0.17905012569182105</v>
      </c>
    </row>
    <row r="619" spans="1:26" ht="20.100000000000001" customHeight="1" x14ac:dyDescent="0.2">
      <c r="A619" s="801">
        <f t="shared" si="295"/>
        <v>962</v>
      </c>
      <c r="B619" s="820">
        <v>43195</v>
      </c>
      <c r="C619" s="845">
        <v>2662.84</v>
      </c>
      <c r="D619" s="817">
        <f t="shared" si="291"/>
        <v>6.8628081173975368E-3</v>
      </c>
      <c r="E619" s="844">
        <f t="shared" si="299"/>
        <v>0.26654744011719722</v>
      </c>
      <c r="F619" s="841">
        <v>7076.55</v>
      </c>
      <c r="G619" s="817">
        <f t="shared" si="292"/>
        <v>4.8920066457448508E-3</v>
      </c>
      <c r="H619" s="822">
        <f t="shared" si="289"/>
        <v>0.38982068857159702</v>
      </c>
      <c r="I619" s="824">
        <v>448428.71</v>
      </c>
      <c r="J619" s="825">
        <v>410000</v>
      </c>
      <c r="K619" s="825">
        <f t="shared" si="290"/>
        <v>6094.2700000000186</v>
      </c>
      <c r="L619" s="817">
        <f t="shared" si="285"/>
        <v>1.3777516396869343E-2</v>
      </c>
      <c r="M619" s="842">
        <f t="shared" si="300"/>
        <v>38428.710000000021</v>
      </c>
      <c r="N619" s="827">
        <f t="shared" si="301"/>
        <v>9.3728560975609804E-2</v>
      </c>
      <c r="O619" s="811">
        <f t="shared" si="296"/>
        <v>3.5586649580396555E-2</v>
      </c>
      <c r="P619" s="842" t="b">
        <f t="shared" si="302"/>
        <v>1</v>
      </c>
      <c r="Q619" s="827">
        <f>COUNTIF(P$2:P619, TRUE)/(COUNTIF(P$2:P619,FALSE) + COUNTIF(P$2:P619, TRUE))</f>
        <v>0.48867313915857608</v>
      </c>
      <c r="R619" s="825">
        <v>387887.09</v>
      </c>
      <c r="S619" s="825">
        <f t="shared" si="297"/>
        <v>60541.619999999995</v>
      </c>
      <c r="T619" s="825">
        <v>-36897</v>
      </c>
      <c r="U619" s="825">
        <f t="shared" si="298"/>
        <v>75325.710000000021</v>
      </c>
      <c r="V619" s="827">
        <f>STDEV(D$2:D619)*SQRT(252)</f>
        <v>0.14301354420635809</v>
      </c>
      <c r="W619" s="827">
        <f>STDEV(L$2:L619)*SQRT(252)</f>
        <v>0.28088596589043324</v>
      </c>
      <c r="X619" s="826">
        <f t="shared" si="288"/>
        <v>0.70764020387309212</v>
      </c>
      <c r="Y619" s="826">
        <f t="shared" si="287"/>
        <v>0.1266942955572157</v>
      </c>
      <c r="Z619" s="832">
        <f t="shared" si="303"/>
        <v>-0.17281887914158742</v>
      </c>
    </row>
    <row r="620" spans="1:26" ht="20.100000000000001" customHeight="1" x14ac:dyDescent="0.2">
      <c r="A620" s="801">
        <f t="shared" si="295"/>
        <v>963</v>
      </c>
      <c r="B620" s="820">
        <v>43196</v>
      </c>
      <c r="C620" s="845">
        <v>2604.4699999999998</v>
      </c>
      <c r="D620" s="817">
        <f t="shared" si="291"/>
        <v>-2.1920205494885287E-2</v>
      </c>
      <c r="E620" s="844">
        <f t="shared" si="299"/>
        <v>0.23878445996080733</v>
      </c>
      <c r="F620" s="841">
        <v>6915.11</v>
      </c>
      <c r="G620" s="817">
        <f t="shared" si="292"/>
        <v>-2.2813376574743412E-2</v>
      </c>
      <c r="H620" s="822">
        <f t="shared" si="289"/>
        <v>0.35811418583184396</v>
      </c>
      <c r="I620" s="824">
        <v>452280.76</v>
      </c>
      <c r="J620" s="825">
        <v>420000</v>
      </c>
      <c r="K620" s="825">
        <f t="shared" si="290"/>
        <v>-6147.9500000000116</v>
      </c>
      <c r="L620" s="817">
        <f t="shared" si="285"/>
        <v>-1.3709983020489503E-2</v>
      </c>
      <c r="M620" s="842">
        <f t="shared" si="300"/>
        <v>32280.760000000009</v>
      </c>
      <c r="N620" s="827">
        <f t="shared" si="301"/>
        <v>7.6858952380952403E-2</v>
      </c>
      <c r="O620" s="811">
        <f t="shared" si="296"/>
        <v>2.9151331627354997E-2</v>
      </c>
      <c r="P620" s="842" t="b">
        <f t="shared" si="302"/>
        <v>1</v>
      </c>
      <c r="Q620" s="827">
        <f>COUNTIF(P$2:P620, TRUE)/(COUNTIF(P$2:P620,FALSE) + COUNTIF(P$2:P620, TRUE))</f>
        <v>0.48949919224555732</v>
      </c>
      <c r="R620" s="825">
        <v>405076.57</v>
      </c>
      <c r="S620" s="825">
        <f t="shared" si="297"/>
        <v>47204.19</v>
      </c>
      <c r="T620" s="825">
        <v>-36997</v>
      </c>
      <c r="U620" s="825">
        <f t="shared" si="298"/>
        <v>69277.760000000009</v>
      </c>
      <c r="V620" s="827">
        <f>STDEV(D$2:D620)*SQRT(252)</f>
        <v>0.14360814849494091</v>
      </c>
      <c r="W620" s="827">
        <f>STDEV(L$2:L620)*SQRT(252)</f>
        <v>0.28080493083804442</v>
      </c>
      <c r="X620" s="826">
        <f t="shared" si="288"/>
        <v>0.63065365068171264</v>
      </c>
      <c r="Y620" s="826">
        <f t="shared" si="287"/>
        <v>0.10381346061251384</v>
      </c>
      <c r="Z620" s="832">
        <f t="shared" si="303"/>
        <v>-0.16192550757985491</v>
      </c>
    </row>
    <row r="621" spans="1:26" ht="20.100000000000001" customHeight="1" x14ac:dyDescent="0.2">
      <c r="A621" s="801">
        <f t="shared" si="295"/>
        <v>966</v>
      </c>
      <c r="B621" s="820">
        <v>43199</v>
      </c>
      <c r="C621" s="845">
        <v>2613.16</v>
      </c>
      <c r="D621" s="817">
        <f t="shared" si="291"/>
        <v>3.3365713561684545E-3</v>
      </c>
      <c r="E621" s="844">
        <f t="shared" si="299"/>
        <v>0.24291775270637916</v>
      </c>
      <c r="F621" s="841">
        <v>6950.34</v>
      </c>
      <c r="G621" s="817">
        <f t="shared" si="292"/>
        <v>5.0946405769395535E-3</v>
      </c>
      <c r="H621" s="822">
        <f t="shared" si="289"/>
        <v>0.36503328947110009</v>
      </c>
      <c r="I621" s="824">
        <v>451911.76</v>
      </c>
      <c r="J621" s="825">
        <v>420000</v>
      </c>
      <c r="K621" s="825">
        <f t="shared" si="290"/>
        <v>-369</v>
      </c>
      <c r="L621" s="817">
        <f t="shared" si="285"/>
        <v>-8.1586490656821212E-4</v>
      </c>
      <c r="M621" s="842">
        <f t="shared" si="300"/>
        <v>31911.760000000009</v>
      </c>
      <c r="N621" s="827">
        <f t="shared" si="301"/>
        <v>7.598038095238098E-2</v>
      </c>
      <c r="O621" s="811">
        <f t="shared" si="296"/>
        <v>2.8728606773144049E-2</v>
      </c>
      <c r="P621" s="842" t="b">
        <f t="shared" si="302"/>
        <v>0</v>
      </c>
      <c r="Q621" s="827">
        <f>COUNTIF(P$2:P621, TRUE)/(COUNTIF(P$2:P621,FALSE) + COUNTIF(P$2:P621, TRUE))</f>
        <v>0.48870967741935484</v>
      </c>
      <c r="R621" s="825">
        <v>397094.35</v>
      </c>
      <c r="S621" s="825">
        <f t="shared" si="297"/>
        <v>54817.410000000033</v>
      </c>
      <c r="T621" s="825"/>
      <c r="U621" s="825">
        <f t="shared" si="298"/>
        <v>31911.760000000009</v>
      </c>
      <c r="V621" s="827">
        <f>STDEV(D$2:D621)*SQRT(252)</f>
        <v>0.14350425117553484</v>
      </c>
      <c r="W621" s="827">
        <f>STDEV(L$2:L621)*SQRT(252)</f>
        <v>0.28057886587067182</v>
      </c>
      <c r="X621" s="826">
        <f t="shared" si="288"/>
        <v>0.64004069197405311</v>
      </c>
      <c r="Y621" s="826">
        <f t="shared" si="287"/>
        <v>0.10239048719509054</v>
      </c>
      <c r="Z621" s="832">
        <f t="shared" si="303"/>
        <v>-0.1669373717539982</v>
      </c>
    </row>
    <row r="622" spans="1:26" ht="20.100000000000001" customHeight="1" x14ac:dyDescent="0.2">
      <c r="A622" s="801">
        <f t="shared" si="295"/>
        <v>967</v>
      </c>
      <c r="B622" s="820">
        <v>43200</v>
      </c>
      <c r="C622" s="845">
        <v>2656.87</v>
      </c>
      <c r="D622" s="817">
        <f t="shared" si="291"/>
        <v>1.6726874741692065E-2</v>
      </c>
      <c r="E622" s="844">
        <f t="shared" si="299"/>
        <v>0.26370788227012415</v>
      </c>
      <c r="F622" s="841">
        <v>7094.3</v>
      </c>
      <c r="G622" s="817">
        <f t="shared" si="292"/>
        <v>2.0712655783745836E-2</v>
      </c>
      <c r="H622" s="822">
        <f t="shared" si="289"/>
        <v>0.3933067541292693</v>
      </c>
      <c r="I622" s="824">
        <v>439634.82</v>
      </c>
      <c r="J622" s="825">
        <v>400000</v>
      </c>
      <c r="K622" s="825">
        <f t="shared" si="290"/>
        <v>7723.0599999999977</v>
      </c>
      <c r="L622" s="817">
        <f t="shared" ref="L622:L629" si="304">K622/I621</f>
        <v>1.7089752211803467E-2</v>
      </c>
      <c r="M622" s="842">
        <f t="shared" si="300"/>
        <v>39634.820000000007</v>
      </c>
      <c r="N622" s="827">
        <f t="shared" si="301"/>
        <v>9.9087050000000024E-2</v>
      </c>
      <c r="O622" s="811">
        <f t="shared" si="296"/>
        <v>3.7426623591003107E-2</v>
      </c>
      <c r="P622" s="842" t="b">
        <f t="shared" si="302"/>
        <v>1</v>
      </c>
      <c r="Q622" s="827">
        <f>COUNTIF(P$2:P622, TRUE)/(COUNTIF(P$2:P622,FALSE) + COUNTIF(P$2:P622, TRUE))</f>
        <v>0.48953301127214172</v>
      </c>
      <c r="R622" s="825">
        <v>379508.19</v>
      </c>
      <c r="S622" s="825">
        <f t="shared" si="297"/>
        <v>60126.630000000005</v>
      </c>
      <c r="T622" s="825">
        <v>-37772</v>
      </c>
      <c r="U622" s="825">
        <f t="shared" si="298"/>
        <v>77406.820000000007</v>
      </c>
      <c r="V622" s="827">
        <f>STDEV(D$2:D622)*SQRT(252)</f>
        <v>0.14376596078910708</v>
      </c>
      <c r="W622" s="827">
        <f>STDEV(L$2:L622)*SQRT(252)</f>
        <v>0.28055213722502925</v>
      </c>
      <c r="X622" s="826">
        <f t="shared" si="288"/>
        <v>0.69283655017163581</v>
      </c>
      <c r="Y622" s="826">
        <f t="shared" si="287"/>
        <v>0.13340345206845966</v>
      </c>
      <c r="Z622" s="832">
        <f t="shared" si="303"/>
        <v>-0.16462083227012414</v>
      </c>
    </row>
    <row r="623" spans="1:26" ht="20.100000000000001" customHeight="1" x14ac:dyDescent="0.2">
      <c r="A623" s="801">
        <f t="shared" si="295"/>
        <v>968</v>
      </c>
      <c r="B623" s="820">
        <v>43201</v>
      </c>
      <c r="C623" s="845">
        <v>2642.19</v>
      </c>
      <c r="D623" s="817">
        <f t="shared" si="291"/>
        <v>-5.5252985656053313E-3</v>
      </c>
      <c r="E623" s="844">
        <f t="shared" si="299"/>
        <v>0.25672551892087286</v>
      </c>
      <c r="F623" s="841">
        <v>7069.02</v>
      </c>
      <c r="G623" s="817">
        <f t="shared" si="292"/>
        <v>-3.56342415742212E-3</v>
      </c>
      <c r="H623" s="822">
        <f t="shared" si="289"/>
        <v>0.38834181118290567</v>
      </c>
      <c r="I623" s="824">
        <v>440157.4</v>
      </c>
      <c r="J623" s="825">
        <v>400000</v>
      </c>
      <c r="K623" s="825">
        <f t="shared" si="290"/>
        <v>522.5800000000163</v>
      </c>
      <c r="L623" s="817">
        <f t="shared" si="304"/>
        <v>1.1886683588893535E-3</v>
      </c>
      <c r="M623" s="842">
        <f t="shared" si="300"/>
        <v>40157.400000000023</v>
      </c>
      <c r="N623" s="827">
        <f t="shared" si="301"/>
        <v>0.10039350000000005</v>
      </c>
      <c r="O623" s="811">
        <f t="shared" si="296"/>
        <v>3.7880915160123985E-2</v>
      </c>
      <c r="P623" s="842" t="b">
        <f t="shared" si="302"/>
        <v>1</v>
      </c>
      <c r="Q623" s="827">
        <f>COUNTIF(P$2:P623, TRUE)/(COUNTIF(P$2:P623,FALSE) + COUNTIF(P$2:P623, TRUE))</f>
        <v>0.49035369774919613</v>
      </c>
      <c r="R623" s="825">
        <v>380030.77</v>
      </c>
      <c r="S623" s="825">
        <f t="shared" si="297"/>
        <v>60126.630000000005</v>
      </c>
      <c r="T623" s="825">
        <v>-37722</v>
      </c>
      <c r="U623" s="825">
        <f t="shared" si="298"/>
        <v>77879.400000000023</v>
      </c>
      <c r="V623" s="827">
        <f>STDEV(D$2:D623)*SQRT(252)</f>
        <v>0.14369986563516796</v>
      </c>
      <c r="W623" s="827">
        <f>STDEV(L$2:L623)*SQRT(252)</f>
        <v>0.28032613427425968</v>
      </c>
      <c r="X623" s="826">
        <f t="shared" si="288"/>
        <v>0.67410499565368898</v>
      </c>
      <c r="Y623" s="826">
        <f t="shared" si="287"/>
        <v>0.13513158613696302</v>
      </c>
      <c r="Z623" s="832">
        <f t="shared" si="303"/>
        <v>-0.15633201892087281</v>
      </c>
    </row>
    <row r="624" spans="1:26" ht="20.100000000000001" customHeight="1" x14ac:dyDescent="0.2">
      <c r="A624" s="801">
        <f t="shared" si="295"/>
        <v>969</v>
      </c>
      <c r="B624" s="820">
        <v>43202</v>
      </c>
      <c r="C624" s="845">
        <v>2663.99</v>
      </c>
      <c r="D624" s="817">
        <f t="shared" si="291"/>
        <v>8.2507314008454079E-3</v>
      </c>
      <c r="E624" s="844">
        <f t="shared" si="299"/>
        <v>0.26709442362207708</v>
      </c>
      <c r="F624" s="841">
        <v>7140.24</v>
      </c>
      <c r="G624" s="817">
        <f t="shared" si="292"/>
        <v>1.0074946739434792E-2</v>
      </c>
      <c r="H624" s="822">
        <f t="shared" si="289"/>
        <v>0.40232928098670384</v>
      </c>
      <c r="I624" s="824">
        <v>442188.11</v>
      </c>
      <c r="J624" s="825">
        <v>400000</v>
      </c>
      <c r="K624" s="825">
        <f t="shared" si="290"/>
        <v>2030.7099999999627</v>
      </c>
      <c r="L624" s="817">
        <f t="shared" si="304"/>
        <v>4.6135995896012709E-3</v>
      </c>
      <c r="M624" s="842">
        <f t="shared" si="300"/>
        <v>42188.109999999986</v>
      </c>
      <c r="N624" s="827">
        <f t="shared" ref="N624:N655" si="305">M624/J624</f>
        <v>0.10547027499999996</v>
      </c>
      <c r="O624" s="811">
        <f t="shared" si="296"/>
        <v>3.9755436474458186E-2</v>
      </c>
      <c r="P624" s="842" t="b">
        <f t="shared" si="302"/>
        <v>0</v>
      </c>
      <c r="Q624" s="827">
        <f>COUNTIF(P$2:P624, TRUE)/(COUNTIF(P$2:P624,FALSE) + COUNTIF(P$2:P624, TRUE))</f>
        <v>0.4895666131621188</v>
      </c>
      <c r="R624" s="825">
        <v>378301.55</v>
      </c>
      <c r="S624" s="825">
        <f t="shared" si="297"/>
        <v>63886.559999999998</v>
      </c>
      <c r="T624" s="825">
        <v>-37422</v>
      </c>
      <c r="U624" s="825">
        <f t="shared" si="298"/>
        <v>79610.109999999986</v>
      </c>
      <c r="V624" s="827">
        <f>STDEV(D$2:D624)*SQRT(252)</f>
        <v>0.14367084903913591</v>
      </c>
      <c r="W624" s="827">
        <f>STDEV(L$2:L624)*SQRT(252)</f>
        <v>0.28011254999585899</v>
      </c>
      <c r="X624" s="826">
        <f t="shared" si="288"/>
        <v>0.70074919934505686</v>
      </c>
      <c r="Y624" s="826">
        <f t="shared" si="287"/>
        <v>0.14192665225119655</v>
      </c>
      <c r="Z624" s="832">
        <f t="shared" ref="Z624:Z655" si="306">-(E624-N624)</f>
        <v>-0.16162414862207714</v>
      </c>
    </row>
    <row r="625" spans="1:26" ht="20.100000000000001" customHeight="1" x14ac:dyDescent="0.2">
      <c r="A625" s="801">
        <f t="shared" si="295"/>
        <v>970</v>
      </c>
      <c r="B625" s="820">
        <v>43203</v>
      </c>
      <c r="C625" s="845">
        <v>2656.3</v>
      </c>
      <c r="D625" s="817">
        <f t="shared" si="291"/>
        <v>-2.8866474724002721E-3</v>
      </c>
      <c r="E625" s="844">
        <f t="shared" si="299"/>
        <v>0.26343676870683591</v>
      </c>
      <c r="F625" s="841">
        <v>7106.65</v>
      </c>
      <c r="G625" s="817">
        <f t="shared" si="292"/>
        <v>-4.70432366419058E-3</v>
      </c>
      <c r="H625" s="822">
        <f t="shared" si="289"/>
        <v>0.39573227016517076</v>
      </c>
      <c r="I625" s="824">
        <v>443860.83</v>
      </c>
      <c r="J625" s="825">
        <v>400000</v>
      </c>
      <c r="K625" s="825">
        <f t="shared" si="290"/>
        <v>1672.7200000000303</v>
      </c>
      <c r="L625" s="817">
        <f t="shared" si="304"/>
        <v>3.7828244635524696E-3</v>
      </c>
      <c r="M625" s="842">
        <f t="shared" si="300"/>
        <v>43860.830000000016</v>
      </c>
      <c r="N625" s="827">
        <f t="shared" si="305"/>
        <v>0.10965207500000004</v>
      </c>
      <c r="O625" s="811">
        <f t="shared" si="296"/>
        <v>4.1289093189433003E-2</v>
      </c>
      <c r="P625" s="842" t="b">
        <f t="shared" si="302"/>
        <v>1</v>
      </c>
      <c r="Q625" s="827">
        <f>COUNTIF(P$2:P625, TRUE)/(COUNTIF(P$2:P625,FALSE) + COUNTIF(P$2:P625, TRUE))</f>
        <v>0.49038461538461536</v>
      </c>
      <c r="R625" s="825">
        <v>379974.29</v>
      </c>
      <c r="S625" s="825">
        <f t="shared" si="297"/>
        <v>63886.540000000037</v>
      </c>
      <c r="T625" s="825">
        <v>-37097</v>
      </c>
      <c r="U625" s="825">
        <f t="shared" si="298"/>
        <v>80957.830000000016</v>
      </c>
      <c r="V625" s="827">
        <f>STDEV(D$2:D625)*SQRT(252)</f>
        <v>0.14357072949050406</v>
      </c>
      <c r="W625" s="827">
        <f>STDEV(L$2:L625)*SQRT(252)</f>
        <v>0.27989502416613538</v>
      </c>
      <c r="X625" s="826">
        <f t="shared" si="288"/>
        <v>0.690921924430831</v>
      </c>
      <c r="Y625" s="826">
        <f t="shared" si="287"/>
        <v>0.14751635300570873</v>
      </c>
      <c r="Z625" s="832">
        <f t="shared" si="306"/>
        <v>-0.15378469370683587</v>
      </c>
    </row>
    <row r="626" spans="1:26" ht="20.100000000000001" customHeight="1" x14ac:dyDescent="0.2">
      <c r="A626" s="801">
        <f t="shared" si="295"/>
        <v>973</v>
      </c>
      <c r="B626" s="820">
        <v>43206</v>
      </c>
      <c r="C626" s="845">
        <v>2677.84</v>
      </c>
      <c r="D626" s="817">
        <f t="shared" si="291"/>
        <v>8.1090238301396531E-3</v>
      </c>
      <c r="E626" s="844">
        <f t="shared" si="299"/>
        <v>0.27368200757215427</v>
      </c>
      <c r="F626" s="841">
        <v>7156.28</v>
      </c>
      <c r="G626" s="817">
        <f t="shared" si="292"/>
        <v>6.9835998677295367E-3</v>
      </c>
      <c r="H626" s="822">
        <f t="shared" si="289"/>
        <v>0.4054795058624821</v>
      </c>
      <c r="I626" s="824">
        <v>447856.68</v>
      </c>
      <c r="J626" s="825">
        <v>400000</v>
      </c>
      <c r="K626" s="825">
        <f t="shared" si="290"/>
        <v>3995.8499999999767</v>
      </c>
      <c r="L626" s="817">
        <f t="shared" si="304"/>
        <v>9.0024839542610161E-3</v>
      </c>
      <c r="M626" s="842">
        <f t="shared" si="300"/>
        <v>47856.679999999993</v>
      </c>
      <c r="N626" s="827">
        <f t="shared" si="305"/>
        <v>0.11964169999999998</v>
      </c>
      <c r="O626" s="811">
        <f t="shared" si="296"/>
        <v>4.4911748124357651E-2</v>
      </c>
      <c r="P626" s="842" t="b">
        <f t="shared" si="302"/>
        <v>1</v>
      </c>
      <c r="Q626" s="827">
        <f>COUNTIF(P$2:P626, TRUE)/(COUNTIF(P$2:P626,FALSE) + COUNTIF(P$2:P626, TRUE))</f>
        <v>0.49120000000000003</v>
      </c>
      <c r="R626" s="825">
        <v>377596.34</v>
      </c>
      <c r="S626" s="825">
        <f t="shared" si="297"/>
        <v>70260.339999999967</v>
      </c>
      <c r="T626" s="825">
        <v>-35997</v>
      </c>
      <c r="U626" s="825">
        <f t="shared" si="298"/>
        <v>83853.679999999993</v>
      </c>
      <c r="V626" s="827">
        <f>STDEV(D$2:D626)*SQRT(252)</f>
        <v>0.14353873169966588</v>
      </c>
      <c r="W626" s="827">
        <f>STDEV(L$2:L626)*SQRT(252)</f>
        <v>0.27972229117666914</v>
      </c>
      <c r="X626" s="826">
        <f t="shared" si="288"/>
        <v>0.7157387438230991</v>
      </c>
      <c r="Y626" s="826">
        <f t="shared" si="287"/>
        <v>0.16055834497648935</v>
      </c>
      <c r="Z626" s="832">
        <f t="shared" si="306"/>
        <v>-0.15404030757215431</v>
      </c>
    </row>
    <row r="627" spans="1:26" ht="20.100000000000001" customHeight="1" x14ac:dyDescent="0.2">
      <c r="A627" s="801">
        <f t="shared" si="295"/>
        <v>974</v>
      </c>
      <c r="B627" s="820">
        <v>43207</v>
      </c>
      <c r="C627" s="845">
        <v>2706.39</v>
      </c>
      <c r="D627" s="817">
        <f t="shared" si="291"/>
        <v>1.0661577988229217E-2</v>
      </c>
      <c r="E627" s="844">
        <f t="shared" si="299"/>
        <v>0.28726146762808918</v>
      </c>
      <c r="F627" s="841">
        <v>7281.09</v>
      </c>
      <c r="G627" s="817">
        <f t="shared" si="292"/>
        <v>1.7440625576416853E-2</v>
      </c>
      <c r="H627" s="822">
        <f t="shared" si="289"/>
        <v>0.42999194767955701</v>
      </c>
      <c r="I627" s="824">
        <v>449537.42</v>
      </c>
      <c r="J627" s="825">
        <v>400000</v>
      </c>
      <c r="K627" s="825">
        <f t="shared" si="290"/>
        <v>1680.7399999999907</v>
      </c>
      <c r="L627" s="817">
        <f t="shared" si="304"/>
        <v>3.7528523633944474E-3</v>
      </c>
      <c r="M627" s="842">
        <f t="shared" si="300"/>
        <v>49537.419999999984</v>
      </c>
      <c r="N627" s="827">
        <f t="shared" si="305"/>
        <v>0.12384354999999996</v>
      </c>
      <c r="O627" s="811">
        <f t="shared" si="296"/>
        <v>4.6441331249999988E-2</v>
      </c>
      <c r="P627" s="842" t="b">
        <f t="shared" si="302"/>
        <v>0</v>
      </c>
      <c r="Q627" s="827">
        <f>COUNTIF(P$2:P627, TRUE)/(COUNTIF(P$2:P627,FALSE) + COUNTIF(P$2:P627, TRUE))</f>
        <v>0.49041533546325877</v>
      </c>
      <c r="R627" s="825">
        <v>379256.65</v>
      </c>
      <c r="S627" s="825">
        <f t="shared" si="297"/>
        <v>70280.76999999996</v>
      </c>
      <c r="T627" s="825">
        <v>-35847</v>
      </c>
      <c r="U627" s="825">
        <f t="shared" si="298"/>
        <v>85384.419999999984</v>
      </c>
      <c r="V627" s="827">
        <f>STDEV(D$2:D627)*SQRT(252)</f>
        <v>0.14357078410269888</v>
      </c>
      <c r="W627" s="827">
        <f>STDEV(L$2:L627)*SQRT(252)</f>
        <v>0.279505557722312</v>
      </c>
      <c r="X627" s="826">
        <f t="shared" si="288"/>
        <v>0.75031317153967148</v>
      </c>
      <c r="Y627" s="826">
        <f t="shared" si="287"/>
        <v>0.16615530520555633</v>
      </c>
      <c r="Z627" s="832">
        <f t="shared" si="306"/>
        <v>-0.16341791762808922</v>
      </c>
    </row>
    <row r="628" spans="1:26" ht="20.100000000000001" customHeight="1" x14ac:dyDescent="0.2">
      <c r="A628" s="801">
        <f t="shared" si="295"/>
        <v>975</v>
      </c>
      <c r="B628" s="820">
        <v>43208</v>
      </c>
      <c r="C628" s="845">
        <v>2708.64</v>
      </c>
      <c r="D628" s="817">
        <f t="shared" si="291"/>
        <v>8.3136576768314994E-4</v>
      </c>
      <c r="E628" s="844">
        <f t="shared" si="299"/>
        <v>0.28833165274633271</v>
      </c>
      <c r="F628" s="841">
        <v>7295.23</v>
      </c>
      <c r="G628" s="817">
        <f t="shared" si="292"/>
        <v>1.9420169232902515E-3</v>
      </c>
      <c r="H628" s="822">
        <f t="shared" si="289"/>
        <v>0.4327690162421195</v>
      </c>
      <c r="I628" s="824">
        <v>450989.65</v>
      </c>
      <c r="J628" s="825">
        <v>400000</v>
      </c>
      <c r="K628" s="825">
        <f t="shared" si="290"/>
        <v>1452.2300000000396</v>
      </c>
      <c r="L628" s="817">
        <f t="shared" si="304"/>
        <v>3.230498586747327E-3</v>
      </c>
      <c r="M628" s="842">
        <f t="shared" si="300"/>
        <v>50989.650000000023</v>
      </c>
      <c r="N628" s="827">
        <f t="shared" si="305"/>
        <v>0.12747412500000005</v>
      </c>
      <c r="O628" s="811">
        <f t="shared" si="296"/>
        <v>4.7753768365384634E-2</v>
      </c>
      <c r="P628" s="842" t="b">
        <f t="shared" si="302"/>
        <v>1</v>
      </c>
      <c r="Q628" s="827">
        <f>COUNTIF(P$2:P628, TRUE)/(COUNTIF(P$2:P628,FALSE) + COUNTIF(P$2:P628, TRUE))</f>
        <v>0.49122807017543857</v>
      </c>
      <c r="R628" s="825">
        <v>368369.17</v>
      </c>
      <c r="S628" s="825">
        <f t="shared" si="297"/>
        <v>82620.48000000004</v>
      </c>
      <c r="T628" s="825">
        <v>-34922</v>
      </c>
      <c r="U628" s="825">
        <f t="shared" si="298"/>
        <v>85911.650000000023</v>
      </c>
      <c r="V628" s="827">
        <f>STDEV(D$2:D628)*SQRT(252)</f>
        <v>0.14345609099216267</v>
      </c>
      <c r="W628" s="827">
        <f>STDEV(L$2:L628)*SQRT(252)</f>
        <v>0.27928710037433652</v>
      </c>
      <c r="X628" s="826">
        <f t="shared" si="288"/>
        <v>0.75293751728016878</v>
      </c>
      <c r="Y628" s="826">
        <f t="shared" si="287"/>
        <v>0.1709845112838326</v>
      </c>
      <c r="Z628" s="832">
        <f t="shared" si="306"/>
        <v>-0.16085752774633266</v>
      </c>
    </row>
    <row r="629" spans="1:26" ht="20.100000000000001" customHeight="1" x14ac:dyDescent="0.2">
      <c r="A629" s="801">
        <f t="shared" si="295"/>
        <v>976</v>
      </c>
      <c r="B629" s="820">
        <v>43209</v>
      </c>
      <c r="C629" s="845">
        <v>2693.13</v>
      </c>
      <c r="D629" s="817">
        <f t="shared" si="291"/>
        <v>-5.726120857699718E-3</v>
      </c>
      <c r="E629" s="844">
        <f t="shared" si="299"/>
        <v>0.28095450999790722</v>
      </c>
      <c r="F629" s="841">
        <v>7238.05</v>
      </c>
      <c r="G629" s="817">
        <f t="shared" si="292"/>
        <v>-7.8379982536533298E-3</v>
      </c>
      <c r="H629" s="822">
        <f t="shared" si="289"/>
        <v>0.42153897519492517</v>
      </c>
      <c r="I629" s="824">
        <v>446018.81</v>
      </c>
      <c r="J629" s="825">
        <v>400000</v>
      </c>
      <c r="K629" s="825">
        <f t="shared" si="290"/>
        <v>-4970.8400000000256</v>
      </c>
      <c r="L629" s="817">
        <f t="shared" si="304"/>
        <v>-1.1022071127352978E-2</v>
      </c>
      <c r="M629" s="842">
        <f t="shared" si="300"/>
        <v>46018.81</v>
      </c>
      <c r="N629" s="827">
        <f t="shared" si="305"/>
        <v>0.115047025</v>
      </c>
      <c r="O629" s="811">
        <f t="shared" si="296"/>
        <v>4.3054227337346311E-2</v>
      </c>
      <c r="P629" s="842" t="b">
        <f t="shared" si="302"/>
        <v>0</v>
      </c>
      <c r="Q629" s="827">
        <f>COUNTIF(P$2:P629, TRUE)/(COUNTIF(P$2:P629,FALSE) + COUNTIF(P$2:P629, TRUE))</f>
        <v>0.49044585987261147</v>
      </c>
      <c r="R629" s="825">
        <v>381521.33</v>
      </c>
      <c r="S629" s="825">
        <f t="shared" si="297"/>
        <v>64497.479999999981</v>
      </c>
      <c r="T629" s="825">
        <v>-35722</v>
      </c>
      <c r="U629" s="825">
        <f t="shared" si="298"/>
        <v>81740.81</v>
      </c>
      <c r="V629" s="827">
        <f>STDEV(D$2:D629)*SQRT(252)</f>
        <v>0.14339485353266779</v>
      </c>
      <c r="W629" s="827">
        <f>STDEV(L$2:L629)*SQRT(252)</f>
        <v>0.27916017460324782</v>
      </c>
      <c r="X629" s="826">
        <f t="shared" si="288"/>
        <v>0.73323443093213536</v>
      </c>
      <c r="Y629" s="826">
        <f t="shared" si="287"/>
        <v>0.15422768451315264</v>
      </c>
      <c r="Z629" s="832">
        <f t="shared" si="306"/>
        <v>-0.16590748499790722</v>
      </c>
    </row>
    <row r="630" spans="1:26" ht="20.100000000000001" customHeight="1" x14ac:dyDescent="0.2">
      <c r="A630" s="801">
        <f t="shared" si="295"/>
        <v>977</v>
      </c>
      <c r="B630" s="820">
        <v>43210</v>
      </c>
      <c r="C630" s="845">
        <v>2670.14</v>
      </c>
      <c r="D630" s="817">
        <f t="shared" ref="D630:D635" si="307">(C630-C629)/C629</f>
        <v>-8.536535555283345E-3</v>
      </c>
      <c r="E630" s="844">
        <f t="shared" si="299"/>
        <v>0.2700195962786095</v>
      </c>
      <c r="F630" s="841">
        <v>7146.13</v>
      </c>
      <c r="G630" s="817">
        <f t="shared" ref="G630:G635" si="308">(F630-F629)/F629</f>
        <v>-1.2699553056417139E-2</v>
      </c>
      <c r="H630" s="822">
        <f t="shared" ref="H630:H635" si="309">(F630-F$2)/F$2</f>
        <v>0.40348606555767236</v>
      </c>
      <c r="I630" s="824">
        <v>445087.3</v>
      </c>
      <c r="J630" s="825">
        <v>400000</v>
      </c>
      <c r="K630" s="825">
        <f t="shared" ref="K630:K635" si="310">I630-I629-J630+J629</f>
        <v>-931.51000000000931</v>
      </c>
      <c r="L630" s="817">
        <f t="shared" ref="L630:L635" si="311">K630/I629</f>
        <v>-2.0884993617197654E-3</v>
      </c>
      <c r="M630" s="842">
        <f t="shared" si="300"/>
        <v>45087.299999999988</v>
      </c>
      <c r="N630" s="827">
        <f t="shared" si="305"/>
        <v>0.11271824999999996</v>
      </c>
      <c r="O630" s="811">
        <f t="shared" si="296"/>
        <v>4.2139550473387903E-2</v>
      </c>
      <c r="P630" s="842" t="b">
        <f t="shared" si="302"/>
        <v>1</v>
      </c>
      <c r="Q630" s="827">
        <f>COUNTIF(P$2:P630, TRUE)/(COUNTIF(P$2:P630,FALSE) + COUNTIF(P$2:P630, TRUE))</f>
        <v>0.49125596184419712</v>
      </c>
      <c r="R630" s="825">
        <v>367205.37</v>
      </c>
      <c r="S630" s="825">
        <f t="shared" si="297"/>
        <v>77881.929999999993</v>
      </c>
      <c r="T630" s="825">
        <v>-35573</v>
      </c>
      <c r="U630" s="825">
        <f t="shared" si="298"/>
        <v>80660.299999999988</v>
      </c>
      <c r="V630" s="827">
        <f>STDEV(D$2:D630)*SQRT(252)</f>
        <v>0.14339314066387959</v>
      </c>
      <c r="W630" s="827">
        <f>STDEV(L$2:L630)*SQRT(252)</f>
        <v>0.27894236718958543</v>
      </c>
      <c r="X630" s="826">
        <f t="shared" si="288"/>
        <v>0.70398364144780734</v>
      </c>
      <c r="Y630" s="826">
        <f t="shared" si="287"/>
        <v>0.15106902152568102</v>
      </c>
      <c r="Z630" s="832">
        <f t="shared" si="306"/>
        <v>-0.15730134627860953</v>
      </c>
    </row>
    <row r="631" spans="1:26" ht="20.100000000000001" customHeight="1" x14ac:dyDescent="0.2">
      <c r="A631" s="801">
        <f t="shared" si="295"/>
        <v>980</v>
      </c>
      <c r="B631" s="820">
        <v>43213</v>
      </c>
      <c r="C631" s="845">
        <v>2670.29</v>
      </c>
      <c r="D631" s="817">
        <f t="shared" si="307"/>
        <v>5.6176829679376721E-5</v>
      </c>
      <c r="E631" s="844">
        <f t="shared" si="299"/>
        <v>0.27009094195315914</v>
      </c>
      <c r="F631" s="841">
        <v>7128.6</v>
      </c>
      <c r="G631" s="817">
        <f t="shared" si="308"/>
        <v>-2.4530760005765E-3</v>
      </c>
      <c r="H631" s="822">
        <f t="shared" si="309"/>
        <v>0.40004320757310929</v>
      </c>
      <c r="I631" s="824">
        <v>449342.79</v>
      </c>
      <c r="J631" s="825">
        <v>400000</v>
      </c>
      <c r="K631" s="825">
        <f t="shared" si="310"/>
        <v>4255.4899999999907</v>
      </c>
      <c r="L631" s="817">
        <f t="shared" si="311"/>
        <v>9.5610231970222267E-3</v>
      </c>
      <c r="M631" s="842">
        <f t="shared" si="300"/>
        <v>49342.789999999979</v>
      </c>
      <c r="N631" s="827">
        <f t="shared" si="305"/>
        <v>0.12335697499999995</v>
      </c>
      <c r="O631" s="811">
        <f t="shared" si="296"/>
        <v>4.5975648080357125E-2</v>
      </c>
      <c r="P631" s="842" t="b">
        <f t="shared" si="302"/>
        <v>1</v>
      </c>
      <c r="Q631" s="827">
        <f>COUNTIF(P$2:P631, TRUE)/(COUNTIF(P$2:P631,FALSE) + COUNTIF(P$2:P631, TRUE))</f>
        <v>0.49206349206349204</v>
      </c>
      <c r="R631" s="825">
        <v>356708.25</v>
      </c>
      <c r="S631" s="825">
        <f t="shared" si="297"/>
        <v>92634.539999999979</v>
      </c>
      <c r="T631" s="825">
        <v>-33898</v>
      </c>
      <c r="U631" s="825">
        <f t="shared" si="298"/>
        <v>83240.789999999979</v>
      </c>
      <c r="V631" s="827">
        <f>STDEV(D$2:D631)*SQRT(252)</f>
        <v>0.14327911519808631</v>
      </c>
      <c r="W631" s="827">
        <f>STDEV(L$2:L631)*SQRT(252)</f>
        <v>0.27877897541972796</v>
      </c>
      <c r="X631" s="826">
        <f t="shared" si="288"/>
        <v>0.70257271158312462</v>
      </c>
      <c r="Y631" s="826">
        <f t="shared" ref="Y631:Y636" si="312">O631/W631</f>
        <v>0.16491791754072008</v>
      </c>
      <c r="Z631" s="832">
        <f t="shared" si="306"/>
        <v>-0.14673396695315918</v>
      </c>
    </row>
    <row r="632" spans="1:26" ht="20.100000000000001" customHeight="1" x14ac:dyDescent="0.2">
      <c r="A632" s="801">
        <f t="shared" si="295"/>
        <v>981</v>
      </c>
      <c r="B632" s="820">
        <v>43214</v>
      </c>
      <c r="C632" s="845">
        <v>2634.56</v>
      </c>
      <c r="D632" s="817">
        <f t="shared" si="307"/>
        <v>-1.3380569151665182E-2</v>
      </c>
      <c r="E632" s="844">
        <f t="shared" si="299"/>
        <v>0.25309640227545133</v>
      </c>
      <c r="F632" s="841">
        <v>7007.35</v>
      </c>
      <c r="G632" s="817">
        <f t="shared" si="308"/>
        <v>-1.70089498639284E-2</v>
      </c>
      <c r="H632" s="822">
        <f t="shared" si="309"/>
        <v>0.3762299428481648</v>
      </c>
      <c r="I632" s="824">
        <v>448523.78</v>
      </c>
      <c r="J632" s="825">
        <v>400000</v>
      </c>
      <c r="K632" s="825">
        <f t="shared" si="310"/>
        <v>-819.00999999995111</v>
      </c>
      <c r="L632" s="817">
        <f t="shared" si="311"/>
        <v>-1.8226841917279926E-3</v>
      </c>
      <c r="M632" s="842">
        <f t="shared" si="300"/>
        <v>48523.780000000028</v>
      </c>
      <c r="N632" s="827">
        <f t="shared" si="305"/>
        <v>0.12130945000000007</v>
      </c>
      <c r="O632" s="811">
        <f t="shared" si="296"/>
        <v>4.5166438952599412E-2</v>
      </c>
      <c r="P632" s="842" t="b">
        <f t="shared" si="302"/>
        <v>1</v>
      </c>
      <c r="Q632" s="827">
        <f>COUNTIF(P$2:P632, TRUE)/(COUNTIF(P$2:P632,FALSE) + COUNTIF(P$2:P632, TRUE))</f>
        <v>0.49286846275752771</v>
      </c>
      <c r="R632" s="825">
        <v>339733.33</v>
      </c>
      <c r="S632" s="825">
        <f t="shared" si="297"/>
        <v>108790.45000000001</v>
      </c>
      <c r="T632" s="825">
        <v>-32782</v>
      </c>
      <c r="U632" s="825">
        <f t="shared" si="298"/>
        <v>81305.780000000028</v>
      </c>
      <c r="V632" s="827">
        <f>STDEV(D$2:D632)*SQRT(252)</f>
        <v>0.14343102619616427</v>
      </c>
      <c r="W632" s="827">
        <f>STDEV(L$2:L632)*SQRT(252)</f>
        <v>0.27856125991838609</v>
      </c>
      <c r="X632" s="826">
        <f t="shared" si="288"/>
        <v>0.65699805424017199</v>
      </c>
      <c r="Y632" s="826">
        <f t="shared" si="312"/>
        <v>0.16214185334253745</v>
      </c>
      <c r="Z632" s="832">
        <f t="shared" si="306"/>
        <v>-0.13178695227545126</v>
      </c>
    </row>
    <row r="633" spans="1:26" ht="20.100000000000001" customHeight="1" x14ac:dyDescent="0.2">
      <c r="A633" s="801">
        <f t="shared" si="295"/>
        <v>982</v>
      </c>
      <c r="B633" s="820">
        <v>43215</v>
      </c>
      <c r="C633" s="845">
        <v>2639.4</v>
      </c>
      <c r="D633" s="817">
        <f t="shared" si="307"/>
        <v>1.8371189116968851E-3</v>
      </c>
      <c r="E633" s="844">
        <f t="shared" si="299"/>
        <v>0.25539848937425086</v>
      </c>
      <c r="F633" s="841">
        <v>7003.73</v>
      </c>
      <c r="G633" s="817">
        <f t="shared" si="308"/>
        <v>-5.1660042669494173E-4</v>
      </c>
      <c r="H633" s="822">
        <f t="shared" si="309"/>
        <v>0.37551898187245908</v>
      </c>
      <c r="I633" s="824">
        <v>451776.44</v>
      </c>
      <c r="J633" s="825">
        <v>400000</v>
      </c>
      <c r="K633" s="825">
        <f t="shared" si="310"/>
        <v>3252.6599999999744</v>
      </c>
      <c r="L633" s="817">
        <f t="shared" si="311"/>
        <v>7.2519231867705525E-3</v>
      </c>
      <c r="M633" s="842">
        <f t="shared" si="300"/>
        <v>51776.44</v>
      </c>
      <c r="N633" s="827">
        <f t="shared" si="305"/>
        <v>0.1294411</v>
      </c>
      <c r="O633" s="811">
        <f t="shared" si="296"/>
        <v>4.8144971257637476E-2</v>
      </c>
      <c r="P633" s="842" t="b">
        <f t="shared" si="302"/>
        <v>1</v>
      </c>
      <c r="Q633" s="827">
        <f>COUNTIF(P$2:P633, TRUE)/(COUNTIF(P$2:P633,FALSE) + COUNTIF(P$2:P633, TRUE))</f>
        <v>0.49367088607594939</v>
      </c>
      <c r="R633" s="825">
        <v>342985.99</v>
      </c>
      <c r="S633" s="825">
        <f t="shared" si="297"/>
        <v>108790.45000000001</v>
      </c>
      <c r="T633" s="825">
        <v>-32687</v>
      </c>
      <c r="U633" s="825">
        <f t="shared" si="298"/>
        <v>84463.44</v>
      </c>
      <c r="V633" s="827">
        <f>STDEV(D$2:D633)*SQRT(252)</f>
        <v>0.14332002858767423</v>
      </c>
      <c r="W633" s="827">
        <f>STDEV(L$2:L633)*SQRT(252)</f>
        <v>0.27837253154363339</v>
      </c>
      <c r="X633" s="826">
        <f t="shared" si="288"/>
        <v>0.66281171352818635</v>
      </c>
      <c r="Y633" s="826">
        <f t="shared" si="312"/>
        <v>0.17295158753869727</v>
      </c>
      <c r="Z633" s="832">
        <f t="shared" si="306"/>
        <v>-0.12595738937425086</v>
      </c>
    </row>
    <row r="634" spans="1:26" ht="20.100000000000001" customHeight="1" x14ac:dyDescent="0.2">
      <c r="A634" s="801">
        <f t="shared" si="295"/>
        <v>983</v>
      </c>
      <c r="B634" s="820">
        <v>43216</v>
      </c>
      <c r="C634" s="845">
        <v>2666.94</v>
      </c>
      <c r="D634" s="817">
        <f t="shared" si="307"/>
        <v>1.0434189588542836E-2</v>
      </c>
      <c r="E634" s="844">
        <f t="shared" si="299"/>
        <v>0.26849755522155211</v>
      </c>
      <c r="F634" s="841">
        <v>7118.67</v>
      </c>
      <c r="G634" s="817">
        <f t="shared" si="308"/>
        <v>1.6411255145472557E-2</v>
      </c>
      <c r="H634" s="822">
        <f t="shared" si="309"/>
        <v>0.39809297484140865</v>
      </c>
      <c r="I634" s="824">
        <v>455463.88</v>
      </c>
      <c r="J634" s="825">
        <v>400000</v>
      </c>
      <c r="K634" s="825">
        <f t="shared" si="310"/>
        <v>3687.4400000000023</v>
      </c>
      <c r="L634" s="817">
        <f t="shared" si="311"/>
        <v>8.1620900815456473E-3</v>
      </c>
      <c r="M634" s="842">
        <f t="shared" si="300"/>
        <v>55463.880000000005</v>
      </c>
      <c r="N634" s="827">
        <f t="shared" si="305"/>
        <v>0.13865970000000002</v>
      </c>
      <c r="O634" s="811">
        <f t="shared" si="296"/>
        <v>5.1521317828077326E-2</v>
      </c>
      <c r="P634" s="842" t="b">
        <f t="shared" si="302"/>
        <v>0</v>
      </c>
      <c r="Q634" s="827">
        <f>COUNTIF(P$2:P634, TRUE)/(COUNTIF(P$2:P634,FALSE) + COUNTIF(P$2:P634, TRUE))</f>
        <v>0.49289099526066349</v>
      </c>
      <c r="R634" s="825">
        <v>346752.53</v>
      </c>
      <c r="S634" s="825">
        <f t="shared" si="297"/>
        <v>108711.34999999998</v>
      </c>
      <c r="T634" s="825">
        <v>-32492</v>
      </c>
      <c r="U634" s="825">
        <f t="shared" si="298"/>
        <v>87955.88</v>
      </c>
      <c r="V634" s="827">
        <f>STDEV(D$2:D634)*SQRT(252)</f>
        <v>0.1433464849778508</v>
      </c>
      <c r="W634" s="827">
        <f>STDEV(L$2:L634)*SQRT(252)</f>
        <v>0.27819352385926271</v>
      </c>
      <c r="X634" s="826">
        <f t="shared" si="288"/>
        <v>0.69596915831272854</v>
      </c>
      <c r="Y634" s="826">
        <f t="shared" si="312"/>
        <v>0.18519955861424656</v>
      </c>
      <c r="Z634" s="832">
        <f t="shared" si="306"/>
        <v>-0.12983785522155208</v>
      </c>
    </row>
    <row r="635" spans="1:26" ht="20.100000000000001" customHeight="1" x14ac:dyDescent="0.2">
      <c r="A635" s="801">
        <f t="shared" si="295"/>
        <v>984</v>
      </c>
      <c r="B635" s="820">
        <v>43217</v>
      </c>
      <c r="C635" s="845">
        <v>2669.91</v>
      </c>
      <c r="D635" s="817">
        <f t="shared" si="307"/>
        <v>1.1136358523250616E-3</v>
      </c>
      <c r="E635" s="844">
        <f t="shared" si="299"/>
        <v>0.26991019957763351</v>
      </c>
      <c r="F635" s="841">
        <v>7119.79</v>
      </c>
      <c r="G635" s="817">
        <f t="shared" si="308"/>
        <v>1.5733276019254874E-4</v>
      </c>
      <c r="H635" s="822">
        <f t="shared" si="309"/>
        <v>0.39831294066814626</v>
      </c>
      <c r="I635" s="824">
        <f>455928.5</f>
        <v>455928.5</v>
      </c>
      <c r="J635" s="825">
        <v>400000</v>
      </c>
      <c r="K635" s="825">
        <f t="shared" si="310"/>
        <v>464.61999999999534</v>
      </c>
      <c r="L635" s="817">
        <f t="shared" si="311"/>
        <v>1.0201028454770011E-3</v>
      </c>
      <c r="M635" s="842">
        <f t="shared" si="300"/>
        <v>55928.5</v>
      </c>
      <c r="N635" s="827">
        <f t="shared" si="305"/>
        <v>0.13982125000000001</v>
      </c>
      <c r="O635" s="811">
        <f t="shared" si="296"/>
        <v>5.1900113376524393E-2</v>
      </c>
      <c r="P635" s="842" t="b">
        <f t="shared" si="302"/>
        <v>0</v>
      </c>
      <c r="Q635" s="827">
        <f>COUNTIF(P$2:P635, TRUE)/(COUNTIF(P$2:P635,FALSE) + COUNTIF(P$2:P635, TRUE))</f>
        <v>0.49211356466876971</v>
      </c>
      <c r="R635" s="825">
        <v>343587.98</v>
      </c>
      <c r="S635" s="825">
        <f t="shared" si="297"/>
        <v>112340.52000000002</v>
      </c>
      <c r="T635" s="825">
        <v>-32412</v>
      </c>
      <c r="U635" s="825">
        <f t="shared" si="298"/>
        <v>88340.5</v>
      </c>
      <c r="V635" s="827">
        <f>STDEV(D$2:D635)*SQRT(252)</f>
        <v>0.14323370726891749</v>
      </c>
      <c r="W635" s="827">
        <f>STDEV(L$2:L635)*SQRT(252)</f>
        <v>0.27797350516495312</v>
      </c>
      <c r="X635" s="826">
        <f t="shared" si="288"/>
        <v>0.69947015660285927</v>
      </c>
      <c r="Y635" s="826">
        <f t="shared" si="312"/>
        <v>0.18670884962840681</v>
      </c>
      <c r="Z635" s="832">
        <f t="shared" si="306"/>
        <v>-0.13008894957763351</v>
      </c>
    </row>
    <row r="636" spans="1:26" ht="20.100000000000001" customHeight="1" x14ac:dyDescent="0.2">
      <c r="A636" s="801">
        <f t="shared" si="295"/>
        <v>987</v>
      </c>
      <c r="B636" s="820">
        <v>43220</v>
      </c>
      <c r="C636" s="845">
        <v>2648.05</v>
      </c>
      <c r="D636" s="817">
        <f t="shared" ref="D636:D660" si="313">(C636-C635)/C635</f>
        <v>-8.1875419021613747E-3</v>
      </c>
      <c r="E636" s="844">
        <f t="shared" si="299"/>
        <v>0.2595127566066095</v>
      </c>
      <c r="F636" s="841">
        <v>7066.27</v>
      </c>
      <c r="G636" s="817">
        <f t="shared" ref="G636:G667" si="314">(F636-F635)/F635</f>
        <v>-7.5170756440849414E-3</v>
      </c>
      <c r="H636" s="822">
        <f t="shared" ref="H636:H667" si="315">(F636-F$2)/F$2</f>
        <v>0.38780171651904094</v>
      </c>
      <c r="I636" s="847">
        <v>453815.46</v>
      </c>
      <c r="J636" s="825">
        <v>400000</v>
      </c>
      <c r="K636" s="825">
        <f t="shared" ref="K636:K667" si="316">I636-I635-J636+J635</f>
        <v>-2113.039999999979</v>
      </c>
      <c r="L636" s="817">
        <f t="shared" ref="L636:L667" si="317">K636/I635</f>
        <v>-4.6345863441306671E-3</v>
      </c>
      <c r="M636" s="847">
        <f t="shared" si="300"/>
        <v>53815.460000000021</v>
      </c>
      <c r="N636" s="827">
        <f t="shared" si="305"/>
        <v>0.13453865000000007</v>
      </c>
      <c r="O636" s="811">
        <f t="shared" si="296"/>
        <v>4.978747914133741E-2</v>
      </c>
      <c r="P636" s="842" t="b">
        <f t="shared" si="302"/>
        <v>1</v>
      </c>
      <c r="Q636" s="827">
        <f>COUNTIF(P$2:P636, TRUE)/(COUNTIF(P$2:P636,FALSE) + COUNTIF(P$2:P636, TRUE))</f>
        <v>0.49291338582677163</v>
      </c>
      <c r="R636" s="825">
        <v>338183.41</v>
      </c>
      <c r="S636" s="825">
        <f t="shared" si="297"/>
        <v>115632.05000000005</v>
      </c>
      <c r="T636" s="825">
        <v>-32877</v>
      </c>
      <c r="U636" s="825">
        <f t="shared" si="298"/>
        <v>86692.460000000021</v>
      </c>
      <c r="V636" s="827">
        <f>STDEV(D$2:D636)*SQRT(252)</f>
        <v>0.14322332561157627</v>
      </c>
      <c r="W636" s="827">
        <f>STDEV(L$2:L636)*SQRT(252)</f>
        <v>0.27777308803681044</v>
      </c>
      <c r="X636" s="826">
        <f t="shared" si="288"/>
        <v>0.67052971564394903</v>
      </c>
      <c r="Y636" s="826">
        <f t="shared" si="312"/>
        <v>0.17923795099523673</v>
      </c>
      <c r="Z636" s="832">
        <f t="shared" si="306"/>
        <v>-0.12497410660660943</v>
      </c>
    </row>
    <row r="637" spans="1:26" ht="20.100000000000001" customHeight="1" x14ac:dyDescent="0.2">
      <c r="A637" s="801">
        <f t="shared" si="295"/>
        <v>988</v>
      </c>
      <c r="B637" s="820">
        <v>43221</v>
      </c>
      <c r="C637" s="845">
        <v>2654.8</v>
      </c>
      <c r="D637" s="817">
        <f t="shared" si="313"/>
        <v>2.5490455240648776E-3</v>
      </c>
      <c r="E637" s="844">
        <f t="shared" si="299"/>
        <v>0.26272331196134019</v>
      </c>
      <c r="F637" s="841">
        <v>7130.7</v>
      </c>
      <c r="G637" s="817">
        <f t="shared" si="314"/>
        <v>9.1179646404679383E-3</v>
      </c>
      <c r="H637" s="822">
        <f t="shared" si="315"/>
        <v>0.40045564349824225</v>
      </c>
      <c r="I637" s="866">
        <v>452706.55</v>
      </c>
      <c r="J637" s="825">
        <v>400000</v>
      </c>
      <c r="K637" s="825">
        <f t="shared" si="316"/>
        <v>-1108.9100000000326</v>
      </c>
      <c r="L637" s="817">
        <f t="shared" si="317"/>
        <v>-2.4435262738735971E-3</v>
      </c>
      <c r="M637" s="842">
        <f t="shared" si="300"/>
        <v>52706.549999999988</v>
      </c>
      <c r="N637" s="827">
        <f t="shared" si="305"/>
        <v>0.13176637499999996</v>
      </c>
      <c r="O637" s="811">
        <f t="shared" si="296"/>
        <v>4.8712215049342096E-2</v>
      </c>
      <c r="P637" s="842" t="b">
        <f t="shared" si="302"/>
        <v>0</v>
      </c>
      <c r="Q637" s="827">
        <f>COUNTIF(P$2:P637, TRUE)/(COUNTIF(P$2:P637,FALSE) + COUNTIF(P$2:P637, TRUE))</f>
        <v>0.49213836477987422</v>
      </c>
      <c r="R637" s="825">
        <v>348970.59</v>
      </c>
      <c r="S637" s="825">
        <f t="shared" si="297"/>
        <v>103735.95999999996</v>
      </c>
      <c r="T637" s="825">
        <v>-33575</v>
      </c>
      <c r="U637" s="825">
        <f t="shared" si="298"/>
        <v>86281.549999999988</v>
      </c>
      <c r="V637" s="827">
        <f>STDEV(D$2:D637)*SQRT(252)</f>
        <v>0.14311670464868867</v>
      </c>
      <c r="W637" s="827">
        <f>STDEV(L$2:L637)*SQRT(252)</f>
        <v>0.2775603122196989</v>
      </c>
      <c r="X637" s="826">
        <f t="shared" si="288"/>
        <v>0.67864329489886477</v>
      </c>
      <c r="Y637" s="826">
        <f t="shared" ref="Y637:Y663" si="318">O637/W637</f>
        <v>0.1755013699897579</v>
      </c>
      <c r="Z637" s="832">
        <f t="shared" si="306"/>
        <v>-0.13095693696134023</v>
      </c>
    </row>
    <row r="638" spans="1:26" ht="20.100000000000001" customHeight="1" x14ac:dyDescent="0.2">
      <c r="A638" s="801">
        <f t="shared" si="295"/>
        <v>989</v>
      </c>
      <c r="B638" s="820">
        <v>43222</v>
      </c>
      <c r="C638" s="845">
        <v>2635.67</v>
      </c>
      <c r="D638" s="817">
        <f t="shared" si="313"/>
        <v>-7.2058158806690177E-3</v>
      </c>
      <c r="E638" s="844">
        <f t="shared" si="299"/>
        <v>0.25362436026711821</v>
      </c>
      <c r="F638" s="841">
        <v>7100.89</v>
      </c>
      <c r="G638" s="817">
        <f t="shared" si="314"/>
        <v>-4.1805152369331893E-3</v>
      </c>
      <c r="H638" s="822">
        <f t="shared" si="315"/>
        <v>0.3946010173419488</v>
      </c>
      <c r="I638" s="866">
        <v>450912.32</v>
      </c>
      <c r="J638" s="825">
        <v>400000</v>
      </c>
      <c r="K638" s="825">
        <f t="shared" si="316"/>
        <v>-1794.2299999999814</v>
      </c>
      <c r="L638" s="817">
        <f t="shared" si="317"/>
        <v>-3.9633400488682602E-3</v>
      </c>
      <c r="M638" s="842">
        <f t="shared" si="300"/>
        <v>50912.320000000007</v>
      </c>
      <c r="N638" s="827">
        <f t="shared" si="305"/>
        <v>0.12728080000000003</v>
      </c>
      <c r="O638" s="811">
        <f t="shared" si="296"/>
        <v>4.7006382406471196E-2</v>
      </c>
      <c r="P638" s="842" t="b">
        <f t="shared" si="302"/>
        <v>1</v>
      </c>
      <c r="Q638" s="827">
        <f>COUNTIF(P$2:P638, TRUE)/(COUNTIF(P$2:P638,FALSE) + COUNTIF(P$2:P638, TRUE))</f>
        <v>0.49293563579277866</v>
      </c>
      <c r="R638" s="825">
        <v>354993.37</v>
      </c>
      <c r="S638" s="825">
        <f t="shared" si="297"/>
        <v>95918.950000000012</v>
      </c>
      <c r="T638" s="825">
        <v>-33995</v>
      </c>
      <c r="U638" s="825">
        <f t="shared" si="298"/>
        <v>84907.32</v>
      </c>
      <c r="V638" s="827">
        <f>STDEV(D$2:D638)*SQRT(252)</f>
        <v>0.14308425772624728</v>
      </c>
      <c r="W638" s="827">
        <f>STDEV(L$2:L638)*SQRT(252)</f>
        <v>0.27735614722341684</v>
      </c>
      <c r="X638" s="826">
        <f t="shared" si="288"/>
        <v>0.65462568707262703</v>
      </c>
      <c r="Y638" s="826">
        <f t="shared" si="318"/>
        <v>0.16948022561261805</v>
      </c>
      <c r="Z638" s="832">
        <f t="shared" si="306"/>
        <v>-0.12634356026711818</v>
      </c>
    </row>
    <row r="639" spans="1:26" ht="20.100000000000001" customHeight="1" x14ac:dyDescent="0.2">
      <c r="A639" s="801">
        <f t="shared" si="295"/>
        <v>990</v>
      </c>
      <c r="B639" s="820">
        <v>43223</v>
      </c>
      <c r="C639" s="845">
        <v>2629.373</v>
      </c>
      <c r="D639" s="817">
        <f t="shared" si="313"/>
        <v>-2.3891458338866495E-3</v>
      </c>
      <c r="E639" s="844">
        <f t="shared" si="299"/>
        <v>0.25062926884952719</v>
      </c>
      <c r="F639" s="841">
        <v>7088.15</v>
      </c>
      <c r="G639" s="817">
        <f t="shared" si="314"/>
        <v>-1.7941412977810797E-3</v>
      </c>
      <c r="H639" s="822">
        <f t="shared" si="315"/>
        <v>0.39209890606280806</v>
      </c>
      <c r="I639" s="866">
        <v>452277.59</v>
      </c>
      <c r="J639" s="825">
        <v>400000</v>
      </c>
      <c r="K639" s="825">
        <f t="shared" si="316"/>
        <v>1365.2700000000186</v>
      </c>
      <c r="L639" s="817">
        <f t="shared" si="317"/>
        <v>3.0277948493401523E-3</v>
      </c>
      <c r="M639" s="842">
        <f t="shared" si="300"/>
        <v>52277.590000000026</v>
      </c>
      <c r="N639" s="827">
        <f t="shared" si="305"/>
        <v>0.13069397500000007</v>
      </c>
      <c r="O639" s="811">
        <f t="shared" si="296"/>
        <v>4.8218155928030325E-2</v>
      </c>
      <c r="P639" s="842" t="b">
        <f t="shared" si="302"/>
        <v>1</v>
      </c>
      <c r="Q639" s="827">
        <f>COUNTIF(P$2:P639, TRUE)/(COUNTIF(P$2:P639,FALSE) + COUNTIF(P$2:P639, TRUE))</f>
        <v>0.49373040752351099</v>
      </c>
      <c r="R639" s="825">
        <v>347978.77</v>
      </c>
      <c r="S639" s="825">
        <f t="shared" si="297"/>
        <v>104298.82</v>
      </c>
      <c r="T639" s="825">
        <v>-35355</v>
      </c>
      <c r="U639" s="825">
        <f t="shared" si="298"/>
        <v>87632.590000000026</v>
      </c>
      <c r="V639" s="827">
        <f>STDEV(D$2:D639)*SQRT(252)</f>
        <v>0.14298245766560941</v>
      </c>
      <c r="W639" s="827">
        <f>STDEV(L$2:L639)*SQRT(252)</f>
        <v>0.27714246426885808</v>
      </c>
      <c r="X639" s="826">
        <f t="shared" ref="X639:X644" si="319">E639/(A639/365.25)/V639</f>
        <v>0.6467017846977352</v>
      </c>
      <c r="Y639" s="826">
        <f t="shared" si="318"/>
        <v>0.17398328349008801</v>
      </c>
      <c r="Z639" s="832">
        <f t="shared" si="306"/>
        <v>-0.11993529384952711</v>
      </c>
    </row>
    <row r="640" spans="1:26" ht="20.100000000000001" customHeight="1" x14ac:dyDescent="0.2">
      <c r="A640" s="801">
        <f t="shared" si="295"/>
        <v>991</v>
      </c>
      <c r="B640" s="820">
        <v>43224</v>
      </c>
      <c r="C640" s="845">
        <v>2663.42</v>
      </c>
      <c r="D640" s="817">
        <f t="shared" si="313"/>
        <v>1.2948714389324004E-2</v>
      </c>
      <c r="E640" s="844">
        <f t="shared" si="299"/>
        <v>0.26682331005878884</v>
      </c>
      <c r="F640" s="841">
        <v>7209.61</v>
      </c>
      <c r="G640" s="817">
        <f t="shared" si="314"/>
        <v>1.7135641881167871E-2</v>
      </c>
      <c r="H640" s="822">
        <f t="shared" si="315"/>
        <v>0.4159534143802659</v>
      </c>
      <c r="I640" s="866">
        <v>457844.7</v>
      </c>
      <c r="J640" s="825">
        <v>400000</v>
      </c>
      <c r="K640" s="825">
        <f t="shared" si="316"/>
        <v>5567.109999999986</v>
      </c>
      <c r="L640" s="817">
        <f t="shared" si="317"/>
        <v>1.2309055595701715E-2</v>
      </c>
      <c r="M640" s="842">
        <f t="shared" si="300"/>
        <v>57844.700000000012</v>
      </c>
      <c r="N640" s="827">
        <f t="shared" si="305"/>
        <v>0.14461175000000004</v>
      </c>
      <c r="O640" s="811">
        <f t="shared" si="296"/>
        <v>5.3299133892532803E-2</v>
      </c>
      <c r="P640" s="842" t="b">
        <f t="shared" si="302"/>
        <v>0</v>
      </c>
      <c r="Q640" s="827">
        <f>COUNTIF(P$2:P640, TRUE)/(COUNTIF(P$2:P640,FALSE) + COUNTIF(P$2:P640, TRUE))</f>
        <v>0.49295774647887325</v>
      </c>
      <c r="R640" s="825">
        <v>341507.01</v>
      </c>
      <c r="S640" s="825">
        <f t="shared" si="297"/>
        <v>116337.69</v>
      </c>
      <c r="T640" s="825">
        <v>-34815</v>
      </c>
      <c r="U640" s="825">
        <f t="shared" si="298"/>
        <v>92659.700000000012</v>
      </c>
      <c r="V640" s="827">
        <f>STDEV(D$2:D640)*SQRT(252)</f>
        <v>0.14308797968431308</v>
      </c>
      <c r="W640" s="827">
        <f>STDEV(L$2:L640)*SQRT(252)</f>
        <v>0.27702369325517084</v>
      </c>
      <c r="X640" s="826">
        <f t="shared" si="319"/>
        <v>0.68728550691537571</v>
      </c>
      <c r="Y640" s="826">
        <f t="shared" si="318"/>
        <v>0.19239918891500063</v>
      </c>
      <c r="Z640" s="832">
        <f t="shared" si="306"/>
        <v>-0.1222115600587888</v>
      </c>
    </row>
    <row r="641" spans="1:26" ht="20.100000000000001" customHeight="1" x14ac:dyDescent="0.2">
      <c r="A641" s="801">
        <f t="shared" si="295"/>
        <v>994</v>
      </c>
      <c r="B641" s="820">
        <v>43227</v>
      </c>
      <c r="C641" s="845">
        <v>2672.63</v>
      </c>
      <c r="D641" s="817">
        <f t="shared" si="313"/>
        <v>3.4579600663808322E-3</v>
      </c>
      <c r="E641" s="844">
        <f t="shared" si="299"/>
        <v>0.2712039344761325</v>
      </c>
      <c r="F641" s="841">
        <v>7265.21</v>
      </c>
      <c r="G641" s="817">
        <f t="shared" si="314"/>
        <v>7.711928939290803E-3</v>
      </c>
      <c r="H641" s="822">
        <f t="shared" si="315"/>
        <v>0.42687314649331271</v>
      </c>
      <c r="I641" s="866">
        <v>456957.86</v>
      </c>
      <c r="J641" s="825">
        <v>400000</v>
      </c>
      <c r="K641" s="825">
        <f t="shared" si="316"/>
        <v>-886.84000000002561</v>
      </c>
      <c r="L641" s="817">
        <f t="shared" si="317"/>
        <v>-1.9369886776018715E-3</v>
      </c>
      <c r="M641" s="842">
        <f t="shared" si="300"/>
        <v>56957.859999999986</v>
      </c>
      <c r="N641" s="827">
        <f t="shared" si="305"/>
        <v>0.14239464999999996</v>
      </c>
      <c r="O641" s="811">
        <f t="shared" si="296"/>
        <v>5.2323587437122718E-2</v>
      </c>
      <c r="P641" s="842" t="b">
        <f t="shared" si="302"/>
        <v>0</v>
      </c>
      <c r="Q641" s="827">
        <f>COUNTIF(P$2:P641, TRUE)/(COUNTIF(P$2:P641,FALSE) + COUNTIF(P$2:P641, TRUE))</f>
        <v>0.4921875</v>
      </c>
      <c r="R641" s="825">
        <v>326723.28999999998</v>
      </c>
      <c r="S641" s="825">
        <f t="shared" si="297"/>
        <v>130234.57</v>
      </c>
      <c r="T641" s="825">
        <v>-35135</v>
      </c>
      <c r="U641" s="825">
        <f t="shared" si="298"/>
        <v>92092.859999999986</v>
      </c>
      <c r="V641" s="827">
        <f>STDEV(D$2:D641)*SQRT(252)</f>
        <v>0.14298859813162662</v>
      </c>
      <c r="W641" s="827">
        <f>STDEV(L$2:L641)*SQRT(252)</f>
        <v>0.27681092205628688</v>
      </c>
      <c r="X641" s="826">
        <f t="shared" si="319"/>
        <v>0.69694485698870945</v>
      </c>
      <c r="Y641" s="826">
        <f t="shared" si="318"/>
        <v>0.18902284291543675</v>
      </c>
      <c r="Z641" s="832">
        <f t="shared" si="306"/>
        <v>-0.12880928447613255</v>
      </c>
    </row>
    <row r="642" spans="1:26" ht="20.100000000000001" customHeight="1" x14ac:dyDescent="0.2">
      <c r="A642" s="801">
        <f t="shared" si="295"/>
        <v>995</v>
      </c>
      <c r="B642" s="820">
        <v>43228</v>
      </c>
      <c r="C642" s="845">
        <v>2671.92</v>
      </c>
      <c r="D642" s="817">
        <f t="shared" si="313"/>
        <v>-2.6565592693340878E-4</v>
      </c>
      <c r="E642" s="844">
        <f t="shared" si="299"/>
        <v>0.27086623161659784</v>
      </c>
      <c r="F642" s="841">
        <v>7266.9</v>
      </c>
      <c r="G642" s="817">
        <f t="shared" si="314"/>
        <v>2.3261543713114967E-4</v>
      </c>
      <c r="H642" s="822">
        <f t="shared" si="315"/>
        <v>0.42720505921401497</v>
      </c>
      <c r="I642" s="866">
        <v>457631.51</v>
      </c>
      <c r="J642" s="825">
        <v>400000</v>
      </c>
      <c r="K642" s="825">
        <f t="shared" si="316"/>
        <v>673.65000000002328</v>
      </c>
      <c r="L642" s="817">
        <f t="shared" si="317"/>
        <v>1.4742059585100982E-3</v>
      </c>
      <c r="M642" s="842">
        <f t="shared" si="300"/>
        <v>57631.510000000009</v>
      </c>
      <c r="N642" s="827">
        <f t="shared" si="305"/>
        <v>0.14407877500000002</v>
      </c>
      <c r="O642" s="811">
        <f t="shared" si="296"/>
        <v>5.2889218662060311E-2</v>
      </c>
      <c r="P642" s="842" t="b">
        <f t="shared" si="302"/>
        <v>1</v>
      </c>
      <c r="Q642" s="827">
        <f>COUNTIF(P$2:P642, TRUE)/(COUNTIF(P$2:P642,FALSE) + COUNTIF(P$2:P642, TRUE))</f>
        <v>0.49297971918876754</v>
      </c>
      <c r="R642" s="825">
        <v>348824.93</v>
      </c>
      <c r="S642" s="825">
        <f t="shared" si="297"/>
        <v>108806.58000000002</v>
      </c>
      <c r="T642" s="825">
        <v>-34915</v>
      </c>
      <c r="U642" s="825">
        <f t="shared" si="298"/>
        <v>92546.510000000009</v>
      </c>
      <c r="V642" s="827">
        <f>STDEV(D$2:D642)*SQRT(252)</f>
        <v>0.14287731014679592</v>
      </c>
      <c r="W642" s="827">
        <f>STDEV(L$2:L642)*SQRT(252)</f>
        <v>0.27659484922159572</v>
      </c>
      <c r="X642" s="826">
        <f t="shared" si="319"/>
        <v>0.69591908069554453</v>
      </c>
      <c r="Y642" s="826">
        <f t="shared" si="318"/>
        <v>0.19121548651720474</v>
      </c>
      <c r="Z642" s="832">
        <f t="shared" si="306"/>
        <v>-0.12678745661659782</v>
      </c>
    </row>
    <row r="643" spans="1:26" ht="20.100000000000001" customHeight="1" x14ac:dyDescent="0.2">
      <c r="A643" s="801">
        <f t="shared" ref="A643:A674" si="320">B643-$B$2</f>
        <v>996</v>
      </c>
      <c r="B643" s="820">
        <v>43229</v>
      </c>
      <c r="C643" s="845">
        <v>2697.79</v>
      </c>
      <c r="D643" s="817">
        <f t="shared" si="313"/>
        <v>9.6821761130572361E-3</v>
      </c>
      <c r="E643" s="844">
        <f t="shared" si="299"/>
        <v>0.28317098228724713</v>
      </c>
      <c r="F643" s="841">
        <v>7339.9</v>
      </c>
      <c r="G643" s="817">
        <f t="shared" si="314"/>
        <v>1.0045548996133153E-2</v>
      </c>
      <c r="H643" s="822">
        <f t="shared" si="315"/>
        <v>0.44154211756387846</v>
      </c>
      <c r="I643" s="866">
        <v>461579.02</v>
      </c>
      <c r="J643" s="825">
        <v>400000</v>
      </c>
      <c r="K643" s="825">
        <f t="shared" si="316"/>
        <v>3947.5100000000093</v>
      </c>
      <c r="L643" s="817">
        <f t="shared" si="317"/>
        <v>8.6259575963202554E-3</v>
      </c>
      <c r="M643" s="842">
        <f t="shared" si="300"/>
        <v>61579.020000000019</v>
      </c>
      <c r="N643" s="827">
        <f t="shared" si="305"/>
        <v>0.15394755000000004</v>
      </c>
      <c r="O643" s="811">
        <f t="shared" ref="O643:O674" si="321">N643/(A643/365.25)</f>
        <v>5.6455163290662663E-2</v>
      </c>
      <c r="P643" s="842" t="b">
        <f t="shared" si="302"/>
        <v>0</v>
      </c>
      <c r="Q643" s="827">
        <f>COUNTIF(P$2:P643, TRUE)/(COUNTIF(P$2:P643,FALSE) + COUNTIF(P$2:P643, TRUE))</f>
        <v>0.49221183800623053</v>
      </c>
      <c r="R643" s="825">
        <v>351633.55</v>
      </c>
      <c r="S643" s="825">
        <f t="shared" si="297"/>
        <v>109945.47000000003</v>
      </c>
      <c r="T643" s="825">
        <v>-34375</v>
      </c>
      <c r="U643" s="825">
        <f t="shared" si="298"/>
        <v>95954.020000000019</v>
      </c>
      <c r="V643" s="827">
        <f>STDEV(D$2:D643)*SQRT(252)</f>
        <v>0.14288383857583484</v>
      </c>
      <c r="W643" s="827">
        <f>STDEV(L$2:L643)*SQRT(252)</f>
        <v>0.27642504992045575</v>
      </c>
      <c r="X643" s="826">
        <f t="shared" si="319"/>
        <v>0.72676921769310943</v>
      </c>
      <c r="Y643" s="826">
        <f t="shared" si="318"/>
        <v>0.20423316666455604</v>
      </c>
      <c r="Z643" s="832">
        <f t="shared" si="306"/>
        <v>-0.12922343228724709</v>
      </c>
    </row>
    <row r="644" spans="1:26" ht="20.100000000000001" customHeight="1" x14ac:dyDescent="0.2">
      <c r="A644" s="801">
        <f t="shared" si="320"/>
        <v>997</v>
      </c>
      <c r="B644" s="820">
        <v>43230</v>
      </c>
      <c r="C644" s="845">
        <v>2723.07</v>
      </c>
      <c r="D644" s="817">
        <f t="shared" si="313"/>
        <v>9.3706329996034541E-3</v>
      </c>
      <c r="E644" s="844">
        <f t="shared" si="299"/>
        <v>0.29519510663800158</v>
      </c>
      <c r="F644" s="841">
        <v>7404.97</v>
      </c>
      <c r="G644" s="817">
        <f t="shared" si="314"/>
        <v>8.8652433956866745E-3</v>
      </c>
      <c r="H644" s="822">
        <f t="shared" si="315"/>
        <v>0.45432173930121583</v>
      </c>
      <c r="I644" s="866">
        <v>464024.89</v>
      </c>
      <c r="J644" s="825">
        <v>400000</v>
      </c>
      <c r="K644" s="825">
        <f t="shared" si="316"/>
        <v>2445.8699999999953</v>
      </c>
      <c r="L644" s="817">
        <f t="shared" si="317"/>
        <v>5.2989193486306964E-3</v>
      </c>
      <c r="M644" s="842">
        <f t="shared" si="300"/>
        <v>64024.890000000014</v>
      </c>
      <c r="N644" s="827">
        <f t="shared" si="305"/>
        <v>0.16006222500000003</v>
      </c>
      <c r="O644" s="811">
        <f t="shared" si="321"/>
        <v>5.8638643612086268E-2</v>
      </c>
      <c r="P644" s="842" t="b">
        <f t="shared" si="302"/>
        <v>0</v>
      </c>
      <c r="Q644" s="827">
        <f>COUNTIF(P$2:P644, TRUE)/(COUNTIF(P$2:P644,FALSE) + COUNTIF(P$2:P644, TRUE))</f>
        <v>0.49144634525660963</v>
      </c>
      <c r="R644" s="825">
        <v>347226.42</v>
      </c>
      <c r="S644" s="825">
        <f t="shared" si="297"/>
        <v>116798.47000000003</v>
      </c>
      <c r="T644" s="825">
        <v>-34375</v>
      </c>
      <c r="U644" s="825">
        <f t="shared" si="298"/>
        <v>98399.890000000014</v>
      </c>
      <c r="V644" s="827">
        <f>STDEV(D$2:D644)*SQRT(252)</f>
        <v>0.14288219336570368</v>
      </c>
      <c r="W644" s="827">
        <f>STDEV(L$2:L644)*SQRT(252)</f>
        <v>0.2762252800180221</v>
      </c>
      <c r="X644" s="826">
        <f t="shared" si="319"/>
        <v>0.75687840094146508</v>
      </c>
      <c r="Y644" s="826">
        <f t="shared" si="318"/>
        <v>0.21228557939468987</v>
      </c>
      <c r="Z644" s="832">
        <f t="shared" si="306"/>
        <v>-0.13513288163800155</v>
      </c>
    </row>
    <row r="645" spans="1:26" ht="20.100000000000001" customHeight="1" x14ac:dyDescent="0.2">
      <c r="A645" s="801">
        <f t="shared" si="320"/>
        <v>998</v>
      </c>
      <c r="B645" s="820">
        <v>43231</v>
      </c>
      <c r="C645" s="845">
        <v>2727.72</v>
      </c>
      <c r="D645" s="817">
        <f t="shared" si="313"/>
        <v>1.7076314600798495E-3</v>
      </c>
      <c r="E645" s="844">
        <f t="shared" si="299"/>
        <v>0.29740682254903811</v>
      </c>
      <c r="F645" s="841">
        <v>7402.88</v>
      </c>
      <c r="G645" s="817">
        <f t="shared" si="314"/>
        <v>-2.8224287201705686E-4</v>
      </c>
      <c r="H645" s="822">
        <f t="shared" si="315"/>
        <v>0.45391126735667858</v>
      </c>
      <c r="I645" s="866">
        <v>464999.67</v>
      </c>
      <c r="J645" s="825">
        <v>400000</v>
      </c>
      <c r="K645" s="825">
        <f t="shared" si="316"/>
        <v>974.77999999996973</v>
      </c>
      <c r="L645" s="817">
        <f t="shared" si="317"/>
        <v>2.1007062789238952E-3</v>
      </c>
      <c r="M645" s="842">
        <f t="shared" si="300"/>
        <v>64999.669999999984</v>
      </c>
      <c r="N645" s="827">
        <f t="shared" si="305"/>
        <v>0.16249917499999997</v>
      </c>
      <c r="O645" s="811">
        <f t="shared" si="321"/>
        <v>5.9471767203156299E-2</v>
      </c>
      <c r="P645" s="842" t="b">
        <f t="shared" si="302"/>
        <v>1</v>
      </c>
      <c r="Q645" s="827">
        <f>COUNTIF(P$2:P645, TRUE)/(COUNTIF(P$2:P645,FALSE) + COUNTIF(P$2:P645, TRUE))</f>
        <v>0.49223602484472051</v>
      </c>
      <c r="R645" s="825">
        <v>348195.75</v>
      </c>
      <c r="S645" s="825">
        <f t="shared" si="297"/>
        <v>116803.91999999998</v>
      </c>
      <c r="T645" s="825">
        <v>-33955</v>
      </c>
      <c r="U645" s="825">
        <f t="shared" si="298"/>
        <v>98954.669999999984</v>
      </c>
      <c r="V645" s="827">
        <f>STDEV(D$2:D645)*SQRT(252)</f>
        <v>0.14277306456679006</v>
      </c>
      <c r="W645" s="827">
        <f>STDEV(L$2:L645)*SQRT(252)</f>
        <v>0.27601172944324498</v>
      </c>
      <c r="X645" s="826">
        <f t="shared" ref="X645:X685" si="322">E645/(A645/365.25)/V645</f>
        <v>0.76236742085984766</v>
      </c>
      <c r="Y645" s="826">
        <f t="shared" si="318"/>
        <v>0.21546826043632036</v>
      </c>
      <c r="Z645" s="832">
        <f t="shared" si="306"/>
        <v>-0.13490764754903814</v>
      </c>
    </row>
    <row r="646" spans="1:26" ht="20.100000000000001" customHeight="1" x14ac:dyDescent="0.2">
      <c r="A646" s="801">
        <f t="shared" si="320"/>
        <v>1001</v>
      </c>
      <c r="B646" s="820">
        <v>43234</v>
      </c>
      <c r="C646" s="845">
        <v>2730.13</v>
      </c>
      <c r="D646" s="817">
        <f t="shared" si="313"/>
        <v>8.8352176909664831E-4</v>
      </c>
      <c r="E646" s="844">
        <f t="shared" si="299"/>
        <v>0.29855310972013471</v>
      </c>
      <c r="F646" s="841">
        <v>7411.31</v>
      </c>
      <c r="G646" s="817">
        <f t="shared" si="314"/>
        <v>1.1387460015561904E-3</v>
      </c>
      <c r="H646" s="822">
        <f t="shared" si="315"/>
        <v>0.45556690299899849</v>
      </c>
      <c r="I646" s="866">
        <v>467579.22</v>
      </c>
      <c r="J646" s="825">
        <v>400000</v>
      </c>
      <c r="K646" s="825">
        <f t="shared" si="316"/>
        <v>2579.5499999999884</v>
      </c>
      <c r="L646" s="817">
        <f t="shared" si="317"/>
        <v>5.5474232917197309E-3</v>
      </c>
      <c r="M646" s="842">
        <f t="shared" si="300"/>
        <v>67579.219999999972</v>
      </c>
      <c r="N646" s="827">
        <f t="shared" si="305"/>
        <v>0.16894804999999993</v>
      </c>
      <c r="O646" s="811">
        <f t="shared" si="321"/>
        <v>6.1646628633866114E-2</v>
      </c>
      <c r="P646" s="842" t="b">
        <f t="shared" si="302"/>
        <v>1</v>
      </c>
      <c r="Q646" s="827">
        <f>COUNTIF(P$2:P646, TRUE)/(COUNTIF(P$2:P646,FALSE) + COUNTIF(P$2:P646, TRUE))</f>
        <v>0.49302325581395351</v>
      </c>
      <c r="R646" s="825">
        <v>330265.8</v>
      </c>
      <c r="S646" s="825">
        <f t="shared" si="297"/>
        <v>137313.41999999998</v>
      </c>
      <c r="T646" s="825">
        <v>-33635</v>
      </c>
      <c r="U646" s="825">
        <f t="shared" si="298"/>
        <v>101214.21999999997</v>
      </c>
      <c r="V646" s="827">
        <f>STDEV(D$2:D646)*SQRT(252)</f>
        <v>0.14266226356718267</v>
      </c>
      <c r="W646" s="827">
        <f>STDEV(L$2:L646)*SQRT(252)</f>
        <v>0.27581457099278633</v>
      </c>
      <c r="X646" s="826">
        <f t="shared" si="322"/>
        <v>0.76360477547195693</v>
      </c>
      <c r="Y646" s="826">
        <f t="shared" si="318"/>
        <v>0.223507512355025</v>
      </c>
      <c r="Z646" s="832">
        <f t="shared" si="306"/>
        <v>-0.12960505972013478</v>
      </c>
    </row>
    <row r="647" spans="1:26" ht="20.100000000000001" customHeight="1" x14ac:dyDescent="0.2">
      <c r="A647" s="801">
        <f t="shared" si="320"/>
        <v>1002</v>
      </c>
      <c r="B647" s="820">
        <v>43235</v>
      </c>
      <c r="C647" s="845">
        <v>2711.45</v>
      </c>
      <c r="D647" s="817">
        <f t="shared" si="313"/>
        <v>-6.8421650251088012E-3</v>
      </c>
      <c r="E647" s="844">
        <f t="shared" si="299"/>
        <v>0.28966819504956132</v>
      </c>
      <c r="F647" s="841">
        <v>7351.62</v>
      </c>
      <c r="G647" s="817">
        <f t="shared" si="314"/>
        <v>-8.0539067992029083E-3</v>
      </c>
      <c r="H647" s="822">
        <f t="shared" si="315"/>
        <v>0.44384390282224012</v>
      </c>
      <c r="I647" s="866">
        <v>466861.67</v>
      </c>
      <c r="J647" s="825">
        <v>400000</v>
      </c>
      <c r="K647" s="825">
        <f t="shared" si="316"/>
        <v>-717.54999999998836</v>
      </c>
      <c r="L647" s="817">
        <f t="shared" si="317"/>
        <v>-1.5346062641534591E-3</v>
      </c>
      <c r="M647" s="842">
        <f t="shared" si="300"/>
        <v>66861.669999999984</v>
      </c>
      <c r="N647" s="827">
        <f t="shared" si="305"/>
        <v>0.16715417499999996</v>
      </c>
      <c r="O647" s="811">
        <f t="shared" si="321"/>
        <v>6.0931200018712564E-2</v>
      </c>
      <c r="P647" s="842" t="b">
        <f t="shared" si="302"/>
        <v>1</v>
      </c>
      <c r="Q647" s="827">
        <f>COUNTIF(P$2:P647, TRUE)/(COUNTIF(P$2:P647,FALSE) + COUNTIF(P$2:P647, TRUE))</f>
        <v>0.4938080495356037</v>
      </c>
      <c r="R647" s="825">
        <v>329544.32000000001</v>
      </c>
      <c r="S647" s="825">
        <f t="shared" si="297"/>
        <v>137317.34999999998</v>
      </c>
      <c r="T647" s="825">
        <v>-33595</v>
      </c>
      <c r="U647" s="825">
        <f t="shared" si="298"/>
        <v>100456.66999999998</v>
      </c>
      <c r="V647" s="827">
        <f>STDEV(D$2:D647)*SQRT(252)</f>
        <v>0.1426242316403005</v>
      </c>
      <c r="W647" s="827">
        <f>STDEV(L$2:L647)*SQRT(252)</f>
        <v>0.27560351789719828</v>
      </c>
      <c r="X647" s="826">
        <f t="shared" si="322"/>
        <v>0.74033792695325229</v>
      </c>
      <c r="Y647" s="826">
        <f t="shared" si="318"/>
        <v>0.22108280940535838</v>
      </c>
      <c r="Z647" s="832">
        <f t="shared" si="306"/>
        <v>-0.12251402004956136</v>
      </c>
    </row>
    <row r="648" spans="1:26" ht="20.100000000000001" customHeight="1" x14ac:dyDescent="0.2">
      <c r="A648" s="801">
        <f t="shared" si="320"/>
        <v>1003</v>
      </c>
      <c r="B648" s="820">
        <v>43236</v>
      </c>
      <c r="C648" s="845">
        <v>2722.46</v>
      </c>
      <c r="D648" s="817">
        <f t="shared" si="313"/>
        <v>4.0605580040200704E-3</v>
      </c>
      <c r="E648" s="844">
        <f t="shared" si="299"/>
        <v>0.29490496756149998</v>
      </c>
      <c r="F648" s="841">
        <v>7398.29</v>
      </c>
      <c r="G648" s="817">
        <f t="shared" si="314"/>
        <v>6.3482606554745857E-3</v>
      </c>
      <c r="H648" s="822">
        <f t="shared" si="315"/>
        <v>0.45300980026317345</v>
      </c>
      <c r="I648" s="866">
        <v>469460.39</v>
      </c>
      <c r="J648" s="825">
        <v>400000</v>
      </c>
      <c r="K648" s="825">
        <f t="shared" si="316"/>
        <v>2598.7200000000303</v>
      </c>
      <c r="L648" s="817">
        <f t="shared" si="317"/>
        <v>5.5663597313526086E-3</v>
      </c>
      <c r="M648" s="842">
        <f t="shared" si="300"/>
        <v>69460.390000000014</v>
      </c>
      <c r="N648" s="827">
        <f t="shared" si="305"/>
        <v>0.17365097500000004</v>
      </c>
      <c r="O648" s="811">
        <f t="shared" si="321"/>
        <v>6.323630968968097E-2</v>
      </c>
      <c r="P648" s="842" t="b">
        <f t="shared" si="302"/>
        <v>1</v>
      </c>
      <c r="Q648" s="827">
        <f>COUNTIF(P$2:P648, TRUE)/(COUNTIF(P$2:P648,FALSE) + COUNTIF(P$2:P648, TRUE))</f>
        <v>0.49459041731066461</v>
      </c>
      <c r="R648" s="825">
        <v>329098.73</v>
      </c>
      <c r="S648" s="825">
        <f t="shared" si="297"/>
        <v>140361.66000000003</v>
      </c>
      <c r="T648" s="825">
        <v>-33215</v>
      </c>
      <c r="U648" s="825">
        <f t="shared" si="298"/>
        <v>102675.39000000001</v>
      </c>
      <c r="V648" s="827">
        <f>STDEV(D$2:D648)*SQRT(252)</f>
        <v>0.14253161835311137</v>
      </c>
      <c r="W648" s="827">
        <f>STDEV(L$2:L648)*SQRT(252)</f>
        <v>0.2754074158314333</v>
      </c>
      <c r="X648" s="826">
        <f t="shared" si="322"/>
        <v>0.75345993437295689</v>
      </c>
      <c r="Y648" s="826">
        <f t="shared" si="318"/>
        <v>0.22961004698720813</v>
      </c>
      <c r="Z648" s="832">
        <f t="shared" si="306"/>
        <v>-0.12125399256149993</v>
      </c>
    </row>
    <row r="649" spans="1:26" ht="20.100000000000001" customHeight="1" x14ac:dyDescent="0.2">
      <c r="A649" s="801">
        <f t="shared" si="320"/>
        <v>1004</v>
      </c>
      <c r="B649" s="820">
        <v>43237</v>
      </c>
      <c r="C649" s="845">
        <v>2720.13</v>
      </c>
      <c r="D649" s="817">
        <f t="shared" si="313"/>
        <v>-8.5584361202733085E-4</v>
      </c>
      <c r="E649" s="844">
        <f t="shared" si="299"/>
        <v>0.29379673141682999</v>
      </c>
      <c r="F649" s="841">
        <v>7382.47</v>
      </c>
      <c r="G649" s="817">
        <f t="shared" si="314"/>
        <v>-2.1383319659001891E-3</v>
      </c>
      <c r="H649" s="822">
        <f t="shared" si="315"/>
        <v>0.44990278296050445</v>
      </c>
      <c r="I649" s="866">
        <v>471759.89</v>
      </c>
      <c r="J649" s="825">
        <v>400000</v>
      </c>
      <c r="K649" s="825">
        <f t="shared" si="316"/>
        <v>2299.5</v>
      </c>
      <c r="L649" s="817">
        <f t="shared" si="317"/>
        <v>4.8981768195608582E-3</v>
      </c>
      <c r="M649" s="842">
        <f t="shared" si="300"/>
        <v>71759.890000000014</v>
      </c>
      <c r="N649" s="827">
        <f t="shared" si="305"/>
        <v>0.17939972500000004</v>
      </c>
      <c r="O649" s="811">
        <f t="shared" si="321"/>
        <v>6.5264690793077701E-2</v>
      </c>
      <c r="P649" s="842" t="b">
        <f t="shared" si="302"/>
        <v>1</v>
      </c>
      <c r="Q649" s="827">
        <f>COUNTIF(P$2:P649, TRUE)/(COUNTIF(P$2:P649,FALSE) + COUNTIF(P$2:P649, TRUE))</f>
        <v>0.49537037037037035</v>
      </c>
      <c r="R649" s="825">
        <v>334075.42</v>
      </c>
      <c r="S649" s="825">
        <f t="shared" ref="S649:S680" si="323">I649-R649</f>
        <v>137684.47000000003</v>
      </c>
      <c r="T649" s="825">
        <v>-32602</v>
      </c>
      <c r="U649" s="825">
        <f t="shared" si="298"/>
        <v>104361.89000000001</v>
      </c>
      <c r="V649" s="827">
        <f>STDEV(D$2:D649)*SQRT(252)</f>
        <v>0.14242355455399155</v>
      </c>
      <c r="W649" s="827">
        <f>STDEV(L$2:L649)*SQRT(252)</f>
        <v>0.27520733292205884</v>
      </c>
      <c r="X649" s="826">
        <f t="shared" si="322"/>
        <v>0.75044980844476061</v>
      </c>
      <c r="Y649" s="826">
        <f t="shared" si="318"/>
        <v>0.23714735396080902</v>
      </c>
      <c r="Z649" s="832">
        <f t="shared" si="306"/>
        <v>-0.11439700641682995</v>
      </c>
    </row>
    <row r="650" spans="1:26" ht="20.100000000000001" customHeight="1" x14ac:dyDescent="0.2">
      <c r="A650" s="801">
        <f t="shared" si="320"/>
        <v>1005</v>
      </c>
      <c r="B650" s="820">
        <v>43238</v>
      </c>
      <c r="C650" s="845">
        <v>2712.97</v>
      </c>
      <c r="D650" s="817">
        <f t="shared" si="313"/>
        <v>-2.6322271362031629E-3</v>
      </c>
      <c r="E650" s="844">
        <f t="shared" si="299"/>
        <v>0.29039116455166364</v>
      </c>
      <c r="F650" s="841">
        <v>7354.33</v>
      </c>
      <c r="G650" s="817">
        <f t="shared" si="314"/>
        <v>-3.8117323876697535E-3</v>
      </c>
      <c r="H650" s="822">
        <f t="shared" si="315"/>
        <v>0.44437614156372141</v>
      </c>
      <c r="I650" s="866">
        <v>368892.97</v>
      </c>
      <c r="J650" s="825">
        <v>300000</v>
      </c>
      <c r="K650" s="825">
        <f t="shared" si="316"/>
        <v>-2866.9200000000419</v>
      </c>
      <c r="L650" s="817">
        <f t="shared" si="317"/>
        <v>-6.0770745049988075E-3</v>
      </c>
      <c r="M650" s="842">
        <f t="shared" si="300"/>
        <v>68892.969999999972</v>
      </c>
      <c r="N650" s="827">
        <f t="shared" si="305"/>
        <v>0.22964323333333325</v>
      </c>
      <c r="O650" s="811">
        <f t="shared" si="321"/>
        <v>8.3459891517412899E-2</v>
      </c>
      <c r="P650" s="842" t="b">
        <f t="shared" si="302"/>
        <v>0</v>
      </c>
      <c r="Q650" s="827">
        <f>COUNTIF(P$2:P650, TRUE)/(COUNTIF(P$2:P650,FALSE) + COUNTIF(P$2:P650, TRUE))</f>
        <v>0.49460708782742679</v>
      </c>
      <c r="R650" s="825">
        <v>331208.48</v>
      </c>
      <c r="S650" s="825">
        <f t="shared" si="323"/>
        <v>37684.489999999991</v>
      </c>
      <c r="T650" s="825">
        <v>-33172</v>
      </c>
      <c r="U650" s="825">
        <f t="shared" si="298"/>
        <v>102064.96999999997</v>
      </c>
      <c r="V650" s="827">
        <f>STDEV(D$2:D650)*SQRT(252)</f>
        <v>0.14232632938568604</v>
      </c>
      <c r="W650" s="827">
        <f>STDEV(L$2:L650)*SQRT(252)</f>
        <v>0.27502601707498364</v>
      </c>
      <c r="X650" s="826">
        <f t="shared" si="322"/>
        <v>0.74151904911669486</v>
      </c>
      <c r="Y650" s="826">
        <f t="shared" si="318"/>
        <v>0.30346180483229784</v>
      </c>
      <c r="Z650" s="832">
        <f t="shared" si="306"/>
        <v>-6.0747931218330387E-2</v>
      </c>
    </row>
    <row r="651" spans="1:26" ht="20.100000000000001" customHeight="1" x14ac:dyDescent="0.2">
      <c r="A651" s="801">
        <f t="shared" si="320"/>
        <v>1008</v>
      </c>
      <c r="B651" s="820">
        <v>43241</v>
      </c>
      <c r="C651" s="845">
        <v>2733.01</v>
      </c>
      <c r="D651" s="817">
        <f t="shared" si="313"/>
        <v>7.386738519040174E-3</v>
      </c>
      <c r="E651" s="844">
        <f t="shared" si="299"/>
        <v>0.29992294667148656</v>
      </c>
      <c r="F651" s="841">
        <v>7394.03</v>
      </c>
      <c r="G651" s="817">
        <f t="shared" si="314"/>
        <v>5.3981803916875936E-3</v>
      </c>
      <c r="H651" s="822">
        <f t="shared" si="315"/>
        <v>0.45217314452933205</v>
      </c>
      <c r="I651" s="866">
        <v>370544.71</v>
      </c>
      <c r="J651" s="825">
        <v>300000</v>
      </c>
      <c r="K651" s="825">
        <f t="shared" si="316"/>
        <v>1651.7400000000489</v>
      </c>
      <c r="L651" s="817">
        <f t="shared" si="317"/>
        <v>4.4775588973681151E-3</v>
      </c>
      <c r="M651" s="842">
        <f t="shared" si="300"/>
        <v>70544.710000000021</v>
      </c>
      <c r="N651" s="827">
        <f t="shared" si="305"/>
        <v>0.2351490333333334</v>
      </c>
      <c r="O651" s="811">
        <f t="shared" si="321"/>
        <v>8.5206532167658749E-2</v>
      </c>
      <c r="P651" s="842" t="b">
        <f t="shared" si="302"/>
        <v>0</v>
      </c>
      <c r="Q651" s="827">
        <f>COUNTIF(P$2:P651, TRUE)/(COUNTIF(P$2:P651,FALSE) + COUNTIF(P$2:P651, TRUE))</f>
        <v>0.49384615384615382</v>
      </c>
      <c r="R651" s="825">
        <v>310980.52</v>
      </c>
      <c r="S651" s="825">
        <f t="shared" si="323"/>
        <v>59564.19</v>
      </c>
      <c r="T651" s="825">
        <v>-33411</v>
      </c>
      <c r="U651" s="825">
        <f t="shared" si="298"/>
        <v>103955.71000000002</v>
      </c>
      <c r="V651" s="827">
        <f>STDEV(D$2:D651)*SQRT(252)</f>
        <v>0.14228245000566273</v>
      </c>
      <c r="W651" s="827">
        <f>STDEV(L$2:L651)*SQRT(252)</f>
        <v>0.27482444645236265</v>
      </c>
      <c r="X651" s="826">
        <f t="shared" si="322"/>
        <v>0.76381476965862527</v>
      </c>
      <c r="Y651" s="826">
        <f t="shared" si="318"/>
        <v>0.31003985732553174</v>
      </c>
      <c r="Z651" s="832">
        <f t="shared" si="306"/>
        <v>-6.4773913338153161E-2</v>
      </c>
    </row>
    <row r="652" spans="1:26" ht="20.100000000000001" customHeight="1" x14ac:dyDescent="0.2">
      <c r="A652" s="801">
        <f t="shared" si="320"/>
        <v>1009</v>
      </c>
      <c r="B652" s="820">
        <v>43242</v>
      </c>
      <c r="C652" s="845">
        <v>2724.44</v>
      </c>
      <c r="D652" s="817">
        <f t="shared" si="313"/>
        <v>-3.1357367883762454E-3</v>
      </c>
      <c r="E652" s="844">
        <f t="shared" si="299"/>
        <v>0.29584673046555432</v>
      </c>
      <c r="F652" s="841">
        <v>7378.45</v>
      </c>
      <c r="G652" s="817">
        <f t="shared" si="314"/>
        <v>-2.1071053268650422E-3</v>
      </c>
      <c r="H652" s="822">
        <f t="shared" si="315"/>
        <v>0.44911326276096392</v>
      </c>
      <c r="I652" s="866">
        <v>369224.1</v>
      </c>
      <c r="J652" s="825">
        <v>300000</v>
      </c>
      <c r="K652" s="825">
        <f t="shared" si="316"/>
        <v>-1320.6100000000442</v>
      </c>
      <c r="L652" s="817">
        <f t="shared" si="317"/>
        <v>-3.5639693790259323E-3</v>
      </c>
      <c r="M652" s="842">
        <f t="shared" si="300"/>
        <v>69224.099999999977</v>
      </c>
      <c r="N652" s="827">
        <f t="shared" si="305"/>
        <v>0.23074699999999992</v>
      </c>
      <c r="O652" s="811">
        <f t="shared" si="321"/>
        <v>8.3528584489593632E-2</v>
      </c>
      <c r="P652" s="842" t="b">
        <f t="shared" si="302"/>
        <v>0</v>
      </c>
      <c r="Q652" s="827">
        <f>COUNTIF(P$2:P652, TRUE)/(COUNTIF(P$2:P652,FALSE) + COUNTIF(P$2:P652, TRUE))</f>
        <v>0.49308755760368661</v>
      </c>
      <c r="R652" s="825">
        <v>309642.99</v>
      </c>
      <c r="S652" s="825">
        <f t="shared" si="323"/>
        <v>59581.109999999986</v>
      </c>
      <c r="T652" s="825">
        <v>-33552</v>
      </c>
      <c r="U652" s="825">
        <f t="shared" si="298"/>
        <v>102776.09999999998</v>
      </c>
      <c r="V652" s="827">
        <f>STDEV(D$2:D652)*SQRT(252)</f>
        <v>0.14219026559539735</v>
      </c>
      <c r="W652" s="827">
        <f>STDEV(L$2:L652)*SQRT(252)</f>
        <v>0.27462480184217142</v>
      </c>
      <c r="X652" s="826">
        <f t="shared" si="322"/>
        <v>0.75317512290461208</v>
      </c>
      <c r="Y652" s="826">
        <f t="shared" si="318"/>
        <v>0.30415528360616906</v>
      </c>
      <c r="Z652" s="832">
        <f t="shared" si="306"/>
        <v>-6.5099730465554395E-2</v>
      </c>
    </row>
    <row r="653" spans="1:26" ht="20.100000000000001" customHeight="1" x14ac:dyDescent="0.2">
      <c r="A653" s="801">
        <f t="shared" si="320"/>
        <v>1010</v>
      </c>
      <c r="B653" s="820">
        <v>43243</v>
      </c>
      <c r="C653" s="845">
        <v>2733.29</v>
      </c>
      <c r="D653" s="817">
        <f t="shared" si="313"/>
        <v>3.2483739777715453E-3</v>
      </c>
      <c r="E653" s="844">
        <f t="shared" si="299"/>
        <v>0.30005612526397896</v>
      </c>
      <c r="F653" s="841">
        <v>7425.95</v>
      </c>
      <c r="G653" s="817">
        <f t="shared" si="314"/>
        <v>6.4376664475601243E-3</v>
      </c>
      <c r="H653" s="822">
        <f t="shared" si="315"/>
        <v>0.45844217059135456</v>
      </c>
      <c r="I653" s="866">
        <v>369307.32</v>
      </c>
      <c r="J653" s="825">
        <v>300000</v>
      </c>
      <c r="K653" s="825">
        <f t="shared" si="316"/>
        <v>83.220000000030268</v>
      </c>
      <c r="L653" s="817">
        <f t="shared" si="317"/>
        <v>2.2539157113533561E-4</v>
      </c>
      <c r="M653" s="842">
        <f t="shared" si="300"/>
        <v>69307.320000000007</v>
      </c>
      <c r="N653" s="827">
        <f t="shared" si="305"/>
        <v>0.23102440000000002</v>
      </c>
      <c r="O653" s="811">
        <f t="shared" si="321"/>
        <v>8.3546200099009912E-2</v>
      </c>
      <c r="P653" s="842" t="b">
        <f t="shared" si="302"/>
        <v>0</v>
      </c>
      <c r="Q653" s="827">
        <f>COUNTIF(P$2:P653, TRUE)/(COUNTIF(P$2:P653,FALSE) + COUNTIF(P$2:P653, TRUE))</f>
        <v>0.49233128834355827</v>
      </c>
      <c r="R653" s="825">
        <v>304541.98</v>
      </c>
      <c r="S653" s="825">
        <f t="shared" si="323"/>
        <v>64765.340000000026</v>
      </c>
      <c r="T653" s="825">
        <v>-33811</v>
      </c>
      <c r="U653" s="825">
        <f t="shared" si="298"/>
        <v>103118.32</v>
      </c>
      <c r="V653" s="827">
        <f>STDEV(D$2:D653)*SQRT(252)</f>
        <v>0.1420915986337544</v>
      </c>
      <c r="W653" s="827">
        <f>STDEV(L$2:L653)*SQRT(252)</f>
        <v>0.27441355998676326</v>
      </c>
      <c r="X653" s="826">
        <f t="shared" si="322"/>
        <v>0.76366510643891128</v>
      </c>
      <c r="Y653" s="826">
        <f t="shared" si="318"/>
        <v>0.30445361411090577</v>
      </c>
      <c r="Z653" s="832">
        <f t="shared" si="306"/>
        <v>-6.9031725263978938E-2</v>
      </c>
    </row>
    <row r="654" spans="1:26" ht="20.100000000000001" customHeight="1" x14ac:dyDescent="0.2">
      <c r="A654" s="801">
        <f t="shared" si="320"/>
        <v>1011</v>
      </c>
      <c r="B654" s="820">
        <v>43244</v>
      </c>
      <c r="C654" s="845">
        <v>2727.76</v>
      </c>
      <c r="D654" s="817">
        <f t="shared" si="313"/>
        <v>-2.0232028068736742E-3</v>
      </c>
      <c r="E654" s="844">
        <f t="shared" si="299"/>
        <v>0.29742584806225153</v>
      </c>
      <c r="F654" s="841">
        <v>7424.42</v>
      </c>
      <c r="G654" s="817">
        <f t="shared" si="314"/>
        <v>-2.0603424477672828E-4</v>
      </c>
      <c r="H654" s="822">
        <f t="shared" si="315"/>
        <v>0.45814168156018625</v>
      </c>
      <c r="I654" s="866">
        <v>369717.91</v>
      </c>
      <c r="J654" s="825">
        <v>300000</v>
      </c>
      <c r="K654" s="825">
        <f t="shared" si="316"/>
        <v>410.5899999999674</v>
      </c>
      <c r="L654" s="817">
        <f t="shared" si="317"/>
        <v>1.1117840826982996E-3</v>
      </c>
      <c r="M654" s="842">
        <f t="shared" si="300"/>
        <v>69717.909999999974</v>
      </c>
      <c r="N654" s="827">
        <f t="shared" si="305"/>
        <v>0.23239303333333325</v>
      </c>
      <c r="O654" s="811">
        <f t="shared" si="321"/>
        <v>8.3958017235410451E-2</v>
      </c>
      <c r="P654" s="842" t="b">
        <f t="shared" si="302"/>
        <v>1</v>
      </c>
      <c r="Q654" s="827">
        <f>COUNTIF(P$2:P654, TRUE)/(COUNTIF(P$2:P654,FALSE) + COUNTIF(P$2:P654, TRUE))</f>
        <v>0.49310872894333846</v>
      </c>
      <c r="R654" s="825">
        <v>306982</v>
      </c>
      <c r="S654" s="825">
        <f t="shared" si="323"/>
        <v>62735.909999999974</v>
      </c>
      <c r="T654" s="825">
        <v>-33834</v>
      </c>
      <c r="U654" s="825">
        <f t="shared" si="298"/>
        <v>103551.90999999997</v>
      </c>
      <c r="V654" s="827">
        <f>STDEV(D$2:D654)*SQRT(252)</f>
        <v>0.14199070268800965</v>
      </c>
      <c r="W654" s="827">
        <f>STDEV(L$2:L654)*SQRT(252)</f>
        <v>0.27420291468288271</v>
      </c>
      <c r="X654" s="826">
        <f t="shared" si="322"/>
        <v>0.75675947832872026</v>
      </c>
      <c r="Y654" s="826">
        <f t="shared" si="318"/>
        <v>0.30618936830962717</v>
      </c>
      <c r="Z654" s="832">
        <f t="shared" si="306"/>
        <v>-6.5032814728918281E-2</v>
      </c>
    </row>
    <row r="655" spans="1:26" ht="20.100000000000001" customHeight="1" x14ac:dyDescent="0.2">
      <c r="A655" s="801">
        <f t="shared" si="320"/>
        <v>1012</v>
      </c>
      <c r="B655" s="820">
        <v>43245</v>
      </c>
      <c r="C655" s="845">
        <v>2721.33</v>
      </c>
      <c r="D655" s="817">
        <f t="shared" si="313"/>
        <v>-2.3572455054697958E-3</v>
      </c>
      <c r="E655" s="844">
        <f t="shared" si="299"/>
        <v>0.29436749681322649</v>
      </c>
      <c r="F655" s="841">
        <v>7433.85</v>
      </c>
      <c r="G655" s="817">
        <f t="shared" si="314"/>
        <v>1.2701328858012197E-3</v>
      </c>
      <c r="H655" s="822">
        <f t="shared" si="315"/>
        <v>0.45999371526209332</v>
      </c>
      <c r="I655" s="866">
        <v>370226.78</v>
      </c>
      <c r="J655" s="825">
        <v>300000</v>
      </c>
      <c r="K655" s="825">
        <f t="shared" si="316"/>
        <v>508.87000000005355</v>
      </c>
      <c r="L655" s="817">
        <f t="shared" si="317"/>
        <v>1.3763736790572401E-3</v>
      </c>
      <c r="M655" s="842">
        <f t="shared" si="300"/>
        <v>70226.780000000028</v>
      </c>
      <c r="N655" s="827">
        <f t="shared" si="305"/>
        <v>0.23408926666666677</v>
      </c>
      <c r="O655" s="811">
        <f t="shared" si="321"/>
        <v>8.448725755928857E-2</v>
      </c>
      <c r="P655" s="842" t="b">
        <f t="shared" si="302"/>
        <v>1</v>
      </c>
      <c r="Q655" s="827">
        <f>COUNTIF(P$2:P655, TRUE)/(COUNTIF(P$2:P655,FALSE) + COUNTIF(P$2:P655, TRUE))</f>
        <v>0.49388379204892968</v>
      </c>
      <c r="R655" s="825">
        <v>324879.32</v>
      </c>
      <c r="S655" s="825">
        <f t="shared" si="323"/>
        <v>45347.460000000021</v>
      </c>
      <c r="T655" s="825">
        <v>-33723</v>
      </c>
      <c r="U655" s="825">
        <f t="shared" si="298"/>
        <v>103949.78000000003</v>
      </c>
      <c r="V655" s="827">
        <f>STDEV(D$2:D655)*SQRT(252)</f>
        <v>0.14189240854304816</v>
      </c>
      <c r="W655" s="827">
        <f>STDEV(L$2:L655)*SQRT(252)</f>
        <v>0.27399300064676285</v>
      </c>
      <c r="X655" s="826">
        <f t="shared" si="322"/>
        <v>0.74875615636297466</v>
      </c>
      <c r="Y655" s="826">
        <f t="shared" si="318"/>
        <v>0.3083555322940939</v>
      </c>
      <c r="Z655" s="832">
        <f t="shared" si="306"/>
        <v>-6.0278230146559725E-2</v>
      </c>
    </row>
    <row r="656" spans="1:26" ht="20.100000000000001" customHeight="1" x14ac:dyDescent="0.2">
      <c r="A656" s="801">
        <f t="shared" si="320"/>
        <v>1015</v>
      </c>
      <c r="B656" s="820">
        <v>43248</v>
      </c>
      <c r="C656" s="845">
        <v>2689.86</v>
      </c>
      <c r="D656" s="817">
        <f t="shared" si="313"/>
        <v>-1.1564198388288007E-2</v>
      </c>
      <c r="E656" s="844">
        <f t="shared" si="299"/>
        <v>0.27939917429272659</v>
      </c>
      <c r="F656" s="841">
        <v>7396.59</v>
      </c>
      <c r="G656" s="817">
        <f t="shared" si="314"/>
        <v>-5.0122076716641066E-3</v>
      </c>
      <c r="H656" s="822">
        <f t="shared" si="315"/>
        <v>0.4526759235618753</v>
      </c>
      <c r="I656" s="866">
        <v>367527</v>
      </c>
      <c r="J656" s="825">
        <v>300000</v>
      </c>
      <c r="K656" s="825">
        <f t="shared" si="316"/>
        <v>-2699.7800000000279</v>
      </c>
      <c r="L656" s="817">
        <f t="shared" si="317"/>
        <v>-7.292233155040885E-3</v>
      </c>
      <c r="M656" s="842">
        <f t="shared" si="300"/>
        <v>67527</v>
      </c>
      <c r="N656" s="827">
        <f t="shared" ref="N656:N685" si="324">M656/J656</f>
        <v>0.22509000000000001</v>
      </c>
      <c r="O656" s="811">
        <f t="shared" si="321"/>
        <v>8.0999135467980307E-2</v>
      </c>
      <c r="P656" s="842" t="b">
        <f t="shared" si="302"/>
        <v>1</v>
      </c>
      <c r="Q656" s="827">
        <f>COUNTIF(P$2:P656, TRUE)/(COUNTIF(P$2:P656,FALSE) + COUNTIF(P$2:P656, TRUE))</f>
        <v>0.4946564885496183</v>
      </c>
      <c r="R656" s="825">
        <v>334136.78000000003</v>
      </c>
      <c r="S656" s="825">
        <f t="shared" si="323"/>
        <v>33390.219999999972</v>
      </c>
      <c r="T656" s="825">
        <v>-33965</v>
      </c>
      <c r="U656" s="825">
        <f t="shared" si="298"/>
        <v>101492</v>
      </c>
      <c r="V656" s="827">
        <f>STDEV(D$2:D656)*SQRT(252)</f>
        <v>0.14197923510555985</v>
      </c>
      <c r="W656" s="827">
        <f>STDEV(L$2:L656)*SQRT(252)</f>
        <v>0.27382676083750657</v>
      </c>
      <c r="X656" s="826">
        <f t="shared" si="322"/>
        <v>0.70814871028331094</v>
      </c>
      <c r="Y656" s="826">
        <f t="shared" si="318"/>
        <v>0.29580430787787965</v>
      </c>
      <c r="Z656" s="832">
        <f t="shared" ref="Z656:Z685" si="325">-(E656-N656)</f>
        <v>-5.4309174292726581E-2</v>
      </c>
    </row>
    <row r="657" spans="1:26" ht="20.100000000000001" customHeight="1" x14ac:dyDescent="0.2">
      <c r="A657" s="801">
        <f t="shared" si="320"/>
        <v>1016</v>
      </c>
      <c r="B657" s="820">
        <v>43249</v>
      </c>
      <c r="C657" s="845">
        <v>2724.01</v>
      </c>
      <c r="D657" s="817">
        <f t="shared" si="313"/>
        <v>1.2695828035659882E-2</v>
      </c>
      <c r="E657" s="844">
        <f t="shared" si="299"/>
        <v>0.29564220619851228</v>
      </c>
      <c r="F657" s="841">
        <v>7462.45</v>
      </c>
      <c r="G657" s="817">
        <f t="shared" si="314"/>
        <v>8.9041031069722228E-3</v>
      </c>
      <c r="H657" s="822">
        <f t="shared" si="315"/>
        <v>0.46561069976628633</v>
      </c>
      <c r="I657" s="866">
        <v>372747.09</v>
      </c>
      <c r="J657" s="825">
        <v>300000</v>
      </c>
      <c r="K657" s="825">
        <f t="shared" si="316"/>
        <v>5220.0900000000256</v>
      </c>
      <c r="L657" s="817">
        <f t="shared" si="317"/>
        <v>1.420328302410442E-2</v>
      </c>
      <c r="M657" s="842">
        <f t="shared" si="300"/>
        <v>72747.090000000026</v>
      </c>
      <c r="N657" s="827">
        <f t="shared" si="324"/>
        <v>0.24249030000000008</v>
      </c>
      <c r="O657" s="811">
        <f t="shared" si="321"/>
        <v>8.7174785506889799E-2</v>
      </c>
      <c r="P657" s="842" t="b">
        <f t="shared" si="302"/>
        <v>1</v>
      </c>
      <c r="Q657" s="827">
        <f>COUNTIF(P$2:P657, TRUE)/(COUNTIF(P$2:P657,FALSE) + COUNTIF(P$2:P657, TRUE))</f>
        <v>0.49542682926829268</v>
      </c>
      <c r="R657" s="825">
        <v>332957.99</v>
      </c>
      <c r="S657" s="825">
        <f t="shared" si="323"/>
        <v>39789.100000000035</v>
      </c>
      <c r="T657" s="825">
        <v>-33334</v>
      </c>
      <c r="U657" s="825">
        <f t="shared" si="298"/>
        <v>106081.09000000003</v>
      </c>
      <c r="V657" s="827">
        <f>STDEV(D$2:D657)*SQRT(252)</f>
        <v>0.14207494036026391</v>
      </c>
      <c r="W657" s="827">
        <f>STDEV(L$2:L657)*SQRT(252)</f>
        <v>0.27374796229721837</v>
      </c>
      <c r="X657" s="826">
        <f t="shared" si="322"/>
        <v>0.74807556410732035</v>
      </c>
      <c r="Y657" s="826">
        <f t="shared" si="318"/>
        <v>0.31844907547564094</v>
      </c>
      <c r="Z657" s="832">
        <f t="shared" si="325"/>
        <v>-5.3151906198512205E-2</v>
      </c>
    </row>
    <row r="658" spans="1:26" ht="20.100000000000001" customHeight="1" x14ac:dyDescent="0.2">
      <c r="A658" s="801">
        <f t="shared" si="320"/>
        <v>1017</v>
      </c>
      <c r="B658" s="820">
        <v>43250</v>
      </c>
      <c r="C658" s="845">
        <v>2705.27</v>
      </c>
      <c r="D658" s="817">
        <f t="shared" si="313"/>
        <v>-6.8795635845684249E-3</v>
      </c>
      <c r="E658" s="844">
        <f t="shared" si="299"/>
        <v>0.28672875325811908</v>
      </c>
      <c r="F658" s="841">
        <v>7442.11</v>
      </c>
      <c r="G658" s="817">
        <f t="shared" si="314"/>
        <v>-2.7256464029909943E-3</v>
      </c>
      <c r="H658" s="822">
        <f t="shared" si="315"/>
        <v>0.46161596323428322</v>
      </c>
      <c r="I658" s="867">
        <v>367531.04</v>
      </c>
      <c r="J658" s="825">
        <v>300000</v>
      </c>
      <c r="K658" s="825">
        <f t="shared" si="316"/>
        <v>-5216.0500000000466</v>
      </c>
      <c r="L658" s="817">
        <f t="shared" si="317"/>
        <v>-1.3993536475362011E-2</v>
      </c>
      <c r="M658" s="847">
        <f t="shared" si="300"/>
        <v>67531.039999999979</v>
      </c>
      <c r="N658" s="827">
        <f t="shared" si="324"/>
        <v>0.22510346666666659</v>
      </c>
      <c r="O658" s="811">
        <f t="shared" si="321"/>
        <v>8.0844681612585997E-2</v>
      </c>
      <c r="P658" s="842" t="b">
        <f t="shared" si="302"/>
        <v>0</v>
      </c>
      <c r="Q658" s="827">
        <f>COUNTIF(P$2:P658, TRUE)/(COUNTIF(P$2:P658,FALSE) + COUNTIF(P$2:P658, TRUE))</f>
        <v>0.49467275494672752</v>
      </c>
      <c r="R658" s="825">
        <v>334660.08</v>
      </c>
      <c r="S658" s="825">
        <f t="shared" si="323"/>
        <v>32870.959999999963</v>
      </c>
      <c r="T658" s="825">
        <v>-34339</v>
      </c>
      <c r="U658" s="825">
        <f t="shared" si="298"/>
        <v>101870.03999999998</v>
      </c>
      <c r="V658" s="827">
        <f>STDEV(D$2:D658)*SQRT(252)</f>
        <v>0.14203882295195239</v>
      </c>
      <c r="W658" s="827">
        <f>STDEV(L$2:L658)*SQRT(252)</f>
        <v>0.27368824315462342</v>
      </c>
      <c r="X658" s="826">
        <f t="shared" si="322"/>
        <v>0.72499239889895384</v>
      </c>
      <c r="Y658" s="826">
        <f t="shared" si="318"/>
        <v>0.29538967651932285</v>
      </c>
      <c r="Z658" s="832">
        <f t="shared" si="325"/>
        <v>-6.1625286591452499E-2</v>
      </c>
    </row>
    <row r="659" spans="1:26" ht="20.100000000000001" customHeight="1" x14ac:dyDescent="0.2">
      <c r="A659" s="801">
        <f t="shared" si="320"/>
        <v>1019</v>
      </c>
      <c r="B659" s="820">
        <v>43252</v>
      </c>
      <c r="C659" s="845">
        <v>2734.62</v>
      </c>
      <c r="D659" s="817">
        <f t="shared" si="313"/>
        <v>1.0849194350286629E-2</v>
      </c>
      <c r="E659" s="844">
        <f t="shared" si="299"/>
        <v>0.30068872357831844</v>
      </c>
      <c r="F659" s="841">
        <v>7555.33</v>
      </c>
      <c r="G659" s="817">
        <f t="shared" si="314"/>
        <v>1.5213427374763375E-2</v>
      </c>
      <c r="H659" s="822">
        <f t="shared" si="315"/>
        <v>0.48385215154074279</v>
      </c>
      <c r="I659" s="866">
        <v>369254.27</v>
      </c>
      <c r="J659" s="825">
        <v>300000</v>
      </c>
      <c r="K659" s="825">
        <f t="shared" si="316"/>
        <v>1723.2300000000396</v>
      </c>
      <c r="L659" s="817">
        <f t="shared" si="317"/>
        <v>4.6886652077061022E-3</v>
      </c>
      <c r="M659" s="842">
        <f t="shared" si="300"/>
        <v>69254.270000000019</v>
      </c>
      <c r="N659" s="827">
        <f t="shared" si="324"/>
        <v>0.23084756666666673</v>
      </c>
      <c r="O659" s="811">
        <f t="shared" si="321"/>
        <v>8.2744920240431813E-2</v>
      </c>
      <c r="P659" s="842" t="b">
        <f t="shared" si="302"/>
        <v>0</v>
      </c>
      <c r="Q659" s="827">
        <f>COUNTIF(P$2:P659, TRUE)/(COUNTIF(P$2:P659,FALSE) + COUNTIF(P$2:P659, TRUE))</f>
        <v>0.4939209726443769</v>
      </c>
      <c r="R659" s="825">
        <v>331627.31</v>
      </c>
      <c r="S659" s="825">
        <f t="shared" si="323"/>
        <v>37626.960000000021</v>
      </c>
      <c r="T659" s="825">
        <v>-34339</v>
      </c>
      <c r="U659" s="825">
        <f t="shared" si="298"/>
        <v>103593.27000000002</v>
      </c>
      <c r="V659" s="827">
        <f>STDEV(D$2:D659)*SQRT(252)</f>
        <v>0.14207729241612863</v>
      </c>
      <c r="W659" s="827">
        <f>STDEV(L$2:L659)*SQRT(252)</f>
        <v>0.27349145962953619</v>
      </c>
      <c r="X659" s="826">
        <f t="shared" si="322"/>
        <v>0.75859243948823241</v>
      </c>
      <c r="Y659" s="826">
        <f t="shared" si="318"/>
        <v>0.30255028933084693</v>
      </c>
      <c r="Z659" s="832">
        <f t="shared" si="325"/>
        <v>-6.9841156911651714E-2</v>
      </c>
    </row>
    <row r="660" spans="1:26" ht="20.100000000000001" customHeight="1" x14ac:dyDescent="0.2">
      <c r="A660" s="801">
        <f t="shared" si="320"/>
        <v>1022</v>
      </c>
      <c r="B660" s="820">
        <v>43255</v>
      </c>
      <c r="C660" s="845">
        <v>2746.87</v>
      </c>
      <c r="D660" s="817">
        <f t="shared" si="313"/>
        <v>4.4795986279629347E-3</v>
      </c>
      <c r="E660" s="844">
        <f t="shared" si="299"/>
        <v>0.30651528699986674</v>
      </c>
      <c r="F660" s="841">
        <v>7606.46</v>
      </c>
      <c r="G660" s="817">
        <f t="shared" si="314"/>
        <v>6.7674079093831916E-3</v>
      </c>
      <c r="H660" s="822">
        <f t="shared" si="315"/>
        <v>0.49389398432743492</v>
      </c>
      <c r="I660" s="866">
        <v>371020.96</v>
      </c>
      <c r="J660" s="825">
        <v>300000</v>
      </c>
      <c r="K660" s="825">
        <f t="shared" si="316"/>
        <v>1766.6900000000023</v>
      </c>
      <c r="L660" s="817">
        <f t="shared" si="317"/>
        <v>4.7844808944254111E-3</v>
      </c>
      <c r="M660" s="842">
        <f t="shared" si="300"/>
        <v>71020.960000000021</v>
      </c>
      <c r="N660" s="827">
        <f t="shared" si="324"/>
        <v>0.23673653333333342</v>
      </c>
      <c r="O660" s="811">
        <f t="shared" si="321"/>
        <v>8.460667201565561E-2</v>
      </c>
      <c r="P660" s="842" t="b">
        <f t="shared" si="302"/>
        <v>1</v>
      </c>
      <c r="Q660" s="827">
        <f>COUNTIF(P$2:P660, TRUE)/(COUNTIF(P$2:P660,FALSE) + COUNTIF(P$2:P660, TRUE))</f>
        <v>0.49468892261001518</v>
      </c>
      <c r="R660" s="825">
        <v>333393.40999999997</v>
      </c>
      <c r="S660" s="825">
        <f t="shared" si="323"/>
        <v>37627.550000000047</v>
      </c>
      <c r="T660" s="825">
        <v>-33454</v>
      </c>
      <c r="U660" s="825">
        <f t="shared" si="298"/>
        <v>104474.96000000002</v>
      </c>
      <c r="V660" s="827">
        <f>STDEV(D$2:D660)*SQRT(252)</f>
        <v>0.14199113164686064</v>
      </c>
      <c r="W660" s="827">
        <f>STDEV(L$2:L660)*SQRT(252)</f>
        <v>0.27329565666030325</v>
      </c>
      <c r="X660" s="826">
        <f t="shared" si="322"/>
        <v>0.7714899047863113</v>
      </c>
      <c r="Y660" s="826">
        <f t="shared" si="318"/>
        <v>0.30957927780322791</v>
      </c>
      <c r="Z660" s="832">
        <f t="shared" si="325"/>
        <v>-6.9778753666533327E-2</v>
      </c>
    </row>
    <row r="661" spans="1:26" ht="20.100000000000001" customHeight="1" x14ac:dyDescent="0.2">
      <c r="A661" s="801">
        <f t="shared" si="320"/>
        <v>1023</v>
      </c>
      <c r="B661" s="820">
        <v>43256</v>
      </c>
      <c r="C661" s="845">
        <v>2748.8</v>
      </c>
      <c r="D661" s="817">
        <f t="shared" ref="D661:D667" si="326">(C661-C660)/C660</f>
        <v>7.0261788872436309E-4</v>
      </c>
      <c r="E661" s="844">
        <f t="shared" si="299"/>
        <v>0.30743326801240467</v>
      </c>
      <c r="F661" s="841">
        <v>7637.86</v>
      </c>
      <c r="G661" s="817">
        <f t="shared" si="314"/>
        <v>4.1280700877937481E-3</v>
      </c>
      <c r="H661" s="822">
        <f t="shared" si="315"/>
        <v>0.50006088339847199</v>
      </c>
      <c r="I661" s="866">
        <v>370163.04</v>
      </c>
      <c r="J661" s="825">
        <v>300000</v>
      </c>
      <c r="K661" s="825">
        <f t="shared" si="316"/>
        <v>-857.92000000004191</v>
      </c>
      <c r="L661" s="817">
        <f t="shared" si="317"/>
        <v>-2.3123221933338805E-3</v>
      </c>
      <c r="M661" s="842">
        <f t="shared" si="300"/>
        <v>70163.039999999979</v>
      </c>
      <c r="N661" s="827">
        <f t="shared" si="324"/>
        <v>0.23387679999999994</v>
      </c>
      <c r="O661" s="811">
        <f t="shared" si="321"/>
        <v>8.3502933724340159E-2</v>
      </c>
      <c r="P661" s="842" t="b">
        <f t="shared" si="302"/>
        <v>0</v>
      </c>
      <c r="Q661" s="827">
        <f>COUNTIF(P$2:P661, TRUE)/(COUNTIF(P$2:P661,FALSE) + COUNTIF(P$2:P661, TRUE))</f>
        <v>0.49393939393939396</v>
      </c>
      <c r="R661" s="825">
        <v>329615.94</v>
      </c>
      <c r="S661" s="825">
        <f t="shared" si="323"/>
        <v>40547.099999999977</v>
      </c>
      <c r="T661" s="825">
        <v>-33418</v>
      </c>
      <c r="U661" s="825">
        <f t="shared" si="298"/>
        <v>103581.03999999998</v>
      </c>
      <c r="V661" s="827">
        <f>STDEV(D$2:D661)*SQRT(252)</f>
        <v>0.14188328311500059</v>
      </c>
      <c r="W661" s="827">
        <f>STDEV(L$2:L661)*SQRT(252)</f>
        <v>0.27309377092885773</v>
      </c>
      <c r="X661" s="826">
        <f t="shared" si="322"/>
        <v>0.77363164003842477</v>
      </c>
      <c r="Y661" s="826">
        <f t="shared" si="318"/>
        <v>0.30576652642177288</v>
      </c>
      <c r="Z661" s="832">
        <f t="shared" si="325"/>
        <v>-7.355646801240473E-2</v>
      </c>
    </row>
    <row r="662" spans="1:26" ht="20.100000000000001" customHeight="1" x14ac:dyDescent="0.2">
      <c r="A662" s="801">
        <f t="shared" si="320"/>
        <v>1024</v>
      </c>
      <c r="B662" s="820">
        <v>43257</v>
      </c>
      <c r="C662" s="845">
        <v>2772.35</v>
      </c>
      <c r="D662" s="817">
        <f t="shared" si="326"/>
        <v>8.5673748544818559E-3</v>
      </c>
      <c r="E662" s="844">
        <f t="shared" si="299"/>
        <v>0.31863453891668719</v>
      </c>
      <c r="F662" s="841">
        <v>7689.24</v>
      </c>
      <c r="G662" s="817">
        <f t="shared" si="314"/>
        <v>6.7270151586962985E-3</v>
      </c>
      <c r="H662" s="822">
        <f t="shared" si="315"/>
        <v>0.51015181570006085</v>
      </c>
      <c r="I662" s="866">
        <v>374822.41</v>
      </c>
      <c r="J662" s="825">
        <v>300000</v>
      </c>
      <c r="K662" s="825">
        <f t="shared" si="316"/>
        <v>4659.3699999999953</v>
      </c>
      <c r="L662" s="817">
        <f t="shared" si="317"/>
        <v>1.2587345295197477E-2</v>
      </c>
      <c r="M662" s="842">
        <f t="shared" si="300"/>
        <v>74822.409999999974</v>
      </c>
      <c r="N662" s="827">
        <f t="shared" si="324"/>
        <v>0.24940803333333325</v>
      </c>
      <c r="O662" s="811">
        <f t="shared" si="321"/>
        <v>8.8961215014648404E-2</v>
      </c>
      <c r="P662" s="842" t="b">
        <f t="shared" si="302"/>
        <v>1</v>
      </c>
      <c r="Q662" s="827">
        <f>COUNTIF(P$2:P662, TRUE)/(COUNTIF(P$2:P662,FALSE) + COUNTIF(P$2:P662, TRUE))</f>
        <v>0.49470499243570348</v>
      </c>
      <c r="R662" s="825">
        <v>325869.38</v>
      </c>
      <c r="S662" s="825">
        <f t="shared" si="323"/>
        <v>48953.02999999997</v>
      </c>
      <c r="T662" s="825">
        <v>-33319</v>
      </c>
      <c r="U662" s="825">
        <f t="shared" si="298"/>
        <v>108141.40999999997</v>
      </c>
      <c r="V662" s="827">
        <f>STDEV(D$2:D662)*SQRT(252)</f>
        <v>0.14186436211681544</v>
      </c>
      <c r="W662" s="827">
        <f>STDEV(L$2:L662)*SQRT(252)</f>
        <v>0.27298737663475708</v>
      </c>
      <c r="X662" s="826">
        <f t="shared" si="322"/>
        <v>0.80114256841576503</v>
      </c>
      <c r="Y662" s="826">
        <f t="shared" si="318"/>
        <v>0.32588032498540725</v>
      </c>
      <c r="Z662" s="832">
        <f t="shared" si="325"/>
        <v>-6.9226505583353942E-2</v>
      </c>
    </row>
    <row r="663" spans="1:26" ht="20.100000000000001" customHeight="1" x14ac:dyDescent="0.2">
      <c r="A663" s="801">
        <f t="shared" si="320"/>
        <v>1025</v>
      </c>
      <c r="B663" s="820">
        <v>43258</v>
      </c>
      <c r="C663" s="845">
        <v>2770.37</v>
      </c>
      <c r="D663" s="817">
        <f t="shared" si="326"/>
        <v>-7.1419553808141768E-4</v>
      </c>
      <c r="E663" s="844">
        <f t="shared" si="299"/>
        <v>0.31769277601263285</v>
      </c>
      <c r="F663" s="841">
        <v>7635.07</v>
      </c>
      <c r="G663" s="817">
        <f t="shared" si="314"/>
        <v>-7.0449095099125629E-3</v>
      </c>
      <c r="H663" s="822">
        <f t="shared" si="315"/>
        <v>0.49951293281222381</v>
      </c>
      <c r="I663" s="866">
        <v>377198.67</v>
      </c>
      <c r="J663" s="825">
        <v>300000</v>
      </c>
      <c r="K663" s="825">
        <f t="shared" si="316"/>
        <v>2376.2600000000093</v>
      </c>
      <c r="L663" s="817">
        <f t="shared" si="317"/>
        <v>6.3396956441318687E-3</v>
      </c>
      <c r="M663" s="842">
        <f t="shared" si="300"/>
        <v>77198.669999999984</v>
      </c>
      <c r="N663" s="827">
        <f t="shared" si="324"/>
        <v>0.25732889999999997</v>
      </c>
      <c r="O663" s="811">
        <f t="shared" si="321"/>
        <v>9.1696956804878035E-2</v>
      </c>
      <c r="P663" s="842" t="b">
        <f t="shared" si="302"/>
        <v>1</v>
      </c>
      <c r="Q663" s="827">
        <f>COUNTIF(P$2:P663, TRUE)/(COUNTIF(P$2:P663,FALSE) + COUNTIF(P$2:P663, TRUE))</f>
        <v>0.49546827794561932</v>
      </c>
      <c r="R663" s="825">
        <v>322890.77</v>
      </c>
      <c r="S663" s="825">
        <f t="shared" si="323"/>
        <v>54307.899999999965</v>
      </c>
      <c r="T663" s="825"/>
      <c r="U663" s="825"/>
      <c r="V663" s="827">
        <f>STDEV(D$2:D663)*SQRT(252)</f>
        <v>0.14175869937017727</v>
      </c>
      <c r="W663" s="827">
        <f>STDEV(L$2:L663)*SQRT(252)</f>
        <v>0.27280354449400568</v>
      </c>
      <c r="X663" s="826">
        <f t="shared" si="322"/>
        <v>0.79859020450645668</v>
      </c>
      <c r="Y663" s="826">
        <f t="shared" si="318"/>
        <v>0.3361281722895389</v>
      </c>
      <c r="Z663" s="832">
        <f t="shared" si="325"/>
        <v>-6.0363876012632878E-2</v>
      </c>
    </row>
    <row r="664" spans="1:26" ht="20.100000000000001" customHeight="1" x14ac:dyDescent="0.2">
      <c r="A664" s="801">
        <f t="shared" si="320"/>
        <v>1026</v>
      </c>
      <c r="B664" s="820">
        <v>43259</v>
      </c>
      <c r="C664" s="845">
        <v>2779.03</v>
      </c>
      <c r="D664" s="817">
        <f t="shared" si="326"/>
        <v>3.1259362467830325E-3</v>
      </c>
      <c r="E664" s="844">
        <f t="shared" si="299"/>
        <v>0.32181179962329493</v>
      </c>
      <c r="F664" s="841">
        <v>7645.51</v>
      </c>
      <c r="G664" s="817">
        <f t="shared" si="314"/>
        <v>1.3673744968940049E-3</v>
      </c>
      <c r="H664" s="822">
        <f t="shared" si="315"/>
        <v>0.50156332855431396</v>
      </c>
      <c r="I664" s="866">
        <v>379330.1</v>
      </c>
      <c r="J664" s="825">
        <v>300000</v>
      </c>
      <c r="K664" s="825">
        <f t="shared" si="316"/>
        <v>2131.429999999993</v>
      </c>
      <c r="L664" s="817">
        <f t="shared" si="317"/>
        <v>5.6506827025662445E-3</v>
      </c>
      <c r="M664" s="842">
        <f t="shared" si="300"/>
        <v>79330.099999999977</v>
      </c>
      <c r="N664" s="827">
        <f t="shared" si="324"/>
        <v>0.26443366666666657</v>
      </c>
      <c r="O664" s="811">
        <f t="shared" si="321"/>
        <v>9.41368389376218E-2</v>
      </c>
      <c r="P664" s="842" t="b">
        <f t="shared" si="302"/>
        <v>1</v>
      </c>
      <c r="Q664" s="827">
        <f>COUNTIF(P$2:P664, TRUE)/(COUNTIF(P$2:P664,FALSE) + COUNTIF(P$2:P664, TRUE))</f>
        <v>0.4962292609351433</v>
      </c>
      <c r="R664" s="825">
        <v>307315.24</v>
      </c>
      <c r="S664" s="825">
        <f t="shared" si="323"/>
        <v>72014.859999999986</v>
      </c>
      <c r="T664" s="825">
        <v>-33130</v>
      </c>
      <c r="U664" s="825">
        <f t="shared" ref="U664:U675" si="327">M664-T664</f>
        <v>112460.09999999998</v>
      </c>
      <c r="V664" s="827">
        <f>STDEV(D$2:D664)*SQRT(252)</f>
        <v>0.14166099718805908</v>
      </c>
      <c r="W664" s="827">
        <f>STDEV(L$2:L664)*SQRT(252)</f>
        <v>0.27261488916591109</v>
      </c>
      <c r="X664" s="826">
        <f t="shared" si="322"/>
        <v>0.80871320264291569</v>
      </c>
      <c r="Y664" s="826">
        <f t="shared" ref="Y664:Y669" si="328">O664/W664</f>
        <v>0.3453107026752707</v>
      </c>
      <c r="Z664" s="832">
        <f t="shared" si="325"/>
        <v>-5.7378132956628358E-2</v>
      </c>
    </row>
    <row r="665" spans="1:26" ht="20.100000000000001" customHeight="1" x14ac:dyDescent="0.2">
      <c r="A665" s="801">
        <f t="shared" si="320"/>
        <v>1029</v>
      </c>
      <c r="B665" s="820">
        <v>43262</v>
      </c>
      <c r="C665" s="845">
        <v>2782</v>
      </c>
      <c r="D665" s="817">
        <f t="shared" si="326"/>
        <v>1.0687182218255291E-3</v>
      </c>
      <c r="E665" s="844">
        <f t="shared" si="299"/>
        <v>0.32322444397937633</v>
      </c>
      <c r="F665" s="841">
        <v>7659.92</v>
      </c>
      <c r="G665" s="817">
        <f t="shared" si="314"/>
        <v>1.8847663530621049E-3</v>
      </c>
      <c r="H665" s="822">
        <f t="shared" si="315"/>
        <v>0.5043934245929651</v>
      </c>
      <c r="I665" s="866">
        <v>382027.21</v>
      </c>
      <c r="J665" s="825">
        <v>300000</v>
      </c>
      <c r="K665" s="825">
        <f t="shared" si="316"/>
        <v>2697.1100000000442</v>
      </c>
      <c r="L665" s="817">
        <f t="shared" si="317"/>
        <v>7.1101924155242214E-3</v>
      </c>
      <c r="M665" s="842">
        <f t="shared" si="300"/>
        <v>82027.210000000021</v>
      </c>
      <c r="N665" s="827">
        <f t="shared" si="324"/>
        <v>0.27342403333333343</v>
      </c>
      <c r="O665" s="811">
        <f t="shared" si="321"/>
        <v>9.7053574514091398E-2</v>
      </c>
      <c r="P665" s="842" t="b">
        <f t="shared" si="302"/>
        <v>1</v>
      </c>
      <c r="Q665" s="827">
        <f>COUNTIF(P$2:P665, TRUE)/(COUNTIF(P$2:P665,FALSE) + COUNTIF(P$2:P665, TRUE))</f>
        <v>0.49698795180722893</v>
      </c>
      <c r="R665" s="825">
        <v>300485.96000000002</v>
      </c>
      <c r="S665" s="825">
        <f t="shared" si="323"/>
        <v>81541.25</v>
      </c>
      <c r="T665" s="825">
        <v>-32866</v>
      </c>
      <c r="U665" s="825">
        <f t="shared" si="327"/>
        <v>114893.21000000002</v>
      </c>
      <c r="V665" s="827">
        <f>STDEV(D$2:D665)*SQRT(252)</f>
        <v>0.1415544573663266</v>
      </c>
      <c r="W665" s="827">
        <f>STDEV(L$2:L665)*SQRT(252)</f>
        <v>0.27243836617833139</v>
      </c>
      <c r="X665" s="826">
        <f t="shared" si="322"/>
        <v>0.81050462534007905</v>
      </c>
      <c r="Y665" s="826">
        <f t="shared" si="328"/>
        <v>0.35624048064714403</v>
      </c>
      <c r="Z665" s="832">
        <f t="shared" si="325"/>
        <v>-4.9800410646042903E-2</v>
      </c>
    </row>
    <row r="666" spans="1:26" ht="20.100000000000001" customHeight="1" x14ac:dyDescent="0.2">
      <c r="A666" s="801">
        <f t="shared" si="320"/>
        <v>1030</v>
      </c>
      <c r="B666" s="820">
        <v>43263</v>
      </c>
      <c r="C666" s="845">
        <v>2786.85</v>
      </c>
      <c r="D666" s="817">
        <f t="shared" si="326"/>
        <v>1.7433501078360566E-3</v>
      </c>
      <c r="E666" s="844">
        <f t="shared" si="299"/>
        <v>0.32553128745647908</v>
      </c>
      <c r="F666" s="841">
        <v>7703.79</v>
      </c>
      <c r="G666" s="817">
        <f t="shared" si="314"/>
        <v>5.7272138612413561E-3</v>
      </c>
      <c r="H666" s="822">
        <f t="shared" si="315"/>
        <v>0.51300940746705426</v>
      </c>
      <c r="I666" s="866">
        <v>383351.38</v>
      </c>
      <c r="J666" s="825">
        <v>300000</v>
      </c>
      <c r="K666" s="825">
        <f t="shared" si="316"/>
        <v>1324.1699999999837</v>
      </c>
      <c r="L666" s="817">
        <f t="shared" si="317"/>
        <v>3.4661667162398813E-3</v>
      </c>
      <c r="M666" s="842">
        <f t="shared" si="300"/>
        <v>83351.38</v>
      </c>
      <c r="N666" s="827">
        <f t="shared" si="324"/>
        <v>0.27783793333333334</v>
      </c>
      <c r="O666" s="811">
        <f t="shared" si="321"/>
        <v>9.8524568106796107E-2</v>
      </c>
      <c r="P666" s="842" t="b">
        <f t="shared" si="302"/>
        <v>1</v>
      </c>
      <c r="Q666" s="827">
        <f>COUNTIF(P$2:P666, TRUE)/(COUNTIF(P$2:P666,FALSE) + COUNTIF(P$2:P666, TRUE))</f>
        <v>0.49774436090225566</v>
      </c>
      <c r="R666" s="825">
        <v>298240.19</v>
      </c>
      <c r="S666" s="825">
        <f t="shared" si="323"/>
        <v>85111.19</v>
      </c>
      <c r="T666" s="825">
        <v>-32722</v>
      </c>
      <c r="U666" s="825">
        <f t="shared" si="327"/>
        <v>116073.38</v>
      </c>
      <c r="V666" s="827">
        <f>STDEV(D$2:D666)*SQRT(252)</f>
        <v>0.14144986592538053</v>
      </c>
      <c r="W666" s="827">
        <f>STDEV(L$2:L666)*SQRT(252)</f>
        <v>0.27223846906338528</v>
      </c>
      <c r="X666" s="826">
        <f t="shared" si="322"/>
        <v>0.81609965746088553</v>
      </c>
      <c r="Y666" s="826">
        <f t="shared" si="328"/>
        <v>0.36190538554584889</v>
      </c>
      <c r="Z666" s="832">
        <f t="shared" si="325"/>
        <v>-4.7693354123145737E-2</v>
      </c>
    </row>
    <row r="667" spans="1:26" ht="20.100000000000001" customHeight="1" x14ac:dyDescent="0.2">
      <c r="A667" s="801">
        <f t="shared" si="320"/>
        <v>1031</v>
      </c>
      <c r="B667" s="820">
        <v>43264</v>
      </c>
      <c r="C667" s="845">
        <v>2775.63</v>
      </c>
      <c r="D667" s="817">
        <f t="shared" si="326"/>
        <v>-4.0260509177027113E-3</v>
      </c>
      <c r="E667" s="844">
        <f t="shared" si="299"/>
        <v>0.32019463100017126</v>
      </c>
      <c r="F667" s="841">
        <v>7695.69</v>
      </c>
      <c r="G667" s="817">
        <f t="shared" si="314"/>
        <v>-1.0514305296484411E-3</v>
      </c>
      <c r="H667" s="822">
        <f t="shared" si="315"/>
        <v>0.51141858318439815</v>
      </c>
      <c r="I667" s="866">
        <v>383566.49</v>
      </c>
      <c r="J667" s="825">
        <v>300000</v>
      </c>
      <c r="K667" s="825">
        <f t="shared" si="316"/>
        <v>215.10999999998603</v>
      </c>
      <c r="L667" s="817">
        <f t="shared" si="317"/>
        <v>5.6113010470964272E-4</v>
      </c>
      <c r="M667" s="842">
        <f t="shared" si="300"/>
        <v>83566.489999999991</v>
      </c>
      <c r="N667" s="827">
        <f t="shared" si="324"/>
        <v>0.27855496666666663</v>
      </c>
      <c r="O667" s="811">
        <f t="shared" si="321"/>
        <v>9.8683027715809876E-2</v>
      </c>
      <c r="P667" s="842" t="b">
        <f t="shared" si="302"/>
        <v>1</v>
      </c>
      <c r="Q667" s="827">
        <f>COUNTIF(P$2:P667, TRUE)/(COUNTIF(P$2:P667,FALSE) + COUNTIF(P$2:P667, TRUE))</f>
        <v>0.49849849849849848</v>
      </c>
      <c r="R667" s="825">
        <v>285646.46000000002</v>
      </c>
      <c r="S667" s="825">
        <f t="shared" si="323"/>
        <v>97920.02999999997</v>
      </c>
      <c r="T667" s="825">
        <v>-32818</v>
      </c>
      <c r="U667" s="825">
        <f t="shared" si="327"/>
        <v>116384.48999999999</v>
      </c>
      <c r="V667" s="827">
        <f>STDEV(D$2:D667)*SQRT(252)</f>
        <v>0.14137033731973925</v>
      </c>
      <c r="W667" s="827">
        <f>STDEV(L$2:L667)*SQRT(252)</f>
        <v>0.27203339591623577</v>
      </c>
      <c r="X667" s="826">
        <f t="shared" si="322"/>
        <v>0.80239333109858757</v>
      </c>
      <c r="Y667" s="826">
        <f t="shared" si="328"/>
        <v>0.3627607095203717</v>
      </c>
      <c r="Z667" s="832">
        <f t="shared" si="325"/>
        <v>-4.1639664333504633E-2</v>
      </c>
    </row>
    <row r="668" spans="1:26" ht="20.100000000000001" customHeight="1" x14ac:dyDescent="0.2">
      <c r="A668" s="801">
        <f t="shared" si="320"/>
        <v>1032</v>
      </c>
      <c r="B668" s="820">
        <v>43265</v>
      </c>
      <c r="C668" s="845">
        <v>2782.49</v>
      </c>
      <c r="D668" s="817">
        <f t="shared" ref="D668:D685" si="329">(C668-C667)/C667</f>
        <v>2.4715109722836517E-3</v>
      </c>
      <c r="E668" s="844">
        <f t="shared" si="299"/>
        <v>0.32345750651623811</v>
      </c>
      <c r="F668" s="841">
        <v>7761.04</v>
      </c>
      <c r="G668" s="817">
        <f t="shared" ref="G668:G685" si="330">(F668-F667)/F667</f>
        <v>8.4917661704149161E-3</v>
      </c>
      <c r="H668" s="822">
        <f t="shared" ref="H668:H685" si="331">(F668-F$2)/F$2</f>
        <v>0.52425319637841983</v>
      </c>
      <c r="I668" s="866">
        <v>383755.49</v>
      </c>
      <c r="J668" s="825">
        <v>300000</v>
      </c>
      <c r="K668" s="825">
        <f t="shared" ref="K668:K685" si="332">I668-I667-J668+J667</f>
        <v>189</v>
      </c>
      <c r="L668" s="817">
        <f t="shared" ref="L668:L685" si="333">K668/I667</f>
        <v>4.9274377435839091E-4</v>
      </c>
      <c r="M668" s="842">
        <f t="shared" si="300"/>
        <v>83755.489999999991</v>
      </c>
      <c r="N668" s="827">
        <f t="shared" si="324"/>
        <v>0.27918496666666665</v>
      </c>
      <c r="O668" s="811">
        <f t="shared" si="321"/>
        <v>9.8810377010658909E-2</v>
      </c>
      <c r="P668" s="842" t="b">
        <f t="shared" si="302"/>
        <v>0</v>
      </c>
      <c r="Q668" s="827">
        <f>COUNTIF(P$2:P668, TRUE)/(COUNTIF(P$2:P668,FALSE) + COUNTIF(P$2:P668, TRUE))</f>
        <v>0.49775112443778113</v>
      </c>
      <c r="R668" s="825">
        <v>277509.56</v>
      </c>
      <c r="S668" s="825">
        <f t="shared" si="323"/>
        <v>106245.93</v>
      </c>
      <c r="T668" s="825">
        <v>-32800</v>
      </c>
      <c r="U668" s="825">
        <f t="shared" si="327"/>
        <v>116555.48999999999</v>
      </c>
      <c r="V668" s="827">
        <f>STDEV(D$2:D668)*SQRT(252)</f>
        <v>0.14126943660076133</v>
      </c>
      <c r="W668" s="827">
        <f>STDEV(L$2:L668)*SQRT(252)</f>
        <v>0.27182879493933965</v>
      </c>
      <c r="X668" s="826">
        <f t="shared" si="322"/>
        <v>0.81036289725284272</v>
      </c>
      <c r="Y668" s="826">
        <f t="shared" si="328"/>
        <v>0.36350224424424604</v>
      </c>
      <c r="Z668" s="832">
        <f t="shared" si="325"/>
        <v>-4.4272539849571468E-2</v>
      </c>
    </row>
    <row r="669" spans="1:26" ht="20.100000000000001" customHeight="1" x14ac:dyDescent="0.2">
      <c r="A669" s="801">
        <f t="shared" si="320"/>
        <v>1033</v>
      </c>
      <c r="B669" s="820">
        <v>43266</v>
      </c>
      <c r="C669" s="845">
        <v>2779.66</v>
      </c>
      <c r="D669" s="817">
        <f t="shared" si="329"/>
        <v>-1.0170746345898557E-3</v>
      </c>
      <c r="E669" s="844">
        <f t="shared" si="299"/>
        <v>0.32211145145640291</v>
      </c>
      <c r="F669" s="841">
        <v>7746.37</v>
      </c>
      <c r="G669" s="817">
        <f t="shared" si="330"/>
        <v>-1.8902105903332636E-3</v>
      </c>
      <c r="H669" s="822">
        <f t="shared" si="331"/>
        <v>0.52137203684427602</v>
      </c>
      <c r="I669" s="866">
        <v>382086.2</v>
      </c>
      <c r="J669" s="825">
        <v>300000</v>
      </c>
      <c r="K669" s="825">
        <f t="shared" si="332"/>
        <v>-1669.289999999979</v>
      </c>
      <c r="L669" s="817">
        <f t="shared" si="333"/>
        <v>-4.3498791378853733E-3</v>
      </c>
      <c r="M669" s="842">
        <f t="shared" si="300"/>
        <v>82086.200000000012</v>
      </c>
      <c r="N669" s="827">
        <f t="shared" si="324"/>
        <v>0.27362066666666668</v>
      </c>
      <c r="O669" s="811">
        <f t="shared" si="321"/>
        <v>9.6747287996127779E-2</v>
      </c>
      <c r="P669" s="842" t="b">
        <f t="shared" si="302"/>
        <v>0</v>
      </c>
      <c r="Q669" s="827">
        <f>COUNTIF(P$2:P669, TRUE)/(COUNTIF(P$2:P669,FALSE) + COUNTIF(P$2:P669, TRUE))</f>
        <v>0.49700598802395207</v>
      </c>
      <c r="R669" s="825">
        <v>298822.90999999997</v>
      </c>
      <c r="S669" s="825">
        <f t="shared" si="323"/>
        <v>83263.290000000037</v>
      </c>
      <c r="T669" s="825">
        <v>-32770</v>
      </c>
      <c r="U669" s="825">
        <f t="shared" si="327"/>
        <v>114856.20000000001</v>
      </c>
      <c r="V669" s="827">
        <f>STDEV(D$2:D669)*SQRT(252)</f>
        <v>0.14116625992619064</v>
      </c>
      <c r="W669" s="827">
        <f>STDEV(L$2:L669)*SQRT(252)</f>
        <v>0.27164186009172409</v>
      </c>
      <c r="X669" s="826">
        <f t="shared" si="322"/>
        <v>0.80679864333878126</v>
      </c>
      <c r="Y669" s="826">
        <f t="shared" si="328"/>
        <v>0.35615750813758806</v>
      </c>
      <c r="Z669" s="832">
        <f t="shared" si="325"/>
        <v>-4.849078478973623E-2</v>
      </c>
    </row>
    <row r="670" spans="1:26" ht="20.100000000000001" customHeight="1" x14ac:dyDescent="0.2">
      <c r="A670" s="801">
        <f t="shared" si="320"/>
        <v>1036</v>
      </c>
      <c r="B670" s="820">
        <v>43269</v>
      </c>
      <c r="C670" s="845">
        <v>2773.75</v>
      </c>
      <c r="D670" s="817">
        <f t="shared" si="329"/>
        <v>-2.1261593144484775E-3</v>
      </c>
      <c r="E670" s="844">
        <f t="shared" si="299"/>
        <v>0.31930043187914992</v>
      </c>
      <c r="F670" s="841">
        <v>7747.02</v>
      </c>
      <c r="G670" s="817">
        <f t="shared" si="330"/>
        <v>8.3910270229868404E-5</v>
      </c>
      <c r="H670" s="822">
        <f t="shared" si="331"/>
        <v>0.52149969558300779</v>
      </c>
      <c r="I670" s="866">
        <v>381438.85</v>
      </c>
      <c r="J670" s="825">
        <v>300000</v>
      </c>
      <c r="K670" s="825">
        <f t="shared" si="332"/>
        <v>-647.35000000003492</v>
      </c>
      <c r="L670" s="817">
        <f t="shared" si="333"/>
        <v>-1.6942511925320384E-3</v>
      </c>
      <c r="M670" s="842">
        <f t="shared" si="300"/>
        <v>81438.849999999977</v>
      </c>
      <c r="N670" s="827">
        <f t="shared" si="324"/>
        <v>0.27146283333333326</v>
      </c>
      <c r="O670" s="811">
        <f t="shared" si="321"/>
        <v>9.5706370535714264E-2</v>
      </c>
      <c r="P670" s="842" t="b">
        <f t="shared" si="302"/>
        <v>1</v>
      </c>
      <c r="Q670" s="827">
        <f>COUNTIF(P$2:P670, TRUE)/(COUNTIF(P$2:P670,FALSE) + COUNTIF(P$2:P670, TRUE))</f>
        <v>0.49775784753363228</v>
      </c>
      <c r="R670" s="825">
        <v>287048.14</v>
      </c>
      <c r="S670" s="825">
        <f t="shared" si="323"/>
        <v>94390.709999999963</v>
      </c>
      <c r="T670" s="825">
        <v>-33106</v>
      </c>
      <c r="U670" s="825">
        <f t="shared" si="327"/>
        <v>114544.84999999998</v>
      </c>
      <c r="V670" s="827">
        <f>STDEV(D$2:D670)*SQRT(252)</f>
        <v>0.14106932916582796</v>
      </c>
      <c r="W670" s="827">
        <f>STDEV(L$2:L670)*SQRT(252)</f>
        <v>0.27144187055309588</v>
      </c>
      <c r="X670" s="826">
        <f t="shared" si="322"/>
        <v>0.79798986219092249</v>
      </c>
      <c r="Y670" s="826">
        <f t="shared" ref="Y670:Y685" si="334">O670/W670</f>
        <v>0.35258514222842952</v>
      </c>
      <c r="Z670" s="832">
        <f t="shared" si="325"/>
        <v>-4.7837598545816651E-2</v>
      </c>
    </row>
    <row r="671" spans="1:26" ht="20.100000000000001" customHeight="1" x14ac:dyDescent="0.2">
      <c r="A671" s="801">
        <f t="shared" si="320"/>
        <v>1037</v>
      </c>
      <c r="B671" s="820">
        <v>43270</v>
      </c>
      <c r="C671" s="845">
        <v>2762.59</v>
      </c>
      <c r="D671" s="817">
        <f t="shared" si="329"/>
        <v>-4.023433979269889E-3</v>
      </c>
      <c r="E671" s="844">
        <f t="shared" si="299"/>
        <v>0.3139923136926619</v>
      </c>
      <c r="F671" s="841">
        <v>7725.58</v>
      </c>
      <c r="G671" s="817">
        <f t="shared" si="330"/>
        <v>-2.7675157673531896E-3</v>
      </c>
      <c r="H671" s="822">
        <f t="shared" si="331"/>
        <v>0.51728892118545877</v>
      </c>
      <c r="I671" s="866">
        <v>382081.51</v>
      </c>
      <c r="J671" s="825">
        <v>300000</v>
      </c>
      <c r="K671" s="825">
        <f t="shared" si="332"/>
        <v>642.6600000000326</v>
      </c>
      <c r="L671" s="817">
        <f t="shared" si="333"/>
        <v>1.6848310024006013E-3</v>
      </c>
      <c r="M671" s="842">
        <f t="shared" si="300"/>
        <v>82081.510000000009</v>
      </c>
      <c r="N671" s="827">
        <f t="shared" si="324"/>
        <v>0.27360503333333336</v>
      </c>
      <c r="O671" s="811">
        <f t="shared" si="321"/>
        <v>9.636860021697205E-2</v>
      </c>
      <c r="P671" s="842" t="b">
        <f t="shared" si="302"/>
        <v>1</v>
      </c>
      <c r="Q671" s="827">
        <f>COUNTIF(P$2:P671, TRUE)/(COUNTIF(P$2:P671,FALSE) + COUNTIF(P$2:P671, TRUE))</f>
        <v>0.49850746268656715</v>
      </c>
      <c r="R671" s="825">
        <v>293330.78999999998</v>
      </c>
      <c r="S671" s="825">
        <f t="shared" si="323"/>
        <v>88750.72000000003</v>
      </c>
      <c r="T671" s="825">
        <v>-32722</v>
      </c>
      <c r="U671" s="825">
        <f t="shared" si="327"/>
        <v>114803.51000000001</v>
      </c>
      <c r="V671" s="827">
        <f>STDEV(D$2:D671)*SQRT(252)</f>
        <v>0.14099048564823533</v>
      </c>
      <c r="W671" s="827">
        <f>STDEV(L$2:L671)*SQRT(252)</f>
        <v>0.2712394142936202</v>
      </c>
      <c r="X671" s="826">
        <f t="shared" si="322"/>
        <v>0.78440558773622837</v>
      </c>
      <c r="Y671" s="826">
        <f t="shared" si="334"/>
        <v>0.35528981091461798</v>
      </c>
      <c r="Z671" s="832">
        <f t="shared" si="325"/>
        <v>-4.0387280359328537E-2</v>
      </c>
    </row>
    <row r="672" spans="1:26" ht="20.100000000000001" customHeight="1" x14ac:dyDescent="0.2">
      <c r="A672" s="801">
        <f t="shared" si="320"/>
        <v>1038</v>
      </c>
      <c r="B672" s="820">
        <v>43271</v>
      </c>
      <c r="C672" s="845">
        <v>2767.32</v>
      </c>
      <c r="D672" s="817">
        <f t="shared" si="329"/>
        <v>1.712161413745803E-3</v>
      </c>
      <c r="E672" s="844">
        <f t="shared" si="299"/>
        <v>0.31624208063012504</v>
      </c>
      <c r="F672" s="841">
        <v>7781.51</v>
      </c>
      <c r="G672" s="817">
        <f t="shared" si="330"/>
        <v>7.2395858951690732E-3</v>
      </c>
      <c r="H672" s="822">
        <f t="shared" si="331"/>
        <v>0.52827346465816927</v>
      </c>
      <c r="I672" s="866">
        <v>384754.19</v>
      </c>
      <c r="J672" s="825">
        <v>300000</v>
      </c>
      <c r="K672" s="825">
        <f t="shared" si="332"/>
        <v>2672.679999999993</v>
      </c>
      <c r="L672" s="817">
        <f t="shared" si="333"/>
        <v>6.9950519196806801E-3</v>
      </c>
      <c r="M672" s="842">
        <f t="shared" si="300"/>
        <v>84754.19</v>
      </c>
      <c r="N672" s="827">
        <f t="shared" si="324"/>
        <v>0.28251396666666667</v>
      </c>
      <c r="O672" s="811">
        <f t="shared" si="321"/>
        <v>9.9410622663776496E-2</v>
      </c>
      <c r="P672" s="842" t="b">
        <f t="shared" si="302"/>
        <v>1</v>
      </c>
      <c r="Q672" s="827">
        <f>COUNTIF(P$2:P672, TRUE)/(COUNTIF(P$2:P672,FALSE) + COUNTIF(P$2:P672, TRUE))</f>
        <v>0.49925484351713861</v>
      </c>
      <c r="R672" s="825">
        <v>272761.78000000003</v>
      </c>
      <c r="S672" s="825">
        <f t="shared" si="323"/>
        <v>111992.40999999997</v>
      </c>
      <c r="T672" s="825">
        <v>-32680</v>
      </c>
      <c r="U672" s="825">
        <f t="shared" si="327"/>
        <v>117434.19</v>
      </c>
      <c r="V672" s="827">
        <f>STDEV(D$2:D672)*SQRT(252)</f>
        <v>0.14088720655990541</v>
      </c>
      <c r="W672" s="827">
        <f>STDEV(L$2:L672)*SQRT(252)</f>
        <v>0.27106484707651579</v>
      </c>
      <c r="X672" s="826">
        <f t="shared" si="322"/>
        <v>0.78984336003195033</v>
      </c>
      <c r="Y672" s="826">
        <f t="shared" si="334"/>
        <v>0.36674110913288216</v>
      </c>
      <c r="Z672" s="832">
        <f t="shared" si="325"/>
        <v>-3.3728113963458373E-2</v>
      </c>
    </row>
    <row r="673" spans="1:26" ht="20.100000000000001" customHeight="1" x14ac:dyDescent="0.2">
      <c r="A673" s="801">
        <f t="shared" si="320"/>
        <v>1039</v>
      </c>
      <c r="B673" s="820">
        <v>43272</v>
      </c>
      <c r="C673" s="845">
        <v>2749.76</v>
      </c>
      <c r="D673" s="817">
        <f t="shared" si="329"/>
        <v>-6.3454894988653077E-3</v>
      </c>
      <c r="E673" s="844">
        <f t="shared" si="299"/>
        <v>0.30788988032952197</v>
      </c>
      <c r="F673" s="841">
        <v>7712.95</v>
      </c>
      <c r="G673" s="817">
        <f t="shared" si="330"/>
        <v>-8.8106292994547843E-3</v>
      </c>
      <c r="H673" s="822">
        <f t="shared" si="331"/>
        <v>0.51480841369287278</v>
      </c>
      <c r="I673" s="866">
        <v>386790.11</v>
      </c>
      <c r="J673" s="825">
        <v>300000</v>
      </c>
      <c r="K673" s="825">
        <f t="shared" si="332"/>
        <v>2035.9199999999837</v>
      </c>
      <c r="L673" s="817">
        <f t="shared" si="333"/>
        <v>5.2914823357738706E-3</v>
      </c>
      <c r="M673" s="842">
        <f t="shared" si="300"/>
        <v>86790.109999999986</v>
      </c>
      <c r="N673" s="827">
        <f t="shared" si="324"/>
        <v>0.28930036666666664</v>
      </c>
      <c r="O673" s="811">
        <f t="shared" si="321"/>
        <v>0.10170063419153032</v>
      </c>
      <c r="P673" s="842" t="b">
        <f t="shared" si="302"/>
        <v>1</v>
      </c>
      <c r="Q673" s="827">
        <f>COUNTIF(P$2:P673, TRUE)/(COUNTIF(P$2:P673,FALSE) + COUNTIF(P$2:P673, TRUE))</f>
        <v>0.5</v>
      </c>
      <c r="R673" s="825">
        <v>273521.84000000003</v>
      </c>
      <c r="S673" s="825">
        <f t="shared" si="323"/>
        <v>113268.26999999996</v>
      </c>
      <c r="T673" s="825">
        <v>-31908</v>
      </c>
      <c r="U673" s="825">
        <f t="shared" si="327"/>
        <v>118698.10999999999</v>
      </c>
      <c r="V673" s="827">
        <f>STDEV(D$2:D673)*SQRT(252)</f>
        <v>0.1408436003599591</v>
      </c>
      <c r="W673" s="827">
        <f>STDEV(L$2:L673)*SQRT(252)</f>
        <v>0.27087757391976441</v>
      </c>
      <c r="X673" s="826">
        <f t="shared" si="322"/>
        <v>0.76848071530722506</v>
      </c>
      <c r="Y673" s="826">
        <f t="shared" si="334"/>
        <v>0.37544870444555395</v>
      </c>
      <c r="Z673" s="832">
        <f t="shared" si="325"/>
        <v>-1.8589513662855328E-2</v>
      </c>
    </row>
    <row r="674" spans="1:26" ht="20.100000000000001" customHeight="1" x14ac:dyDescent="0.2">
      <c r="A674" s="801">
        <f t="shared" si="320"/>
        <v>1040</v>
      </c>
      <c r="B674" s="820">
        <v>43273</v>
      </c>
      <c r="C674" s="845">
        <v>2754.88</v>
      </c>
      <c r="D674" s="817">
        <f t="shared" si="329"/>
        <v>1.8619806819503849E-3</v>
      </c>
      <c r="E674" s="844">
        <f t="shared" si="299"/>
        <v>0.3103251460208139</v>
      </c>
      <c r="F674" s="841">
        <v>7692.81</v>
      </c>
      <c r="G674" s="817">
        <f t="shared" si="330"/>
        <v>-2.6111928639495157E-3</v>
      </c>
      <c r="H674" s="822">
        <f t="shared" si="331"/>
        <v>0.51085295677278719</v>
      </c>
      <c r="I674" s="866">
        <v>393809.39</v>
      </c>
      <c r="J674" s="825">
        <v>300000</v>
      </c>
      <c r="K674" s="825">
        <f t="shared" si="332"/>
        <v>7019.2800000000279</v>
      </c>
      <c r="L674" s="817">
        <f t="shared" si="333"/>
        <v>1.8147516750105189E-2</v>
      </c>
      <c r="M674" s="842">
        <f t="shared" si="300"/>
        <v>93809.390000000014</v>
      </c>
      <c r="N674" s="827">
        <f t="shared" si="324"/>
        <v>0.31269796666666672</v>
      </c>
      <c r="O674" s="811">
        <f t="shared" si="321"/>
        <v>0.10982012723557695</v>
      </c>
      <c r="P674" s="842" t="b">
        <f t="shared" si="302"/>
        <v>1</v>
      </c>
      <c r="Q674" s="827">
        <f>COUNTIF(P$2:P674, TRUE)/(COUNTIF(P$2:P674,FALSE) + COUNTIF(P$2:P674, TRUE))</f>
        <v>0.50074294205052006</v>
      </c>
      <c r="R674" s="825">
        <v>274378.59000000003</v>
      </c>
      <c r="S674" s="825">
        <f t="shared" si="323"/>
        <v>119430.79999999999</v>
      </c>
      <c r="T674" s="825">
        <v>-31374</v>
      </c>
      <c r="U674" s="825">
        <f t="shared" si="327"/>
        <v>125183.39000000001</v>
      </c>
      <c r="V674" s="827">
        <f>STDEV(D$2:D674)*SQRT(252)</f>
        <v>0.14074130676281663</v>
      </c>
      <c r="W674" s="827">
        <f>STDEV(L$2:L674)*SQRT(252)</f>
        <v>0.27088806472355031</v>
      </c>
      <c r="X674" s="826">
        <f t="shared" si="322"/>
        <v>0.77437669557314881</v>
      </c>
      <c r="Y674" s="826">
        <f>O674/W674</f>
        <v>0.40540777367822317</v>
      </c>
      <c r="Z674" s="832">
        <f t="shared" si="325"/>
        <v>2.3728206458528134E-3</v>
      </c>
    </row>
    <row r="675" spans="1:26" ht="20.100000000000001" customHeight="1" x14ac:dyDescent="0.2">
      <c r="A675" s="801">
        <f t="shared" ref="A675:A685" si="335">B675-$B$2</f>
        <v>1041</v>
      </c>
      <c r="B675" s="820">
        <v>43274</v>
      </c>
      <c r="C675" s="845">
        <v>2717.07</v>
      </c>
      <c r="D675" s="817">
        <f t="shared" si="329"/>
        <v>-1.3724735741665679E-2</v>
      </c>
      <c r="E675" s="844">
        <f t="shared" si="299"/>
        <v>0.29234127965601875</v>
      </c>
      <c r="F675" s="841">
        <v>7532</v>
      </c>
      <c r="G675" s="817">
        <f t="shared" si="330"/>
        <v>-2.0903934973046313E-2</v>
      </c>
      <c r="H675" s="822">
        <f t="shared" si="331"/>
        <v>0.47927018481057415</v>
      </c>
      <c r="I675" s="866">
        <v>389217.82</v>
      </c>
      <c r="J675" s="825">
        <v>300000</v>
      </c>
      <c r="K675" s="825">
        <f t="shared" si="332"/>
        <v>-4591.570000000007</v>
      </c>
      <c r="L675" s="817">
        <f t="shared" si="333"/>
        <v>-1.1659371555360848E-2</v>
      </c>
      <c r="M675" s="842">
        <f t="shared" si="300"/>
        <v>89217.82</v>
      </c>
      <c r="N675" s="827">
        <f t="shared" si="324"/>
        <v>0.29739273333333338</v>
      </c>
      <c r="O675" s="811">
        <f t="shared" ref="O675:O685" si="336">N675/(A675/365.25)</f>
        <v>0.10434456853986554</v>
      </c>
      <c r="P675" s="842" t="b">
        <f t="shared" si="302"/>
        <v>1</v>
      </c>
      <c r="Q675" s="827">
        <f>COUNTIF(P$2:P675, TRUE)/(COUNTIF(P$2:P675,FALSE) + COUNTIF(P$2:P675, TRUE))</f>
        <v>0.50148367952522255</v>
      </c>
      <c r="R675" s="825">
        <v>277550.8</v>
      </c>
      <c r="S675" s="825">
        <f t="shared" si="323"/>
        <v>111667.02000000002</v>
      </c>
      <c r="T675" s="825">
        <v>-31574</v>
      </c>
      <c r="U675" s="825">
        <f t="shared" si="327"/>
        <v>120791.82</v>
      </c>
      <c r="V675" s="827">
        <f>STDEV(D$2:D675)*SQRT(252)</f>
        <v>0.14090345423327139</v>
      </c>
      <c r="W675" s="827">
        <f>STDEV(L$2:L675)*SQRT(252)</f>
        <v>0.27079136945867271</v>
      </c>
      <c r="X675" s="826">
        <f t="shared" si="322"/>
        <v>0.72796080876750646</v>
      </c>
      <c r="Y675" s="826">
        <f t="shared" si="334"/>
        <v>0.38533195776680862</v>
      </c>
      <c r="Z675" s="832">
        <f t="shared" si="325"/>
        <v>5.0514536773146324E-3</v>
      </c>
    </row>
    <row r="676" spans="1:26" ht="20.100000000000001" customHeight="1" x14ac:dyDescent="0.2">
      <c r="A676" s="801">
        <f t="shared" si="335"/>
        <v>1044</v>
      </c>
      <c r="B676" s="820">
        <v>43277</v>
      </c>
      <c r="C676" s="845">
        <v>2723.06</v>
      </c>
      <c r="D676" s="817">
        <f t="shared" si="329"/>
        <v>2.2045806696182951E-3</v>
      </c>
      <c r="E676" s="844">
        <f t="shared" si="299"/>
        <v>0.2951903502596982</v>
      </c>
      <c r="F676" s="841">
        <v>7561.62</v>
      </c>
      <c r="G676" s="817">
        <f t="shared" si="330"/>
        <v>3.9325544344131561E-3</v>
      </c>
      <c r="H676" s="822">
        <f t="shared" si="331"/>
        <v>0.48508749533554613</v>
      </c>
      <c r="I676" s="866">
        <v>389379.96</v>
      </c>
      <c r="J676" s="825">
        <v>300000</v>
      </c>
      <c r="K676" s="825">
        <f t="shared" si="332"/>
        <v>162.14000000001397</v>
      </c>
      <c r="L676" s="817">
        <f t="shared" si="333"/>
        <v>4.165790764667814E-4</v>
      </c>
      <c r="M676" s="842">
        <f t="shared" si="300"/>
        <v>89379.960000000021</v>
      </c>
      <c r="N676" s="827">
        <f t="shared" si="324"/>
        <v>0.29793320000000006</v>
      </c>
      <c r="O676" s="811">
        <f t="shared" si="336"/>
        <v>0.10423381350574715</v>
      </c>
      <c r="P676" s="842" t="b">
        <f t="shared" si="302"/>
        <v>0</v>
      </c>
      <c r="Q676" s="827">
        <f>COUNTIF(P$2:P676, TRUE)/(COUNTIF(P$2:P676,FALSE) + COUNTIF(P$2:P676, TRUE))</f>
        <v>0.50074074074074071</v>
      </c>
      <c r="R676" s="825">
        <v>280070.89</v>
      </c>
      <c r="S676" s="825">
        <f t="shared" si="323"/>
        <v>109309.07</v>
      </c>
      <c r="T676" s="825"/>
      <c r="U676" s="825"/>
      <c r="V676" s="827">
        <f>STDEV(D$2:D676)*SQRT(252)</f>
        <v>0.14080295835010456</v>
      </c>
      <c r="W676" s="827">
        <f>STDEV(L$2:L676)*SQRT(252)</f>
        <v>0.27059014708609302</v>
      </c>
      <c r="X676" s="826">
        <f t="shared" si="322"/>
        <v>0.73346619555718418</v>
      </c>
      <c r="Y676" s="826">
        <f t="shared" si="334"/>
        <v>0.38520919785221641</v>
      </c>
      <c r="Z676" s="832">
        <f t="shared" si="325"/>
        <v>2.742849740301867E-3</v>
      </c>
    </row>
    <row r="677" spans="1:26" ht="20.100000000000001" customHeight="1" x14ac:dyDescent="0.2">
      <c r="A677" s="801">
        <f t="shared" si="335"/>
        <v>1045</v>
      </c>
      <c r="B677" s="820">
        <v>43278</v>
      </c>
      <c r="C677" s="845">
        <v>2699.23</v>
      </c>
      <c r="D677" s="817">
        <f t="shared" si="329"/>
        <v>-8.7511843293941113E-3</v>
      </c>
      <c r="E677" s="844">
        <f t="shared" si="299"/>
        <v>0.28385590076292305</v>
      </c>
      <c r="F677" s="841">
        <v>7445.08</v>
      </c>
      <c r="G677" s="817">
        <f t="shared" si="330"/>
        <v>-1.5412041335057827E-2</v>
      </c>
      <c r="H677" s="822">
        <f t="shared" si="331"/>
        <v>0.46219926547125717</v>
      </c>
      <c r="I677" s="866">
        <v>389218.36</v>
      </c>
      <c r="J677" s="825">
        <v>300000</v>
      </c>
      <c r="K677" s="825">
        <f t="shared" si="332"/>
        <v>-161.60000000003492</v>
      </c>
      <c r="L677" s="817">
        <f t="shared" si="333"/>
        <v>-4.1501879038673411E-4</v>
      </c>
      <c r="M677" s="842">
        <f t="shared" si="300"/>
        <v>89218.359999999986</v>
      </c>
      <c r="N677" s="827">
        <f t="shared" si="324"/>
        <v>0.29739453333333327</v>
      </c>
      <c r="O677" s="811">
        <f t="shared" si="336"/>
        <v>0.10394579263157892</v>
      </c>
      <c r="P677" s="842" t="b">
        <f t="shared" si="302"/>
        <v>1</v>
      </c>
      <c r="Q677" s="827">
        <f>COUNTIF(P$2:P677, TRUE)/(COUNTIF(P$2:P677,FALSE) + COUNTIF(P$2:P677, TRUE))</f>
        <v>0.50147928994082835</v>
      </c>
      <c r="R677" s="825">
        <v>287521.32</v>
      </c>
      <c r="S677" s="825">
        <f t="shared" si="323"/>
        <v>101697.03999999998</v>
      </c>
      <c r="T677" s="825">
        <v>-31552</v>
      </c>
      <c r="U677" s="825">
        <f t="shared" ref="U677:U685" si="337">M677-T677</f>
        <v>120770.35999999999</v>
      </c>
      <c r="V677" s="827">
        <f>STDEV(D$2:D677)*SQRT(252)</f>
        <v>0.14081008898410585</v>
      </c>
      <c r="W677" s="827">
        <f>STDEV(L$2:L677)*SQRT(252)</f>
        <v>0.27039010703840782</v>
      </c>
      <c r="X677" s="826">
        <f t="shared" si="322"/>
        <v>0.70459261663957362</v>
      </c>
      <c r="Y677" s="826">
        <f t="shared" si="334"/>
        <v>0.38442897844932561</v>
      </c>
      <c r="Z677" s="832">
        <f t="shared" si="325"/>
        <v>1.3538632570410214E-2</v>
      </c>
    </row>
    <row r="678" spans="1:26" ht="20.100000000000001" customHeight="1" x14ac:dyDescent="0.2">
      <c r="A678" s="801">
        <f t="shared" si="335"/>
        <v>1046</v>
      </c>
      <c r="B678" s="820">
        <v>43279</v>
      </c>
      <c r="C678" s="845">
        <v>2716.31</v>
      </c>
      <c r="D678" s="817">
        <f t="shared" si="329"/>
        <v>6.3277305009206055E-3</v>
      </c>
      <c r="E678" s="844">
        <f t="shared" si="299"/>
        <v>0.2919797949049675</v>
      </c>
      <c r="F678" s="841">
        <v>7503.68</v>
      </c>
      <c r="G678" s="817">
        <f t="shared" si="330"/>
        <v>7.870969821680944E-3</v>
      </c>
      <c r="H678" s="822">
        <f t="shared" si="331"/>
        <v>0.4737081917630655</v>
      </c>
      <c r="I678" s="866">
        <v>385956.85</v>
      </c>
      <c r="J678" s="825">
        <v>300000</v>
      </c>
      <c r="K678" s="825">
        <f t="shared" si="332"/>
        <v>-3261.5100000000093</v>
      </c>
      <c r="L678" s="817">
        <f t="shared" si="333"/>
        <v>-8.3796406726548284E-3</v>
      </c>
      <c r="M678" s="842">
        <f t="shared" si="300"/>
        <v>85956.849999999977</v>
      </c>
      <c r="N678" s="827">
        <f t="shared" si="324"/>
        <v>0.28652283333333328</v>
      </c>
      <c r="O678" s="811">
        <f t="shared" si="336"/>
        <v>0.10005015762428296</v>
      </c>
      <c r="P678" s="842" t="b">
        <f t="shared" si="302"/>
        <v>0</v>
      </c>
      <c r="Q678" s="827">
        <f>COUNTIF(P$2:P678, TRUE)/(COUNTIF(P$2:P678,FALSE) + COUNTIF(P$2:P678, TRUE))</f>
        <v>0.50073855243722309</v>
      </c>
      <c r="R678" s="825">
        <v>300734.57</v>
      </c>
      <c r="S678" s="825">
        <f t="shared" si="323"/>
        <v>85222.27999999997</v>
      </c>
      <c r="T678" s="825">
        <v>-31828</v>
      </c>
      <c r="U678" s="825">
        <f t="shared" si="337"/>
        <v>117784.84999999998</v>
      </c>
      <c r="V678" s="827">
        <f>STDEV(D$2:D678)*SQRT(252)</f>
        <v>0.14075213595058755</v>
      </c>
      <c r="W678" s="827">
        <f>STDEV(L$2:L678)*SQRT(252)</f>
        <v>0.27024584552699632</v>
      </c>
      <c r="X678" s="826">
        <f t="shared" si="322"/>
        <v>0.7243631441355034</v>
      </c>
      <c r="Y678" s="826">
        <f t="shared" si="334"/>
        <v>0.37021904047841658</v>
      </c>
      <c r="Z678" s="832">
        <f t="shared" si="325"/>
        <v>-5.4569615716342224E-3</v>
      </c>
    </row>
    <row r="679" spans="1:26" ht="20.100000000000001" customHeight="1" x14ac:dyDescent="0.2">
      <c r="A679" s="801">
        <f t="shared" si="335"/>
        <v>1047</v>
      </c>
      <c r="B679" s="820">
        <v>43280</v>
      </c>
      <c r="C679" s="845">
        <v>2718.37</v>
      </c>
      <c r="D679" s="817">
        <f t="shared" si="329"/>
        <v>7.5838177527599773E-4</v>
      </c>
      <c r="E679" s="844">
        <f t="shared" si="299"/>
        <v>0.29295960883544825</v>
      </c>
      <c r="F679" s="841">
        <v>7510.3</v>
      </c>
      <c r="G679" s="817">
        <f t="shared" si="330"/>
        <v>8.8223378395665736E-4</v>
      </c>
      <c r="H679" s="822">
        <f t="shared" si="331"/>
        <v>0.47500834691753252</v>
      </c>
      <c r="I679" s="867">
        <v>386037.42</v>
      </c>
      <c r="J679" s="825">
        <v>300000</v>
      </c>
      <c r="K679" s="825">
        <f t="shared" si="332"/>
        <v>80.570000000006985</v>
      </c>
      <c r="L679" s="817">
        <f t="shared" si="333"/>
        <v>2.087539060389963E-4</v>
      </c>
      <c r="M679" s="847">
        <f t="shared" si="300"/>
        <v>86037.419999999984</v>
      </c>
      <c r="N679" s="827">
        <f t="shared" si="324"/>
        <v>0.28679139999999992</v>
      </c>
      <c r="O679" s="811">
        <f t="shared" si="336"/>
        <v>0.1000482892550143</v>
      </c>
      <c r="P679" s="842" t="b">
        <f t="shared" si="302"/>
        <v>0</v>
      </c>
      <c r="Q679" s="827">
        <f>COUNTIF(P$2:P679, TRUE)/(COUNTIF(P$2:P679,FALSE) + COUNTIF(P$2:P679, TRUE))</f>
        <v>0.5</v>
      </c>
      <c r="R679" s="825">
        <v>296502.8</v>
      </c>
      <c r="S679" s="825">
        <f t="shared" si="323"/>
        <v>89534.62</v>
      </c>
      <c r="T679" s="825">
        <v>-31984</v>
      </c>
      <c r="U679" s="825">
        <f t="shared" si="337"/>
        <v>118021.41999999998</v>
      </c>
      <c r="V679" s="827">
        <f>STDEV(D$2:D679)*SQRT(252)</f>
        <v>0.14064814386240324</v>
      </c>
      <c r="W679" s="827">
        <f>STDEV(L$2:L679)*SQRT(252)</f>
        <v>0.27004600526294353</v>
      </c>
      <c r="X679" s="826">
        <f t="shared" si="322"/>
        <v>0.72663662641063287</v>
      </c>
      <c r="Y679" s="826">
        <f t="shared" si="334"/>
        <v>0.37048609238858166</v>
      </c>
      <c r="Z679" s="832">
        <f t="shared" si="325"/>
        <v>-6.16820883544833E-3</v>
      </c>
    </row>
    <row r="680" spans="1:26" ht="20.100000000000001" customHeight="1" x14ac:dyDescent="0.2">
      <c r="A680" s="801">
        <f t="shared" si="335"/>
        <v>1050</v>
      </c>
      <c r="B680" s="820">
        <v>43283</v>
      </c>
      <c r="C680" s="845">
        <v>2726.71</v>
      </c>
      <c r="D680" s="817">
        <f t="shared" si="329"/>
        <v>3.0680150237091144E-3</v>
      </c>
      <c r="E680" s="844">
        <f t="shared" si="299"/>
        <v>0.29692642834040445</v>
      </c>
      <c r="F680" s="841">
        <v>7567.68</v>
      </c>
      <c r="G680" s="817">
        <f t="shared" si="330"/>
        <v>7.6401741608191562E-3</v>
      </c>
      <c r="H680" s="822">
        <f t="shared" si="331"/>
        <v>0.48627766757664448</v>
      </c>
      <c r="I680" s="866">
        <v>385840.77</v>
      </c>
      <c r="J680" s="825">
        <v>300000</v>
      </c>
      <c r="K680" s="825">
        <f t="shared" si="332"/>
        <v>-196.64999999996508</v>
      </c>
      <c r="L680" s="817">
        <f t="shared" si="333"/>
        <v>-5.0940657514487867E-4</v>
      </c>
      <c r="M680" s="842">
        <f t="shared" si="300"/>
        <v>85840.770000000019</v>
      </c>
      <c r="N680" s="827">
        <f t="shared" si="324"/>
        <v>0.28613590000000005</v>
      </c>
      <c r="O680" s="811">
        <f t="shared" si="336"/>
        <v>9.9534416642857157E-2</v>
      </c>
      <c r="P680" s="842" t="b">
        <f t="shared" si="302"/>
        <v>0</v>
      </c>
      <c r="Q680" s="827">
        <f>COUNTIF(P$2:P680, TRUE)/(COUNTIF(P$2:P680,FALSE) + COUNTIF(P$2:P680, TRUE))</f>
        <v>0.49926362297496318</v>
      </c>
      <c r="R680" s="825">
        <v>302561.11</v>
      </c>
      <c r="S680" s="825">
        <f t="shared" si="323"/>
        <v>83279.660000000033</v>
      </c>
      <c r="T680" s="825">
        <v>-32060</v>
      </c>
      <c r="U680" s="825">
        <f t="shared" si="337"/>
        <v>117900.77000000002</v>
      </c>
      <c r="V680" s="827">
        <f>STDEV(D$2:D680)*SQRT(252)</f>
        <v>0.14055350948419473</v>
      </c>
      <c r="W680" s="827">
        <f>STDEV(L$2:L680)*SQRT(252)</f>
        <v>0.26984737448960039</v>
      </c>
      <c r="X680" s="826">
        <f t="shared" si="322"/>
        <v>0.73486588403460684</v>
      </c>
      <c r="Y680" s="826">
        <f t="shared" si="334"/>
        <v>0.36885449351182442</v>
      </c>
      <c r="Z680" s="832">
        <f t="shared" si="325"/>
        <v>-1.0790528340404393E-2</v>
      </c>
    </row>
    <row r="681" spans="1:26" ht="20.100000000000001" customHeight="1" x14ac:dyDescent="0.2">
      <c r="A681" s="801">
        <f t="shared" si="335"/>
        <v>1051</v>
      </c>
      <c r="B681" s="820">
        <v>43284</v>
      </c>
      <c r="C681" s="845">
        <v>2713.22</v>
      </c>
      <c r="D681" s="817">
        <f t="shared" si="329"/>
        <v>-4.9473541374037708E-3</v>
      </c>
      <c r="E681" s="844">
        <f t="shared" si="299"/>
        <v>0.29051007400924628</v>
      </c>
      <c r="F681" s="841">
        <v>7502.67</v>
      </c>
      <c r="G681" s="817">
        <f t="shared" si="330"/>
        <v>-8.5904795128758371E-3</v>
      </c>
      <c r="H681" s="822">
        <f t="shared" si="331"/>
        <v>0.47350982972288241</v>
      </c>
      <c r="I681" s="866">
        <v>389787.46</v>
      </c>
      <c r="J681" s="825">
        <v>300000</v>
      </c>
      <c r="K681" s="825">
        <f t="shared" si="332"/>
        <v>3946.6900000000023</v>
      </c>
      <c r="L681" s="817">
        <f t="shared" si="333"/>
        <v>1.0228805006790759E-2</v>
      </c>
      <c r="M681" s="842">
        <f t="shared" si="300"/>
        <v>89787.460000000021</v>
      </c>
      <c r="N681" s="827">
        <f t="shared" si="324"/>
        <v>0.29929153333333341</v>
      </c>
      <c r="O681" s="811">
        <f t="shared" si="336"/>
        <v>0.10401163896289252</v>
      </c>
      <c r="P681" s="842" t="b">
        <f t="shared" si="302"/>
        <v>1</v>
      </c>
      <c r="Q681" s="827">
        <f>COUNTIF(P$2:P681, TRUE)/(COUNTIF(P$2:P681,FALSE) + COUNTIF(P$2:P681, TRUE))</f>
        <v>0.5</v>
      </c>
      <c r="R681" s="825">
        <v>288376.77</v>
      </c>
      <c r="S681" s="825">
        <f t="shared" ref="S681:S711" si="338">I681-R681</f>
        <v>101410.69</v>
      </c>
      <c r="T681" s="825">
        <v>-31900</v>
      </c>
      <c r="U681" s="825">
        <f t="shared" si="337"/>
        <v>121687.46000000002</v>
      </c>
      <c r="V681" s="827">
        <f>STDEV(D$2:D681)*SQRT(252)</f>
        <v>0.14048791411058481</v>
      </c>
      <c r="W681" s="827">
        <f>STDEV(L$2:L681)*SQRT(252)</f>
        <v>0.26971178795215239</v>
      </c>
      <c r="X681" s="826">
        <f t="shared" si="322"/>
        <v>0.71863727720044857</v>
      </c>
      <c r="Y681" s="826">
        <f t="shared" si="334"/>
        <v>0.38563994459650563</v>
      </c>
      <c r="Z681" s="832">
        <f t="shared" si="325"/>
        <v>8.7814593240871375E-3</v>
      </c>
    </row>
    <row r="682" spans="1:26" ht="20.100000000000001" customHeight="1" x14ac:dyDescent="0.2">
      <c r="A682" s="801">
        <f t="shared" si="335"/>
        <v>1053</v>
      </c>
      <c r="B682" s="820">
        <v>43286</v>
      </c>
      <c r="C682" s="845">
        <v>2736.61</v>
      </c>
      <c r="D682" s="817">
        <f t="shared" si="329"/>
        <v>8.6207532009937738E-3</v>
      </c>
      <c r="E682" s="844">
        <f t="shared" si="299"/>
        <v>0.30163524286067617</v>
      </c>
      <c r="F682" s="841">
        <v>7586.42</v>
      </c>
      <c r="G682" s="817">
        <f t="shared" si="330"/>
        <v>1.1162692748048361E-2</v>
      </c>
      <c r="H682" s="822">
        <f t="shared" si="331"/>
        <v>0.48995816721330798</v>
      </c>
      <c r="I682" s="866">
        <v>390550.57</v>
      </c>
      <c r="J682" s="825">
        <v>300000</v>
      </c>
      <c r="K682" s="825">
        <f t="shared" si="332"/>
        <v>763.10999999998603</v>
      </c>
      <c r="L682" s="817">
        <f t="shared" si="333"/>
        <v>1.9577592362770881E-3</v>
      </c>
      <c r="M682" s="842">
        <f t="shared" si="300"/>
        <v>90550.57</v>
      </c>
      <c r="N682" s="827">
        <f t="shared" si="324"/>
        <v>0.30183523333333334</v>
      </c>
      <c r="O682" s="811">
        <f t="shared" si="336"/>
        <v>0.10469640928300096</v>
      </c>
      <c r="P682" s="842" t="b">
        <f t="shared" si="302"/>
        <v>0</v>
      </c>
      <c r="Q682" s="827">
        <f>COUNTIF(P$2:P682, TRUE)/(COUNTIF(P$2:P682,FALSE) + COUNTIF(P$2:P682, TRUE))</f>
        <v>0.49926578560939794</v>
      </c>
      <c r="R682" s="825">
        <v>262947.86</v>
      </c>
      <c r="S682" s="825">
        <f t="shared" si="338"/>
        <v>127602.71000000002</v>
      </c>
      <c r="T682" s="825">
        <v>-31952</v>
      </c>
      <c r="U682" s="825">
        <f t="shared" si="337"/>
        <v>122502.57</v>
      </c>
      <c r="V682" s="827">
        <f>STDEV(D$2:D682)*SQRT(252)</f>
        <v>0.14047327528724421</v>
      </c>
      <c r="W682" s="827">
        <f>STDEV(L$2:L682)*SQRT(252)</f>
        <v>0.26951430387366743</v>
      </c>
      <c r="X682" s="826">
        <f t="shared" si="322"/>
        <v>0.74481810973934559</v>
      </c>
      <c r="Y682" s="826">
        <f t="shared" si="334"/>
        <v>0.38846327552275861</v>
      </c>
      <c r="Z682" s="832">
        <f t="shared" si="325"/>
        <v>1.999904726571744E-4</v>
      </c>
    </row>
    <row r="683" spans="1:26" ht="20.100000000000001" customHeight="1" x14ac:dyDescent="0.2">
      <c r="A683" s="801">
        <f t="shared" si="335"/>
        <v>1054</v>
      </c>
      <c r="B683" s="820">
        <v>43287</v>
      </c>
      <c r="C683" s="845">
        <v>2759.82</v>
      </c>
      <c r="D683" s="817">
        <f t="shared" si="329"/>
        <v>8.4812962022356251E-3</v>
      </c>
      <c r="E683" s="844">
        <f t="shared" si="299"/>
        <v>0.31267479690264649</v>
      </c>
      <c r="F683" s="841">
        <v>7688.38</v>
      </c>
      <c r="G683" s="817">
        <f t="shared" si="330"/>
        <v>1.3439804281861541E-2</v>
      </c>
      <c r="H683" s="822">
        <f t="shared" si="331"/>
        <v>0.50998291336881596</v>
      </c>
      <c r="I683" s="866">
        <v>394408.13</v>
      </c>
      <c r="J683" s="825">
        <v>300000</v>
      </c>
      <c r="K683" s="825">
        <f t="shared" si="332"/>
        <v>3857.5599999999977</v>
      </c>
      <c r="L683" s="817">
        <f t="shared" si="333"/>
        <v>9.8772356163761271E-3</v>
      </c>
      <c r="M683" s="842">
        <f t="shared" si="300"/>
        <v>94408.13</v>
      </c>
      <c r="N683" s="827">
        <f t="shared" si="324"/>
        <v>0.31469376666666671</v>
      </c>
      <c r="O683" s="811">
        <f t="shared" si="336"/>
        <v>0.10905303441650856</v>
      </c>
      <c r="P683" s="842" t="b">
        <f t="shared" si="302"/>
        <v>1</v>
      </c>
      <c r="Q683" s="827">
        <f>COUNTIF(P$2:P683, TRUE)/(COUNTIF(P$2:P683,FALSE) + COUNTIF(P$2:P683, TRUE))</f>
        <v>0.5</v>
      </c>
      <c r="R683" s="825">
        <v>226076.88</v>
      </c>
      <c r="S683" s="825">
        <f t="shared" si="338"/>
        <v>168331.25</v>
      </c>
      <c r="T683" s="825">
        <v>-31820</v>
      </c>
      <c r="U683" s="825">
        <f t="shared" si="337"/>
        <v>126228.13</v>
      </c>
      <c r="V683" s="827">
        <f>STDEV(D$2:D683)*SQRT(252)</f>
        <v>0.14045543259882526</v>
      </c>
      <c r="W683" s="827">
        <f>STDEV(L$2:L683)*SQRT(252)</f>
        <v>0.2693746812100854</v>
      </c>
      <c r="X683" s="826">
        <f t="shared" si="322"/>
        <v>0.77144318794023969</v>
      </c>
      <c r="Y683" s="826">
        <f t="shared" si="334"/>
        <v>0.40483772983645061</v>
      </c>
      <c r="Z683" s="832">
        <f t="shared" si="325"/>
        <v>2.0189697640202175E-3</v>
      </c>
    </row>
    <row r="684" spans="1:26" ht="20.100000000000001" customHeight="1" x14ac:dyDescent="0.2">
      <c r="A684" s="801">
        <f t="shared" si="335"/>
        <v>1057</v>
      </c>
      <c r="B684" s="820">
        <v>43290</v>
      </c>
      <c r="C684" s="845">
        <v>2784.17</v>
      </c>
      <c r="D684" s="817">
        <f t="shared" si="329"/>
        <v>8.8230391837148467E-3</v>
      </c>
      <c r="E684" s="844">
        <f t="shared" si="299"/>
        <v>0.32425657807119346</v>
      </c>
      <c r="F684" s="841">
        <v>7756.2</v>
      </c>
      <c r="G684" s="817">
        <f t="shared" si="330"/>
        <v>8.821104055730819E-3</v>
      </c>
      <c r="H684" s="822">
        <f t="shared" si="331"/>
        <v>0.52330262977001785</v>
      </c>
      <c r="I684" s="866">
        <v>396269.68</v>
      </c>
      <c r="J684" s="825">
        <v>300000</v>
      </c>
      <c r="K684" s="825">
        <f t="shared" si="332"/>
        <v>1861.5499999999884</v>
      </c>
      <c r="L684" s="817">
        <f t="shared" si="333"/>
        <v>4.7198570678550376E-3</v>
      </c>
      <c r="M684" s="842">
        <f t="shared" si="300"/>
        <v>96269.68</v>
      </c>
      <c r="N684" s="827">
        <f t="shared" si="324"/>
        <v>0.3208989333333333</v>
      </c>
      <c r="O684" s="811">
        <f t="shared" si="336"/>
        <v>0.11088773453169345</v>
      </c>
      <c r="P684" s="842" t="b">
        <f t="shared" si="302"/>
        <v>0</v>
      </c>
      <c r="Q684" s="827">
        <f>COUNTIF(P$2:P684, TRUE)/(COUNTIF(P$2:P684,FALSE) + COUNTIF(P$2:P684, TRUE))</f>
        <v>0.49926793557833088</v>
      </c>
      <c r="R684" s="825">
        <v>221497.05</v>
      </c>
      <c r="S684" s="825">
        <f t="shared" si="338"/>
        <v>174772.63</v>
      </c>
      <c r="T684" s="825">
        <v>-31748</v>
      </c>
      <c r="U684" s="825">
        <f t="shared" si="337"/>
        <v>128017.68</v>
      </c>
      <c r="V684" s="827">
        <f>STDEV(D$2:D684)*SQRT(252)</f>
        <v>0.14044477475064268</v>
      </c>
      <c r="W684" s="827">
        <f>STDEV(L$2:L684)*SQRT(252)</f>
        <v>0.2691881821835182</v>
      </c>
      <c r="X684" s="826">
        <f t="shared" si="322"/>
        <v>0.79780810973079075</v>
      </c>
      <c r="Y684" s="826">
        <f t="shared" si="334"/>
        <v>0.41193388815299509</v>
      </c>
      <c r="Z684" s="832">
        <f t="shared" si="325"/>
        <v>-3.3576447378601548E-3</v>
      </c>
    </row>
    <row r="685" spans="1:26" ht="20.100000000000001" customHeight="1" x14ac:dyDescent="0.2">
      <c r="A685" s="801">
        <f t="shared" si="335"/>
        <v>1058</v>
      </c>
      <c r="B685" s="820">
        <v>43291</v>
      </c>
      <c r="C685" s="845">
        <v>2793.84</v>
      </c>
      <c r="D685" s="817">
        <f t="shared" si="329"/>
        <v>3.4732074550045695E-3</v>
      </c>
      <c r="E685" s="844">
        <f t="shared" si="299"/>
        <v>0.32885599589048919</v>
      </c>
      <c r="F685" s="841">
        <v>7759.19</v>
      </c>
      <c r="G685" s="817">
        <f t="shared" si="330"/>
        <v>3.8549805317033881E-4</v>
      </c>
      <c r="H685" s="822">
        <f t="shared" si="331"/>
        <v>0.52388985996818349</v>
      </c>
      <c r="I685" s="866">
        <v>397186.29</v>
      </c>
      <c r="J685" s="825">
        <v>300000</v>
      </c>
      <c r="K685" s="825">
        <f t="shared" si="332"/>
        <v>916.60999999998603</v>
      </c>
      <c r="L685" s="817">
        <f t="shared" si="333"/>
        <v>2.3130964751075229E-3</v>
      </c>
      <c r="M685" s="842">
        <f t="shared" si="300"/>
        <v>97186.289999999979</v>
      </c>
      <c r="N685" s="827">
        <f t="shared" si="324"/>
        <v>0.32395429999999992</v>
      </c>
      <c r="O685" s="811">
        <f t="shared" si="336"/>
        <v>0.11183772029773154</v>
      </c>
      <c r="P685" s="842" t="b">
        <f t="shared" si="302"/>
        <v>0</v>
      </c>
      <c r="Q685" s="827">
        <f>COUNTIF(P$2:P685, TRUE)/(COUNTIF(P$2:P685,FALSE) + COUNTIF(P$2:P685, TRUE))</f>
        <v>0.49853801169590645</v>
      </c>
      <c r="R685" s="825">
        <v>201287.05</v>
      </c>
      <c r="S685" s="825">
        <f t="shared" si="338"/>
        <v>195899.24</v>
      </c>
      <c r="T685" s="825">
        <v>-31788</v>
      </c>
      <c r="U685" s="825">
        <f t="shared" si="337"/>
        <v>128974.28999999998</v>
      </c>
      <c r="V685" s="827">
        <f>STDEV(D$2:D685)*SQRT(252)</f>
        <v>0.14035377759574863</v>
      </c>
      <c r="W685" s="827">
        <f>STDEV(L$2:L685)*SQRT(252)</f>
        <v>0.26899263458634343</v>
      </c>
      <c r="X685" s="826">
        <f t="shared" si="322"/>
        <v>0.80888394484710457</v>
      </c>
      <c r="Y685" s="826">
        <f t="shared" si="334"/>
        <v>0.41576499099953224</v>
      </c>
      <c r="Z685" s="832">
        <f t="shared" si="325"/>
        <v>-4.9016958904892771E-3</v>
      </c>
    </row>
    <row r="686" spans="1:26" ht="20.100000000000001" customHeight="1" x14ac:dyDescent="0.2">
      <c r="A686" s="801">
        <f t="shared" ref="A686:A712" si="339">B686-$B$2</f>
        <v>1059</v>
      </c>
      <c r="B686" s="820">
        <v>43292</v>
      </c>
      <c r="C686" s="845">
        <v>2774.02</v>
      </c>
      <c r="D686" s="817">
        <f t="shared" ref="D686:D712" si="340">(C686-C685)/C685</f>
        <v>-7.094178621538872E-3</v>
      </c>
      <c r="E686" s="844">
        <f t="shared" ref="E686:E711" si="341">(C686-$C$2)/$C$2</f>
        <v>0.3194288540933391</v>
      </c>
      <c r="F686" s="841">
        <v>7716.61</v>
      </c>
      <c r="G686" s="817">
        <f t="shared" ref="G686:G712" si="342">(F686-F685)/F685</f>
        <v>-5.4876862146693052E-3</v>
      </c>
      <c r="H686" s="822">
        <f t="shared" ref="H686:H711" si="343">(F686-F$2)/F$2</f>
        <v>0.51552723059096173</v>
      </c>
      <c r="I686" s="866">
        <v>394153.65</v>
      </c>
      <c r="J686" s="825">
        <v>300000</v>
      </c>
      <c r="K686" s="825">
        <f t="shared" ref="K686:K711" si="344">I686-I685-J686+J685</f>
        <v>-3032.6399999999558</v>
      </c>
      <c r="L686" s="817">
        <f t="shared" ref="L686:L711" si="345">K686/I685</f>
        <v>-7.6353088622468715E-3</v>
      </c>
      <c r="M686" s="842">
        <f t="shared" ref="M686:M711" si="346">I686-J686</f>
        <v>94153.650000000023</v>
      </c>
      <c r="N686" s="827">
        <f t="shared" ref="N686:N711" si="347">M686/J686</f>
        <v>0.31384550000000005</v>
      </c>
      <c r="O686" s="811">
        <f t="shared" ref="O686:O711" si="348">N686/(A686/365.25)</f>
        <v>0.10824557967422098</v>
      </c>
      <c r="P686" s="842" t="b">
        <f t="shared" ref="P686:P711" si="349">L686&gt;D686</f>
        <v>0</v>
      </c>
      <c r="Q686" s="827">
        <f>COUNTIF(P$2:P686, TRUE)/(COUNTIF(P$2:P686,FALSE) + COUNTIF(P$2:P686, TRUE))</f>
        <v>0.49781021897810218</v>
      </c>
      <c r="R686" s="825">
        <v>218821.94</v>
      </c>
      <c r="S686" s="825">
        <f t="shared" si="338"/>
        <v>175331.71000000002</v>
      </c>
      <c r="T686" s="825">
        <v>-31948</v>
      </c>
      <c r="U686" s="825">
        <f t="shared" ref="U686:U711" si="350">M686-T686</f>
        <v>126101.65000000002</v>
      </c>
      <c r="V686" s="827">
        <f>STDEV(D$2:D686)*SQRT(252)</f>
        <v>0.1403258328218375</v>
      </c>
      <c r="W686" s="827">
        <f>STDEV(L$2:L686)*SQRT(252)</f>
        <v>0.26884281071905403</v>
      </c>
      <c r="X686" s="826">
        <f t="shared" ref="X686:X711" si="351">E686/(A686/365.25)/V686</f>
        <v>0.78511048914244463</v>
      </c>
      <c r="Y686" s="826">
        <f t="shared" ref="Y686:Y711" si="352">O686/W686</f>
        <v>0.40263520301958056</v>
      </c>
      <c r="Z686" s="832">
        <f t="shared" ref="Z686:Z711" si="353">-(E686-N686)</f>
        <v>-5.5833540933390435E-3</v>
      </c>
    </row>
    <row r="687" spans="1:26" ht="20.100000000000001" customHeight="1" x14ac:dyDescent="0.2">
      <c r="A687" s="801">
        <f t="shared" si="339"/>
        <v>1060</v>
      </c>
      <c r="B687" s="820">
        <v>43293</v>
      </c>
      <c r="C687" s="845">
        <v>2798.29</v>
      </c>
      <c r="D687" s="817">
        <f t="shared" si="340"/>
        <v>8.749035695488851E-3</v>
      </c>
      <c r="E687" s="844">
        <f t="shared" si="341"/>
        <v>0.33097258423545972</v>
      </c>
      <c r="F687" s="841">
        <v>7823.91</v>
      </c>
      <c r="G687" s="817">
        <f t="shared" si="342"/>
        <v>1.3905069713254939E-2</v>
      </c>
      <c r="H687" s="822">
        <f t="shared" si="343"/>
        <v>0.53660074238466526</v>
      </c>
      <c r="I687" s="866">
        <v>395295.9</v>
      </c>
      <c r="J687" s="825">
        <v>300000</v>
      </c>
      <c r="K687" s="825">
        <f t="shared" si="344"/>
        <v>1142.25</v>
      </c>
      <c r="L687" s="817">
        <f t="shared" si="345"/>
        <v>2.8979815358807408E-3</v>
      </c>
      <c r="M687" s="842">
        <f t="shared" si="346"/>
        <v>95295.900000000023</v>
      </c>
      <c r="N687" s="827">
        <f t="shared" si="347"/>
        <v>0.31765300000000007</v>
      </c>
      <c r="O687" s="811">
        <f t="shared" si="348"/>
        <v>0.10945543231132078</v>
      </c>
      <c r="P687" s="842" t="b">
        <f t="shared" si="349"/>
        <v>0</v>
      </c>
      <c r="Q687" s="827">
        <f>COUNTIF(P$2:P687, TRUE)/(COUNTIF(P$2:P687,FALSE) + COUNTIF(P$2:P687, TRUE))</f>
        <v>0.49708454810495628</v>
      </c>
      <c r="R687" s="825">
        <v>215692.65</v>
      </c>
      <c r="S687" s="825">
        <f t="shared" si="338"/>
        <v>179603.25000000003</v>
      </c>
      <c r="T687" s="825">
        <v>-31904</v>
      </c>
      <c r="U687" s="825">
        <f t="shared" si="350"/>
        <v>127199.90000000002</v>
      </c>
      <c r="V687" s="827">
        <f>STDEV(D$2:D687)*SQRT(252)</f>
        <v>0.14031365874172999</v>
      </c>
      <c r="W687" s="827">
        <f>STDEV(L$2:L687)*SQRT(252)</f>
        <v>0.26864967909317089</v>
      </c>
      <c r="X687" s="826">
        <f t="shared" si="351"/>
        <v>0.81278640550593428</v>
      </c>
      <c r="Y687" s="826">
        <f t="shared" si="352"/>
        <v>0.40742811486240538</v>
      </c>
      <c r="Z687" s="832">
        <f t="shared" si="353"/>
        <v>-1.3319584235459647E-2</v>
      </c>
    </row>
    <row r="688" spans="1:26" ht="20.100000000000001" customHeight="1" x14ac:dyDescent="0.2">
      <c r="A688" s="801">
        <f t="shared" si="339"/>
        <v>1061</v>
      </c>
      <c r="B688" s="820">
        <v>43294</v>
      </c>
      <c r="C688" s="845">
        <v>2801.31</v>
      </c>
      <c r="D688" s="817">
        <f t="shared" si="340"/>
        <v>1.0792305300737172E-3</v>
      </c>
      <c r="E688" s="844">
        <f t="shared" si="341"/>
        <v>0.33240901048305771</v>
      </c>
      <c r="F688" s="841">
        <v>7825.97</v>
      </c>
      <c r="G688" s="817">
        <f t="shared" si="342"/>
        <v>2.6329546224335403E-4</v>
      </c>
      <c r="H688" s="822">
        <f t="shared" si="343"/>
        <v>0.53700532238741494</v>
      </c>
      <c r="I688" s="866">
        <v>396222.85</v>
      </c>
      <c r="J688" s="825">
        <v>300000</v>
      </c>
      <c r="K688" s="825">
        <f t="shared" si="344"/>
        <v>926.94999999995343</v>
      </c>
      <c r="L688" s="817">
        <f t="shared" si="345"/>
        <v>2.3449522243968466E-3</v>
      </c>
      <c r="M688" s="842">
        <f t="shared" si="346"/>
        <v>96222.849999999977</v>
      </c>
      <c r="N688" s="827">
        <f t="shared" si="347"/>
        <v>0.32074283333333325</v>
      </c>
      <c r="O688" s="811">
        <f t="shared" si="348"/>
        <v>0.11041594710179073</v>
      </c>
      <c r="P688" s="842" t="b">
        <f t="shared" si="349"/>
        <v>1</v>
      </c>
      <c r="Q688" s="827">
        <f>COUNTIF(P$2:P688, TRUE)/(COUNTIF(P$2:P688,FALSE) + COUNTIF(P$2:P688, TRUE))</f>
        <v>0.49781659388646288</v>
      </c>
      <c r="R688" s="825">
        <v>226261.05</v>
      </c>
      <c r="S688" s="825">
        <f t="shared" si="338"/>
        <v>169961.8</v>
      </c>
      <c r="T688" s="825">
        <v>-32319</v>
      </c>
      <c r="U688" s="825">
        <f t="shared" si="350"/>
        <v>128541.84999999998</v>
      </c>
      <c r="V688" s="827">
        <f>STDEV(D$2:D688)*SQRT(252)</f>
        <v>0.14021171061753313</v>
      </c>
      <c r="W688" s="827">
        <f>STDEV(L$2:L688)*SQRT(252)</f>
        <v>0.26845547284380461</v>
      </c>
      <c r="X688" s="826">
        <f t="shared" si="351"/>
        <v>0.81613751325179795</v>
      </c>
      <c r="Y688" s="826">
        <f t="shared" si="352"/>
        <v>0.41130078642886903</v>
      </c>
      <c r="Z688" s="832">
        <f t="shared" si="353"/>
        <v>-1.1666177149724455E-2</v>
      </c>
    </row>
    <row r="689" spans="1:26" ht="20.100000000000001" customHeight="1" x14ac:dyDescent="0.2">
      <c r="A689" s="801">
        <f t="shared" si="339"/>
        <v>1064</v>
      </c>
      <c r="B689" s="820">
        <v>43297</v>
      </c>
      <c r="C689" s="845">
        <v>2798.43</v>
      </c>
      <c r="D689" s="817">
        <f t="shared" si="340"/>
        <v>-1.0280904291207003E-3</v>
      </c>
      <c r="E689" s="844">
        <f t="shared" si="341"/>
        <v>0.33103917353170592</v>
      </c>
      <c r="F689" s="841">
        <v>7805.71</v>
      </c>
      <c r="G689" s="817">
        <f t="shared" si="342"/>
        <v>-2.5888164662016618E-3</v>
      </c>
      <c r="H689" s="822">
        <f t="shared" si="343"/>
        <v>0.53302629770017873</v>
      </c>
      <c r="I689" s="866">
        <v>392316.49</v>
      </c>
      <c r="J689" s="825">
        <v>300000</v>
      </c>
      <c r="K689" s="825">
        <f t="shared" si="344"/>
        <v>-3906.359999999986</v>
      </c>
      <c r="L689" s="817">
        <f t="shared" si="345"/>
        <v>-9.8589972789302448E-3</v>
      </c>
      <c r="M689" s="842">
        <f t="shared" si="346"/>
        <v>92316.489999999991</v>
      </c>
      <c r="N689" s="827">
        <f t="shared" si="347"/>
        <v>0.3077216333333333</v>
      </c>
      <c r="O689" s="811">
        <f t="shared" si="348"/>
        <v>0.10563470542763156</v>
      </c>
      <c r="P689" s="842" t="b">
        <f t="shared" si="349"/>
        <v>0</v>
      </c>
      <c r="Q689" s="827">
        <f>COUNTIF(P$2:P689, TRUE)/(COUNTIF(P$2:P689,FALSE) + COUNTIF(P$2:P689, TRUE))</f>
        <v>0.49709302325581395</v>
      </c>
      <c r="R689" s="825">
        <v>248251.44</v>
      </c>
      <c r="S689" s="825">
        <f t="shared" si="338"/>
        <v>144065.04999999999</v>
      </c>
      <c r="T689" s="825">
        <v>-32475</v>
      </c>
      <c r="U689" s="825">
        <f t="shared" si="350"/>
        <v>124791.48999999999</v>
      </c>
      <c r="V689" s="827">
        <f>STDEV(D$2:D689)*SQRT(252)</f>
        <v>0.14011236678602129</v>
      </c>
      <c r="W689" s="827">
        <f>STDEV(L$2:L689)*SQRT(252)</f>
        <v>0.2683352993857776</v>
      </c>
      <c r="X689" s="826">
        <f t="shared" si="351"/>
        <v>0.81105726058911287</v>
      </c>
      <c r="Y689" s="826">
        <f t="shared" si="352"/>
        <v>0.39366682530934449</v>
      </c>
      <c r="Z689" s="832">
        <f t="shared" si="353"/>
        <v>-2.3317540198372622E-2</v>
      </c>
    </row>
    <row r="690" spans="1:26" ht="20.100000000000001" customHeight="1" x14ac:dyDescent="0.2">
      <c r="A690" s="801">
        <f t="shared" si="339"/>
        <v>1065</v>
      </c>
      <c r="B690" s="820">
        <v>43298</v>
      </c>
      <c r="C690" s="845">
        <v>2809.55</v>
      </c>
      <c r="D690" s="817">
        <f t="shared" si="340"/>
        <v>3.9736566574830696E-3</v>
      </c>
      <c r="E690" s="844">
        <f t="shared" si="341"/>
        <v>0.33632826620498091</v>
      </c>
      <c r="F690" s="841">
        <v>7855.11</v>
      </c>
      <c r="G690" s="817">
        <f t="shared" si="342"/>
        <v>6.3287004000916807E-3</v>
      </c>
      <c r="H690" s="822">
        <f t="shared" si="343"/>
        <v>0.54272836184378492</v>
      </c>
      <c r="I690" s="866">
        <v>393640.6</v>
      </c>
      <c r="J690" s="825">
        <v>300000</v>
      </c>
      <c r="K690" s="825">
        <f t="shared" si="344"/>
        <v>1324.109999999986</v>
      </c>
      <c r="L690" s="817">
        <f t="shared" si="345"/>
        <v>3.3751066645197249E-3</v>
      </c>
      <c r="M690" s="842">
        <f t="shared" si="346"/>
        <v>93640.599999999977</v>
      </c>
      <c r="N690" s="827">
        <f t="shared" si="347"/>
        <v>0.31213533333333326</v>
      </c>
      <c r="O690" s="811">
        <f t="shared" si="348"/>
        <v>0.10704923051643191</v>
      </c>
      <c r="P690" s="842" t="b">
        <f t="shared" si="349"/>
        <v>0</v>
      </c>
      <c r="Q690" s="827">
        <f>COUNTIF(P$2:P690, TRUE)/(COUNTIF(P$2:P690,FALSE) + COUNTIF(P$2:P690, TRUE))</f>
        <v>0.49637155297532654</v>
      </c>
      <c r="R690" s="825">
        <v>254153.13</v>
      </c>
      <c r="S690" s="825">
        <f t="shared" si="338"/>
        <v>139487.46999999997</v>
      </c>
      <c r="T690" s="825">
        <v>-32387</v>
      </c>
      <c r="U690" s="825">
        <f t="shared" si="350"/>
        <v>126027.59999999998</v>
      </c>
      <c r="V690" s="827">
        <f>STDEV(D$2:D690)*SQRT(252)</f>
        <v>0.14002654726015454</v>
      </c>
      <c r="W690" s="827">
        <f>STDEV(L$2:L690)*SQRT(252)</f>
        <v>0.26814504427740948</v>
      </c>
      <c r="X690" s="826">
        <f t="shared" si="351"/>
        <v>0.82374654315017448</v>
      </c>
      <c r="Y690" s="826">
        <f t="shared" si="352"/>
        <v>0.39922136470918373</v>
      </c>
      <c r="Z690" s="832">
        <f t="shared" si="353"/>
        <v>-2.4192932871647643E-2</v>
      </c>
    </row>
    <row r="691" spans="1:26" ht="20.100000000000001" customHeight="1" x14ac:dyDescent="0.2">
      <c r="A691" s="801">
        <f t="shared" si="339"/>
        <v>1066</v>
      </c>
      <c r="B691" s="820">
        <v>43299</v>
      </c>
      <c r="C691" s="845">
        <v>2815.62</v>
      </c>
      <c r="D691" s="817">
        <f t="shared" si="340"/>
        <v>2.1604883344306771E-3</v>
      </c>
      <c r="E691" s="844">
        <f t="shared" si="341"/>
        <v>0.33921538783508676</v>
      </c>
      <c r="F691" s="841">
        <v>7854.44</v>
      </c>
      <c r="G691" s="817">
        <f t="shared" si="342"/>
        <v>-8.5294795362518509E-5</v>
      </c>
      <c r="H691" s="822">
        <f t="shared" si="343"/>
        <v>0.54259677514386151</v>
      </c>
      <c r="I691" s="866">
        <v>393399.1</v>
      </c>
      <c r="J691" s="825">
        <v>300000</v>
      </c>
      <c r="K691" s="825">
        <f t="shared" si="344"/>
        <v>-241.5</v>
      </c>
      <c r="L691" s="817">
        <f t="shared" si="345"/>
        <v>-6.1350379000540088E-4</v>
      </c>
      <c r="M691" s="842">
        <f t="shared" si="346"/>
        <v>93399.099999999977</v>
      </c>
      <c r="N691" s="827">
        <f t="shared" si="347"/>
        <v>0.31133033333333326</v>
      </c>
      <c r="O691" s="811">
        <f t="shared" si="348"/>
        <v>0.1066729871013133</v>
      </c>
      <c r="P691" s="842" t="b">
        <f t="shared" si="349"/>
        <v>0</v>
      </c>
      <c r="Q691" s="827">
        <f>COUNTIF(P$2:P691, TRUE)/(COUNTIF(P$2:P691,FALSE) + COUNTIF(P$2:P691, TRUE))</f>
        <v>0.4956521739130435</v>
      </c>
      <c r="R691" s="825">
        <v>247098.07</v>
      </c>
      <c r="S691" s="825">
        <f t="shared" si="338"/>
        <v>146301.02999999997</v>
      </c>
      <c r="T691" s="825">
        <v>-32575</v>
      </c>
      <c r="U691" s="825">
        <f t="shared" si="350"/>
        <v>125974.09999999998</v>
      </c>
      <c r="V691" s="827">
        <f>STDEV(D$2:D691)*SQRT(252)</f>
        <v>0.13992852439635978</v>
      </c>
      <c r="W691" s="827">
        <f>STDEV(L$2:L691)*SQRT(252)</f>
        <v>0.26795117899797427</v>
      </c>
      <c r="X691" s="826">
        <f t="shared" si="351"/>
        <v>0.8306198594230717</v>
      </c>
      <c r="Y691" s="826">
        <f t="shared" si="352"/>
        <v>0.39810605611151184</v>
      </c>
      <c r="Z691" s="832">
        <f t="shared" si="353"/>
        <v>-2.7885054501753492E-2</v>
      </c>
    </row>
    <row r="692" spans="1:26" ht="20.100000000000001" customHeight="1" x14ac:dyDescent="0.2">
      <c r="A692" s="801">
        <f t="shared" si="339"/>
        <v>1067</v>
      </c>
      <c r="B692" s="820">
        <v>43300</v>
      </c>
      <c r="C692" s="845">
        <v>2804.49</v>
      </c>
      <c r="D692" s="817">
        <f t="shared" si="340"/>
        <v>-3.9529481961344606E-3</v>
      </c>
      <c r="E692" s="844">
        <f t="shared" si="341"/>
        <v>0.33392153878350855</v>
      </c>
      <c r="F692" s="841">
        <v>7825.29</v>
      </c>
      <c r="G692" s="817">
        <f t="shared" si="342"/>
        <v>-3.7112766791775908E-3</v>
      </c>
      <c r="H692" s="822">
        <f t="shared" si="343"/>
        <v>0.5368717717068956</v>
      </c>
      <c r="I692" s="866">
        <v>394279.56</v>
      </c>
      <c r="J692" s="825">
        <v>300000</v>
      </c>
      <c r="K692" s="825">
        <f t="shared" si="344"/>
        <v>880.46000000002095</v>
      </c>
      <c r="L692" s="817">
        <f t="shared" si="345"/>
        <v>2.2380834119854901E-3</v>
      </c>
      <c r="M692" s="842">
        <f t="shared" si="346"/>
        <v>94279.56</v>
      </c>
      <c r="N692" s="827">
        <f t="shared" si="347"/>
        <v>0.31426519999999997</v>
      </c>
      <c r="O692" s="811">
        <f t="shared" si="348"/>
        <v>0.10757766101218369</v>
      </c>
      <c r="P692" s="842" t="b">
        <f t="shared" si="349"/>
        <v>1</v>
      </c>
      <c r="Q692" s="827">
        <f>COUNTIF(P$2:P692, TRUE)/(COUNTIF(P$2:P692,FALSE) + COUNTIF(P$2:P692, TRUE))</f>
        <v>0.49638205499276411</v>
      </c>
      <c r="R692" s="825">
        <v>255684.16</v>
      </c>
      <c r="S692" s="825">
        <f t="shared" si="338"/>
        <v>138595.4</v>
      </c>
      <c r="T692" s="825">
        <v>-32295</v>
      </c>
      <c r="U692" s="825">
        <f t="shared" si="350"/>
        <v>126574.56</v>
      </c>
      <c r="V692" s="827">
        <f>STDEV(D$2:D692)*SQRT(252)</f>
        <v>0.13985240552391423</v>
      </c>
      <c r="W692" s="827">
        <f>STDEV(L$2:L692)*SQRT(252)</f>
        <v>0.26775839705405224</v>
      </c>
      <c r="X692" s="826">
        <f t="shared" si="351"/>
        <v>0.81733537768142361</v>
      </c>
      <c r="Y692" s="826">
        <f t="shared" si="352"/>
        <v>0.40177138119954853</v>
      </c>
      <c r="Z692" s="832">
        <f t="shared" si="353"/>
        <v>-1.9656338783508587E-2</v>
      </c>
    </row>
    <row r="693" spans="1:26" ht="20.100000000000001" customHeight="1" x14ac:dyDescent="0.2">
      <c r="A693" s="801">
        <f t="shared" si="339"/>
        <v>1068</v>
      </c>
      <c r="B693" s="820">
        <v>43301</v>
      </c>
      <c r="C693" s="845">
        <v>2801.83</v>
      </c>
      <c r="D693" s="817">
        <f t="shared" si="340"/>
        <v>-9.4847904610102177E-4</v>
      </c>
      <c r="E693" s="844">
        <f t="shared" si="341"/>
        <v>0.33265634215482953</v>
      </c>
      <c r="F693" s="841">
        <v>7820.19</v>
      </c>
      <c r="G693" s="817">
        <f t="shared" si="342"/>
        <v>-6.5173303481409176E-4</v>
      </c>
      <c r="H693" s="822">
        <f t="shared" si="343"/>
        <v>0.53587014160300095</v>
      </c>
      <c r="I693" s="866">
        <v>393654.11</v>
      </c>
      <c r="J693" s="825">
        <v>300000</v>
      </c>
      <c r="K693" s="825">
        <f t="shared" si="344"/>
        <v>-625.45000000001164</v>
      </c>
      <c r="L693" s="817">
        <f t="shared" si="345"/>
        <v>-1.5863109921295734E-3</v>
      </c>
      <c r="M693" s="842">
        <f t="shared" si="346"/>
        <v>93654.109999999986</v>
      </c>
      <c r="N693" s="827">
        <f t="shared" si="347"/>
        <v>0.3121803666666666</v>
      </c>
      <c r="O693" s="811">
        <f t="shared" si="348"/>
        <v>0.10676393157771534</v>
      </c>
      <c r="P693" s="842" t="b">
        <f t="shared" si="349"/>
        <v>0</v>
      </c>
      <c r="Q693" s="827">
        <f>COUNTIF(P$2:P693, TRUE)/(COUNTIF(P$2:P693,FALSE) + COUNTIF(P$2:P693, TRUE))</f>
        <v>0.49566473988439308</v>
      </c>
      <c r="R693" s="825">
        <v>264730.7</v>
      </c>
      <c r="S693" s="825">
        <f t="shared" si="338"/>
        <v>128923.40999999997</v>
      </c>
      <c r="T693" s="825">
        <v>-31596</v>
      </c>
      <c r="U693" s="825">
        <f t="shared" si="350"/>
        <v>125250.10999999999</v>
      </c>
      <c r="V693" s="827">
        <f>STDEV(D$2:D693)*SQRT(252)</f>
        <v>0.13975360173239254</v>
      </c>
      <c r="W693" s="827">
        <f>STDEV(L$2:L693)*SQRT(252)</f>
        <v>0.26756768889690702</v>
      </c>
      <c r="X693" s="826">
        <f t="shared" si="351"/>
        <v>0.81405129278129884</v>
      </c>
      <c r="Y693" s="826">
        <f t="shared" si="352"/>
        <v>0.39901653304204138</v>
      </c>
      <c r="Z693" s="832">
        <f t="shared" si="353"/>
        <v>-2.0475975488162934E-2</v>
      </c>
    </row>
    <row r="694" spans="1:26" ht="20.100000000000001" customHeight="1" x14ac:dyDescent="0.2">
      <c r="A694" s="801">
        <f t="shared" si="339"/>
        <v>1071</v>
      </c>
      <c r="B694" s="820">
        <v>43304</v>
      </c>
      <c r="C694" s="845">
        <v>2806.98</v>
      </c>
      <c r="D694" s="817">
        <f t="shared" si="340"/>
        <v>1.8380843948419751E-3</v>
      </c>
      <c r="E694" s="844">
        <f t="shared" si="341"/>
        <v>0.33510587698103156</v>
      </c>
      <c r="F694" s="841">
        <v>7841.87</v>
      </c>
      <c r="G694" s="817">
        <f t="shared" si="342"/>
        <v>2.7723111586803253E-3</v>
      </c>
      <c r="H694" s="822">
        <f t="shared" si="343"/>
        <v>0.54012805153485088</v>
      </c>
      <c r="I694" s="866">
        <v>395267.72</v>
      </c>
      <c r="J694" s="825">
        <v>300000</v>
      </c>
      <c r="K694" s="825">
        <f t="shared" si="344"/>
        <v>1613.609999999986</v>
      </c>
      <c r="L694" s="817">
        <f t="shared" si="345"/>
        <v>4.0990553864660171E-3</v>
      </c>
      <c r="M694" s="842">
        <f t="shared" si="346"/>
        <v>95267.719999999972</v>
      </c>
      <c r="N694" s="827">
        <f t="shared" si="347"/>
        <v>0.31755906666666656</v>
      </c>
      <c r="O694" s="811">
        <f t="shared" si="348"/>
        <v>0.10829920550887018</v>
      </c>
      <c r="P694" s="842" t="b">
        <f t="shared" si="349"/>
        <v>1</v>
      </c>
      <c r="Q694" s="827">
        <f>COUNTIF(P$2:P694, TRUE)/(COUNTIF(P$2:P694,FALSE) + COUNTIF(P$2:P694, TRUE))</f>
        <v>0.49639249639249639</v>
      </c>
      <c r="R694" s="825">
        <v>262282.39</v>
      </c>
      <c r="S694" s="825">
        <f t="shared" si="338"/>
        <v>132985.32999999996</v>
      </c>
      <c r="T694" s="825">
        <v>-31343</v>
      </c>
      <c r="U694" s="825">
        <f t="shared" si="350"/>
        <v>126610.71999999997</v>
      </c>
      <c r="V694" s="827">
        <f>STDEV(D$2:D694)*SQRT(252)</f>
        <v>0.13965493723627229</v>
      </c>
      <c r="W694" s="827">
        <f>STDEV(L$2:L694)*SQRT(252)</f>
        <v>0.2673821540591399</v>
      </c>
      <c r="X694" s="826">
        <f t="shared" si="351"/>
        <v>0.81832629083639241</v>
      </c>
      <c r="Y694" s="826">
        <f t="shared" si="352"/>
        <v>0.40503527952324159</v>
      </c>
      <c r="Z694" s="832">
        <f t="shared" si="353"/>
        <v>-1.7546810314365002E-2</v>
      </c>
    </row>
    <row r="695" spans="1:26" ht="20.100000000000001" customHeight="1" x14ac:dyDescent="0.2">
      <c r="A695" s="801">
        <f t="shared" si="339"/>
        <v>1072</v>
      </c>
      <c r="B695" s="820">
        <v>43305</v>
      </c>
      <c r="C695" s="845">
        <v>2820.4</v>
      </c>
      <c r="D695" s="817">
        <f t="shared" si="340"/>
        <v>4.7809389450584163E-3</v>
      </c>
      <c r="E695" s="844">
        <f t="shared" si="341"/>
        <v>0.34148893666406654</v>
      </c>
      <c r="F695" s="841">
        <v>7840.76</v>
      </c>
      <c r="G695" s="817">
        <f t="shared" si="342"/>
        <v>-1.4154787059714999E-4</v>
      </c>
      <c r="H695" s="822">
        <f t="shared" si="343"/>
        <v>0.53991004968870915</v>
      </c>
      <c r="I695" s="866">
        <v>396061.88</v>
      </c>
      <c r="J695" s="825">
        <v>300000</v>
      </c>
      <c r="K695" s="825">
        <f t="shared" si="344"/>
        <v>794.1600000000326</v>
      </c>
      <c r="L695" s="817">
        <f t="shared" si="345"/>
        <v>2.0091698861724218E-3</v>
      </c>
      <c r="M695" s="842">
        <f t="shared" si="346"/>
        <v>96061.88</v>
      </c>
      <c r="N695" s="827">
        <f t="shared" si="347"/>
        <v>0.32020626666666668</v>
      </c>
      <c r="O695" s="811">
        <f t="shared" si="348"/>
        <v>0.10910012957089553</v>
      </c>
      <c r="P695" s="842" t="b">
        <f t="shared" si="349"/>
        <v>0</v>
      </c>
      <c r="Q695" s="827">
        <f>COUNTIF(P$2:P695, TRUE)/(COUNTIF(P$2:P695,FALSE) + COUNTIF(P$2:P695, TRUE))</f>
        <v>0.49567723342939479</v>
      </c>
      <c r="R695" s="825">
        <v>258956.66</v>
      </c>
      <c r="S695" s="825">
        <f t="shared" si="338"/>
        <v>137105.22</v>
      </c>
      <c r="T695" s="825">
        <v>-31316</v>
      </c>
      <c r="U695" s="825">
        <f t="shared" si="350"/>
        <v>127377.88</v>
      </c>
      <c r="V695" s="827">
        <f>STDEV(D$2:D695)*SQRT(252)</f>
        <v>0.13957835749612202</v>
      </c>
      <c r="W695" s="827">
        <f>STDEV(L$2:L695)*SQRT(252)</f>
        <v>0.26719015389352224</v>
      </c>
      <c r="X695" s="826">
        <f t="shared" si="351"/>
        <v>0.8335928753545212</v>
      </c>
      <c r="Y695" s="826">
        <f t="shared" si="352"/>
        <v>0.40832391456450506</v>
      </c>
      <c r="Z695" s="832">
        <f t="shared" si="353"/>
        <v>-2.1282669997399861E-2</v>
      </c>
    </row>
    <row r="696" spans="1:26" ht="20.100000000000001" customHeight="1" x14ac:dyDescent="0.2">
      <c r="A696" s="801">
        <f t="shared" si="339"/>
        <v>1073</v>
      </c>
      <c r="B696" s="820">
        <v>43306</v>
      </c>
      <c r="C696" s="845">
        <v>2846.07</v>
      </c>
      <c r="D696" s="817">
        <f t="shared" si="340"/>
        <v>9.1015458800170444E-3</v>
      </c>
      <c r="E696" s="844">
        <f t="shared" si="341"/>
        <v>0.35369855976864978</v>
      </c>
      <c r="F696" s="841">
        <v>7932.23</v>
      </c>
      <c r="G696" s="817">
        <f t="shared" si="342"/>
        <v>1.16659609527647E-2</v>
      </c>
      <c r="H696" s="822">
        <f t="shared" si="343"/>
        <v>0.5578745801991476</v>
      </c>
      <c r="I696" s="866">
        <v>397194.94</v>
      </c>
      <c r="J696" s="825">
        <v>300000</v>
      </c>
      <c r="K696" s="825">
        <f t="shared" si="344"/>
        <v>1133.0599999999977</v>
      </c>
      <c r="L696" s="817">
        <f t="shared" si="345"/>
        <v>2.8608155877056325E-3</v>
      </c>
      <c r="M696" s="842">
        <f t="shared" si="346"/>
        <v>97194.94</v>
      </c>
      <c r="N696" s="827">
        <f t="shared" si="347"/>
        <v>0.32398313333333334</v>
      </c>
      <c r="O696" s="811">
        <f t="shared" si="348"/>
        <v>0.11028410013979496</v>
      </c>
      <c r="P696" s="842" t="b">
        <f t="shared" si="349"/>
        <v>0</v>
      </c>
      <c r="Q696" s="827">
        <f>COUNTIF(P$2:P696, TRUE)/(COUNTIF(P$2:P696,FALSE) + COUNTIF(P$2:P696, TRUE))</f>
        <v>0.49496402877697843</v>
      </c>
      <c r="R696" s="825">
        <v>311104.62</v>
      </c>
      <c r="S696" s="825">
        <f t="shared" si="338"/>
        <v>86090.32</v>
      </c>
      <c r="T696" s="825">
        <v>-31452</v>
      </c>
      <c r="U696" s="825">
        <f t="shared" si="350"/>
        <v>128646.94</v>
      </c>
      <c r="V696" s="827">
        <f>STDEV(D$2:D696)*SQRT(252)</f>
        <v>0.13957472754547251</v>
      </c>
      <c r="W696" s="827">
        <f>STDEV(L$2:L696)*SQRT(252)</f>
        <v>0.26700063672614199</v>
      </c>
      <c r="X696" s="826">
        <f t="shared" si="351"/>
        <v>0.86261499893794014</v>
      </c>
      <c r="Y696" s="826">
        <f t="shared" si="352"/>
        <v>0.41304807918084285</v>
      </c>
      <c r="Z696" s="832">
        <f t="shared" si="353"/>
        <v>-2.9715426435316439E-2</v>
      </c>
    </row>
    <row r="697" spans="1:26" ht="20.100000000000001" customHeight="1" x14ac:dyDescent="0.2">
      <c r="A697" s="801">
        <f t="shared" si="339"/>
        <v>1074</v>
      </c>
      <c r="B697" s="820">
        <v>43307</v>
      </c>
      <c r="C697" s="845">
        <v>2837.44</v>
      </c>
      <c r="D697" s="817">
        <f t="shared" si="340"/>
        <v>-3.0322514906520599E-3</v>
      </c>
      <c r="E697" s="844">
        <f t="shared" si="341"/>
        <v>0.34959380529289774</v>
      </c>
      <c r="F697" s="841">
        <v>7852.18</v>
      </c>
      <c r="G697" s="817">
        <f t="shared" si="342"/>
        <v>-1.0091739649505785E-2</v>
      </c>
      <c r="H697" s="822">
        <f t="shared" si="343"/>
        <v>0.54215291552919465</v>
      </c>
      <c r="I697" s="866">
        <v>399108.12</v>
      </c>
      <c r="J697" s="825">
        <v>300000</v>
      </c>
      <c r="K697" s="825">
        <f t="shared" si="344"/>
        <v>1913.179999999993</v>
      </c>
      <c r="L697" s="817">
        <f t="shared" si="345"/>
        <v>4.8167280278041636E-3</v>
      </c>
      <c r="M697" s="842">
        <f t="shared" si="346"/>
        <v>99108.12</v>
      </c>
      <c r="N697" s="827">
        <f t="shared" si="347"/>
        <v>0.3303604</v>
      </c>
      <c r="O697" s="811">
        <f t="shared" si="348"/>
        <v>0.11235021983240223</v>
      </c>
      <c r="P697" s="842" t="b">
        <f t="shared" si="349"/>
        <v>1</v>
      </c>
      <c r="Q697" s="827">
        <f>COUNTIF(P$2:P697, TRUE)/(COUNTIF(P$2:P697,FALSE) + COUNTIF(P$2:P697, TRUE))</f>
        <v>0.49568965517241381</v>
      </c>
      <c r="R697" s="825">
        <v>302471.34000000003</v>
      </c>
      <c r="S697" s="825">
        <f t="shared" si="338"/>
        <v>96636.77999999997</v>
      </c>
      <c r="T697" s="825">
        <v>-31624</v>
      </c>
      <c r="U697" s="825">
        <f t="shared" si="350"/>
        <v>130732.12</v>
      </c>
      <c r="V697" s="827">
        <f>STDEV(D$2:D697)*SQRT(252)</f>
        <v>0.13949012206949335</v>
      </c>
      <c r="W697" s="827">
        <f>STDEV(L$2:L697)*SQRT(252)</f>
        <v>0.26681999531144557</v>
      </c>
      <c r="X697" s="826">
        <f t="shared" si="351"/>
        <v>0.85232694334176662</v>
      </c>
      <c r="Y697" s="826">
        <f t="shared" si="352"/>
        <v>0.42107121582571599</v>
      </c>
      <c r="Z697" s="832">
        <f t="shared" si="353"/>
        <v>-1.9233405292897743E-2</v>
      </c>
    </row>
    <row r="698" spans="1:26" ht="20.100000000000001" customHeight="1" x14ac:dyDescent="0.2">
      <c r="A698" s="801">
        <f t="shared" si="339"/>
        <v>1075</v>
      </c>
      <c r="B698" s="820">
        <v>43308</v>
      </c>
      <c r="C698" s="845">
        <v>2818.85</v>
      </c>
      <c r="D698" s="817">
        <f t="shared" si="340"/>
        <v>-6.5516803879553916E-3</v>
      </c>
      <c r="E698" s="844">
        <f t="shared" si="341"/>
        <v>0.34075169802705418</v>
      </c>
      <c r="F698" s="841">
        <v>7737.41</v>
      </c>
      <c r="G698" s="817">
        <f t="shared" si="342"/>
        <v>-1.461632311027007E-2</v>
      </c>
      <c r="H698" s="822">
        <f t="shared" si="343"/>
        <v>0.51961231023037491</v>
      </c>
      <c r="I698" s="866">
        <v>400512.23</v>
      </c>
      <c r="J698" s="825">
        <v>300000</v>
      </c>
      <c r="K698" s="825">
        <f t="shared" si="344"/>
        <v>1404.109999999986</v>
      </c>
      <c r="L698" s="817">
        <f t="shared" si="345"/>
        <v>3.5181193507162574E-3</v>
      </c>
      <c r="M698" s="842">
        <f t="shared" si="346"/>
        <v>100512.22999999998</v>
      </c>
      <c r="N698" s="827">
        <f t="shared" si="347"/>
        <v>0.3350407666666666</v>
      </c>
      <c r="O698" s="811">
        <f t="shared" si="348"/>
        <v>0.11383594420930231</v>
      </c>
      <c r="P698" s="842" t="b">
        <f t="shared" si="349"/>
        <v>1</v>
      </c>
      <c r="Q698" s="827">
        <f>COUNTIF(P$2:P698, TRUE)/(COUNTIF(P$2:P698,FALSE) + COUNTIF(P$2:P698, TRUE))</f>
        <v>0.4964131994261119</v>
      </c>
      <c r="R698" s="825">
        <v>303807.39</v>
      </c>
      <c r="S698" s="825">
        <f t="shared" si="338"/>
        <v>96704.839999999967</v>
      </c>
      <c r="T698" s="825">
        <v>-31335</v>
      </c>
      <c r="U698" s="825">
        <f t="shared" si="350"/>
        <v>131847.22999999998</v>
      </c>
      <c r="V698" s="827">
        <f>STDEV(D$2:D698)*SQRT(252)</f>
        <v>0.13945375345080335</v>
      </c>
      <c r="W698" s="827">
        <f>STDEV(L$2:L698)*SQRT(252)</f>
        <v>0.26663352765470749</v>
      </c>
      <c r="X698" s="826">
        <f t="shared" si="351"/>
        <v>0.83021309848863689</v>
      </c>
      <c r="Y698" s="826">
        <f t="shared" si="352"/>
        <v>0.42693784690393755</v>
      </c>
      <c r="Z698" s="832">
        <f t="shared" si="353"/>
        <v>-5.7109313603875833E-3</v>
      </c>
    </row>
    <row r="699" spans="1:26" ht="20.100000000000001" customHeight="1" x14ac:dyDescent="0.2">
      <c r="A699" s="801">
        <f t="shared" si="339"/>
        <v>1078</v>
      </c>
      <c r="B699" s="820">
        <v>43311</v>
      </c>
      <c r="C699" s="845">
        <v>2802.6</v>
      </c>
      <c r="D699" s="817">
        <f t="shared" si="340"/>
        <v>-5.7647622257303516E-3</v>
      </c>
      <c r="E699" s="844">
        <f t="shared" si="341"/>
        <v>0.33302258328418399</v>
      </c>
      <c r="F699" s="841">
        <v>7630</v>
      </c>
      <c r="G699" s="817">
        <f t="shared" si="342"/>
        <v>-1.3881906219264568E-2</v>
      </c>
      <c r="H699" s="822">
        <f t="shared" si="343"/>
        <v>0.4985171946501169</v>
      </c>
      <c r="I699" s="866">
        <v>404801.42</v>
      </c>
      <c r="J699" s="825">
        <v>300000</v>
      </c>
      <c r="K699" s="825">
        <f t="shared" si="344"/>
        <v>4289.1900000000023</v>
      </c>
      <c r="L699" s="817">
        <f t="shared" si="345"/>
        <v>1.0709260988110158E-2</v>
      </c>
      <c r="M699" s="842">
        <f t="shared" si="346"/>
        <v>104801.41999999998</v>
      </c>
      <c r="N699" s="827">
        <f t="shared" si="347"/>
        <v>0.34933806666666661</v>
      </c>
      <c r="O699" s="811">
        <f t="shared" si="348"/>
        <v>0.11836338483302411</v>
      </c>
      <c r="P699" s="842" t="b">
        <f t="shared" si="349"/>
        <v>1</v>
      </c>
      <c r="Q699" s="827">
        <f>COUNTIF(P$2:P699, TRUE)/(COUNTIF(P$2:P699,FALSE) + COUNTIF(P$2:P699, TRUE))</f>
        <v>0.49713467048710602</v>
      </c>
      <c r="R699" s="825">
        <v>290391.89</v>
      </c>
      <c r="S699" s="825">
        <f t="shared" si="338"/>
        <v>114409.52999999997</v>
      </c>
      <c r="T699" s="825">
        <v>-31137</v>
      </c>
      <c r="U699" s="825">
        <f t="shared" si="350"/>
        <v>135938.41999999998</v>
      </c>
      <c r="V699" s="827">
        <f>STDEV(D$2:D699)*SQRT(252)</f>
        <v>0.13940379006719908</v>
      </c>
      <c r="W699" s="827">
        <f>STDEV(L$2:L699)*SQRT(252)</f>
        <v>0.26651040634496115</v>
      </c>
      <c r="X699" s="826">
        <f t="shared" si="351"/>
        <v>0.8094137313172598</v>
      </c>
      <c r="Y699" s="826">
        <f t="shared" si="352"/>
        <v>0.44412293859857371</v>
      </c>
      <c r="Z699" s="832">
        <f t="shared" si="353"/>
        <v>1.6315483382482621E-2</v>
      </c>
    </row>
    <row r="700" spans="1:26" ht="20.100000000000001" customHeight="1" x14ac:dyDescent="0.2">
      <c r="A700" s="801">
        <f t="shared" si="339"/>
        <v>1079</v>
      </c>
      <c r="B700" s="820">
        <v>43312</v>
      </c>
      <c r="C700" s="845">
        <v>2816.29</v>
      </c>
      <c r="D700" s="817">
        <f t="shared" si="340"/>
        <v>4.884749875115983E-3</v>
      </c>
      <c r="E700" s="844">
        <f t="shared" si="341"/>
        <v>0.33953406518140822</v>
      </c>
      <c r="F700" s="841">
        <v>7671.78</v>
      </c>
      <c r="G700" s="817">
        <f t="shared" si="342"/>
        <v>5.4757536041939378E-3</v>
      </c>
      <c r="H700" s="822">
        <f t="shared" si="343"/>
        <v>0.50672270557966892</v>
      </c>
      <c r="I700" s="867">
        <v>404183.05</v>
      </c>
      <c r="J700" s="825">
        <v>300000</v>
      </c>
      <c r="K700" s="825">
        <f t="shared" si="344"/>
        <v>-618.36999999999534</v>
      </c>
      <c r="L700" s="817">
        <f t="shared" si="345"/>
        <v>-1.5275885148821745E-3</v>
      </c>
      <c r="M700" s="847">
        <f t="shared" si="346"/>
        <v>104183.04999999999</v>
      </c>
      <c r="N700" s="827">
        <f t="shared" si="347"/>
        <v>0.34727683333333331</v>
      </c>
      <c r="O700" s="811">
        <f t="shared" si="348"/>
        <v>0.1175559438137164</v>
      </c>
      <c r="P700" s="842" t="b">
        <f t="shared" si="349"/>
        <v>0</v>
      </c>
      <c r="Q700" s="827">
        <f>COUNTIF(P$2:P700, TRUE)/(COUNTIF(P$2:P700,FALSE) + COUNTIF(P$2:P700, TRUE))</f>
        <v>0.49642346208869814</v>
      </c>
      <c r="R700" s="825">
        <v>292466.09999999998</v>
      </c>
      <c r="S700" s="825">
        <f t="shared" si="338"/>
        <v>111716.95000000001</v>
      </c>
      <c r="T700" s="825">
        <v>-31145</v>
      </c>
      <c r="U700" s="825">
        <f t="shared" si="350"/>
        <v>135328.04999999999</v>
      </c>
      <c r="V700" s="827">
        <f>STDEV(D$2:D700)*SQRT(252)</f>
        <v>0.13932922287713678</v>
      </c>
      <c r="W700" s="827">
        <f>STDEV(L$2:L700)*SQRT(252)</f>
        <v>0.26632244353509082</v>
      </c>
      <c r="X700" s="826">
        <f t="shared" si="351"/>
        <v>0.82491636302824856</v>
      </c>
      <c r="Y700" s="826">
        <f t="shared" si="352"/>
        <v>0.44140457053979809</v>
      </c>
      <c r="Z700" s="832">
        <f t="shared" si="353"/>
        <v>7.7427681519250946E-3</v>
      </c>
    </row>
    <row r="701" spans="1:26" ht="20.100000000000001" customHeight="1" x14ac:dyDescent="0.2">
      <c r="A701" s="801">
        <f t="shared" si="339"/>
        <v>1080</v>
      </c>
      <c r="B701" s="820">
        <v>43313</v>
      </c>
      <c r="C701" s="845">
        <v>2813.36</v>
      </c>
      <c r="D701" s="817">
        <f t="shared" si="340"/>
        <v>-1.0403758135702774E-3</v>
      </c>
      <c r="E701" s="844">
        <f t="shared" si="341"/>
        <v>0.33814044633854001</v>
      </c>
      <c r="F701" s="841">
        <v>7707.28</v>
      </c>
      <c r="G701" s="817">
        <f t="shared" si="342"/>
        <v>4.6273485423200351E-3</v>
      </c>
      <c r="H701" s="822">
        <f t="shared" si="343"/>
        <v>0.51369483669501348</v>
      </c>
      <c r="I701" s="866">
        <v>400088.38</v>
      </c>
      <c r="J701" s="825">
        <v>300000</v>
      </c>
      <c r="K701" s="825">
        <f t="shared" si="344"/>
        <v>-4094.6699999999837</v>
      </c>
      <c r="L701" s="817">
        <f t="shared" si="345"/>
        <v>-1.0130731607869215E-2</v>
      </c>
      <c r="M701" s="842">
        <f t="shared" si="346"/>
        <v>100088.38</v>
      </c>
      <c r="N701" s="827">
        <f t="shared" si="347"/>
        <v>0.33362793333333335</v>
      </c>
      <c r="O701" s="811">
        <f t="shared" si="348"/>
        <v>0.11283111356481483</v>
      </c>
      <c r="P701" s="842" t="b">
        <f t="shared" si="349"/>
        <v>0</v>
      </c>
      <c r="Q701" s="827">
        <f>COUNTIF(P$2:P701, TRUE)/(COUNTIF(P$2:P701,FALSE) + COUNTIF(P$2:P701, TRUE))</f>
        <v>0.49571428571428572</v>
      </c>
      <c r="R701" s="825">
        <v>307659.33</v>
      </c>
      <c r="S701" s="825">
        <f t="shared" si="338"/>
        <v>92429.049999999988</v>
      </c>
      <c r="T701" s="825">
        <v>-31149</v>
      </c>
      <c r="U701" s="825">
        <f t="shared" si="350"/>
        <v>131237.38</v>
      </c>
      <c r="V701" s="827">
        <f>STDEV(D$2:D701)*SQRT(252)</f>
        <v>0.13923228528742781</v>
      </c>
      <c r="W701" s="827">
        <f>STDEV(L$2:L701)*SQRT(252)</f>
        <v>0.26621063577113346</v>
      </c>
      <c r="X701" s="826">
        <f t="shared" si="351"/>
        <v>0.82134125829783444</v>
      </c>
      <c r="Y701" s="826">
        <f t="shared" si="352"/>
        <v>0.42384149392820641</v>
      </c>
      <c r="Z701" s="832">
        <f t="shared" si="353"/>
        <v>-4.5125130052066642E-3</v>
      </c>
    </row>
    <row r="702" spans="1:26" ht="20.100000000000001" customHeight="1" x14ac:dyDescent="0.2">
      <c r="A702" s="801">
        <f t="shared" si="339"/>
        <v>1081</v>
      </c>
      <c r="B702" s="820">
        <v>43314</v>
      </c>
      <c r="C702" s="845">
        <v>2827.22</v>
      </c>
      <c r="D702" s="817">
        <f t="shared" si="340"/>
        <v>4.926493587738388E-3</v>
      </c>
      <c r="E702" s="844">
        <f t="shared" si="341"/>
        <v>0.3447327866669202</v>
      </c>
      <c r="F702" s="841">
        <v>7802.68</v>
      </c>
      <c r="G702" s="817">
        <f t="shared" si="342"/>
        <v>1.2377907640568469E-2</v>
      </c>
      <c r="H702" s="822">
        <f t="shared" si="343"/>
        <v>0.53243121157962969</v>
      </c>
      <c r="I702" s="866">
        <v>403196.94</v>
      </c>
      <c r="J702" s="825">
        <v>300000</v>
      </c>
      <c r="K702" s="825">
        <f t="shared" si="344"/>
        <v>3108.5599999999977</v>
      </c>
      <c r="L702" s="817">
        <f t="shared" si="345"/>
        <v>7.7696832884774046E-3</v>
      </c>
      <c r="M702" s="842">
        <f t="shared" si="346"/>
        <v>103196.94</v>
      </c>
      <c r="N702" s="827">
        <f t="shared" si="347"/>
        <v>0.34398980000000001</v>
      </c>
      <c r="O702" s="811">
        <f t="shared" si="348"/>
        <v>0.11622782095282147</v>
      </c>
      <c r="P702" s="842" t="b">
        <f t="shared" si="349"/>
        <v>1</v>
      </c>
      <c r="Q702" s="827">
        <f>COUNTIF(P$2:P702, TRUE)/(COUNTIF(P$2:P702,FALSE) + COUNTIF(P$2:P702, TRUE))</f>
        <v>0.49643366619115548</v>
      </c>
      <c r="R702" s="825">
        <v>309280.24</v>
      </c>
      <c r="S702" s="825">
        <f t="shared" si="338"/>
        <v>93916.700000000012</v>
      </c>
      <c r="T702" s="825">
        <v>-31192</v>
      </c>
      <c r="U702" s="825">
        <f t="shared" si="350"/>
        <v>134388.94</v>
      </c>
      <c r="V702" s="827">
        <f>STDEV(D$2:D702)*SQRT(252)</f>
        <v>0.13915851795625786</v>
      </c>
      <c r="W702" s="827">
        <f>STDEV(L$2:L702)*SQRT(252)</f>
        <v>0.2660543756926837</v>
      </c>
      <c r="X702" s="826">
        <f t="shared" si="351"/>
        <v>0.83702287276898191</v>
      </c>
      <c r="Y702" s="826">
        <f t="shared" si="352"/>
        <v>0.43685739296795056</v>
      </c>
      <c r="Z702" s="832">
        <f t="shared" si="353"/>
        <v>-7.4298666692018678E-4</v>
      </c>
    </row>
    <row r="703" spans="1:26" ht="20.100000000000001" customHeight="1" x14ac:dyDescent="0.2">
      <c r="A703" s="801">
        <f t="shared" si="339"/>
        <v>1082</v>
      </c>
      <c r="B703" s="820">
        <v>43315</v>
      </c>
      <c r="C703" s="845">
        <v>2840.35</v>
      </c>
      <c r="D703" s="817">
        <f t="shared" si="340"/>
        <v>4.6441380578802179E-3</v>
      </c>
      <c r="E703" s="844">
        <f t="shared" si="341"/>
        <v>0.3509779113791594</v>
      </c>
      <c r="F703" s="841">
        <v>7812.01</v>
      </c>
      <c r="G703" s="817">
        <f t="shared" si="342"/>
        <v>1.1957430011226818E-3</v>
      </c>
      <c r="H703" s="822">
        <f t="shared" si="343"/>
        <v>0.53426360547557805</v>
      </c>
      <c r="I703" s="866">
        <v>406121.93</v>
      </c>
      <c r="J703" s="825">
        <v>300000</v>
      </c>
      <c r="K703" s="825">
        <f t="shared" si="344"/>
        <v>2924.9899999999907</v>
      </c>
      <c r="L703" s="817">
        <f t="shared" si="345"/>
        <v>7.2544945405587421E-3</v>
      </c>
      <c r="M703" s="842">
        <f t="shared" si="346"/>
        <v>106121.93</v>
      </c>
      <c r="N703" s="827">
        <f t="shared" si="347"/>
        <v>0.35373976666666662</v>
      </c>
      <c r="O703" s="811">
        <f t="shared" si="348"/>
        <v>0.11941169110443622</v>
      </c>
      <c r="P703" s="842" t="b">
        <f t="shared" si="349"/>
        <v>1</v>
      </c>
      <c r="Q703" s="827">
        <f>COUNTIF(P$2:P703, TRUE)/(COUNTIF(P$2:P703,FALSE) + COUNTIF(P$2:P703, TRUE))</f>
        <v>0.49715099715099714</v>
      </c>
      <c r="R703" s="825">
        <v>312205.21999999997</v>
      </c>
      <c r="S703" s="825">
        <f t="shared" si="338"/>
        <v>93916.710000000021</v>
      </c>
      <c r="T703" s="825">
        <v>-31000</v>
      </c>
      <c r="U703" s="825">
        <f t="shared" si="350"/>
        <v>137121.93</v>
      </c>
      <c r="V703" s="827">
        <f>STDEV(D$2:D703)*SQRT(252)</f>
        <v>0.1390816932746255</v>
      </c>
      <c r="W703" s="827">
        <f>STDEV(L$2:L703)*SQRT(252)</f>
        <v>0.2658936052973383</v>
      </c>
      <c r="X703" s="826">
        <f t="shared" si="351"/>
        <v>0.85186893195189872</v>
      </c>
      <c r="Y703" s="826">
        <f t="shared" si="352"/>
        <v>0.44909576133244294</v>
      </c>
      <c r="Z703" s="832">
        <f t="shared" si="353"/>
        <v>2.76185528750722E-3</v>
      </c>
    </row>
    <row r="704" spans="1:26" ht="20.100000000000001" customHeight="1" x14ac:dyDescent="0.2">
      <c r="A704" s="801">
        <f t="shared" si="339"/>
        <v>1085</v>
      </c>
      <c r="B704" s="820">
        <v>43318</v>
      </c>
      <c r="C704" s="845">
        <v>2850.4</v>
      </c>
      <c r="D704" s="817">
        <f t="shared" si="340"/>
        <v>3.5382963367191307E-3</v>
      </c>
      <c r="E704" s="844">
        <f t="shared" si="341"/>
        <v>0.35575807157398071</v>
      </c>
      <c r="F704" s="841">
        <v>7859.67</v>
      </c>
      <c r="G704" s="817">
        <f t="shared" si="342"/>
        <v>6.1008626461051445E-3</v>
      </c>
      <c r="H704" s="822">
        <f t="shared" si="343"/>
        <v>0.5436239369955026</v>
      </c>
      <c r="I704" s="866">
        <v>404173.08</v>
      </c>
      <c r="J704" s="825">
        <v>300000</v>
      </c>
      <c r="K704" s="825">
        <f t="shared" si="344"/>
        <v>-1948.8499999999767</v>
      </c>
      <c r="L704" s="817">
        <f t="shared" si="345"/>
        <v>-4.7986820115820308E-3</v>
      </c>
      <c r="M704" s="842">
        <f t="shared" si="346"/>
        <v>104173.08000000002</v>
      </c>
      <c r="N704" s="827">
        <f t="shared" si="347"/>
        <v>0.34724360000000004</v>
      </c>
      <c r="O704" s="811">
        <f t="shared" si="348"/>
        <v>0.11689467732718894</v>
      </c>
      <c r="P704" s="842" t="b">
        <f t="shared" si="349"/>
        <v>0</v>
      </c>
      <c r="Q704" s="827">
        <f>COUNTIF(P$2:P704, TRUE)/(COUNTIF(P$2:P704,FALSE) + COUNTIF(P$2:P704, TRUE))</f>
        <v>0.49644381223328593</v>
      </c>
      <c r="R704" s="825">
        <v>313010.24</v>
      </c>
      <c r="S704" s="825">
        <f t="shared" si="338"/>
        <v>91162.840000000026</v>
      </c>
      <c r="T704" s="825">
        <v>-32858</v>
      </c>
      <c r="U704" s="825">
        <f t="shared" si="350"/>
        <v>137031.08000000002</v>
      </c>
      <c r="V704" s="827">
        <f>STDEV(D$2:D704)*SQRT(252)</f>
        <v>0.13899463239959842</v>
      </c>
      <c r="W704" s="827">
        <f>STDEV(L$2:L704)*SQRT(252)</f>
        <v>0.26572413352504948</v>
      </c>
      <c r="X704" s="826">
        <f t="shared" si="351"/>
        <v>0.86162287306763052</v>
      </c>
      <c r="Y704" s="826">
        <f t="shared" si="352"/>
        <v>0.43990990120650608</v>
      </c>
      <c r="Z704" s="832">
        <f t="shared" si="353"/>
        <v>-8.5144715739806642E-3</v>
      </c>
    </row>
    <row r="705" spans="1:26" ht="20.100000000000001" customHeight="1" x14ac:dyDescent="0.2">
      <c r="A705" s="801">
        <f t="shared" si="339"/>
        <v>1086</v>
      </c>
      <c r="B705" s="820">
        <v>43319</v>
      </c>
      <c r="C705" s="845">
        <v>2858.45</v>
      </c>
      <c r="D705" s="817">
        <f t="shared" si="340"/>
        <v>2.8241650294694525E-3</v>
      </c>
      <c r="E705" s="844">
        <f t="shared" si="341"/>
        <v>0.3595869561081409</v>
      </c>
      <c r="F705" s="841">
        <v>7883.66</v>
      </c>
      <c r="G705" s="817">
        <f t="shared" si="342"/>
        <v>3.0522909994948619E-3</v>
      </c>
      <c r="H705" s="822">
        <f t="shared" si="343"/>
        <v>0.54833552644499872</v>
      </c>
      <c r="I705" s="866">
        <v>403006.24</v>
      </c>
      <c r="J705" s="825">
        <v>300000</v>
      </c>
      <c r="K705" s="825">
        <f t="shared" si="344"/>
        <v>-1166.8400000000256</v>
      </c>
      <c r="L705" s="817">
        <f t="shared" si="345"/>
        <v>-2.8869809933903209E-3</v>
      </c>
      <c r="M705" s="842">
        <f t="shared" si="346"/>
        <v>103006.23999999999</v>
      </c>
      <c r="N705" s="827">
        <f t="shared" si="347"/>
        <v>0.34335413333333331</v>
      </c>
      <c r="O705" s="811">
        <f t="shared" si="348"/>
        <v>0.11547891086556168</v>
      </c>
      <c r="P705" s="842" t="b">
        <f t="shared" si="349"/>
        <v>0</v>
      </c>
      <c r="Q705" s="827">
        <f>COUNTIF(P$2:P705, TRUE)/(COUNTIF(P$2:P705,FALSE) + COUNTIF(P$2:P705, TRUE))</f>
        <v>0.49573863636363635</v>
      </c>
      <c r="R705" s="825">
        <v>318253</v>
      </c>
      <c r="S705" s="825">
        <f t="shared" si="338"/>
        <v>84753.239999999991</v>
      </c>
      <c r="T705" s="825">
        <v>-33618</v>
      </c>
      <c r="U705" s="825">
        <f t="shared" si="350"/>
        <v>136624.24</v>
      </c>
      <c r="V705" s="827">
        <f>STDEV(D$2:D705)*SQRT(252)</f>
        <v>0.13890273764231756</v>
      </c>
      <c r="W705" s="827">
        <f>STDEV(L$2:L705)*SQRT(252)</f>
        <v>0.26554333708806838</v>
      </c>
      <c r="X705" s="826">
        <f t="shared" si="351"/>
        <v>0.87066988550967461</v>
      </c>
      <c r="Y705" s="826">
        <f t="shared" si="352"/>
        <v>0.43487783249203765</v>
      </c>
      <c r="Z705" s="832">
        <f t="shared" si="353"/>
        <v>-1.6232822774807587E-2</v>
      </c>
    </row>
    <row r="706" spans="1:26" ht="20.100000000000001" customHeight="1" x14ac:dyDescent="0.2">
      <c r="A706" s="801">
        <f t="shared" si="339"/>
        <v>1087</v>
      </c>
      <c r="B706" s="820">
        <v>43320</v>
      </c>
      <c r="C706" s="845">
        <v>2857.7</v>
      </c>
      <c r="D706" s="817">
        <f t="shared" si="340"/>
        <v>-2.6237996116776574E-4</v>
      </c>
      <c r="E706" s="844">
        <f t="shared" si="341"/>
        <v>0.35923022773539304</v>
      </c>
      <c r="F706" s="841">
        <v>7888.32</v>
      </c>
      <c r="G706" s="817">
        <f t="shared" si="342"/>
        <v>5.9109601378038302E-4</v>
      </c>
      <c r="H706" s="822">
        <f t="shared" si="343"/>
        <v>0.54925074140267494</v>
      </c>
      <c r="I706" s="866">
        <v>400744.76</v>
      </c>
      <c r="J706" s="825">
        <v>300000</v>
      </c>
      <c r="K706" s="825">
        <f t="shared" si="344"/>
        <v>-2261.4799999999814</v>
      </c>
      <c r="L706" s="817">
        <f t="shared" si="345"/>
        <v>-5.6115260150810106E-3</v>
      </c>
      <c r="M706" s="842">
        <f t="shared" si="346"/>
        <v>100744.76000000001</v>
      </c>
      <c r="N706" s="827">
        <f t="shared" si="347"/>
        <v>0.33581586666666668</v>
      </c>
      <c r="O706" s="811">
        <f t="shared" si="348"/>
        <v>0.11283969208831647</v>
      </c>
      <c r="P706" s="842" t="b">
        <f t="shared" si="349"/>
        <v>0</v>
      </c>
      <c r="Q706" s="827">
        <f>COUNTIF(P$2:P706, TRUE)/(COUNTIF(P$2:P706,FALSE) + COUNTIF(P$2:P706, TRUE))</f>
        <v>0.49503546099290779</v>
      </c>
      <c r="R706" s="825">
        <v>294990.73</v>
      </c>
      <c r="S706" s="825">
        <f t="shared" si="338"/>
        <v>105754.03000000003</v>
      </c>
      <c r="T706" s="825">
        <v>-34252</v>
      </c>
      <c r="U706" s="825">
        <f t="shared" si="350"/>
        <v>134996.76</v>
      </c>
      <c r="V706" s="827">
        <f>STDEV(D$2:D706)*SQRT(252)</f>
        <v>0.13880461129455129</v>
      </c>
      <c r="W706" s="827">
        <f>STDEV(L$2:L706)*SQRT(252)</f>
        <v>0.2653809631222358</v>
      </c>
      <c r="X706" s="826">
        <f t="shared" si="351"/>
        <v>0.86962028140096148</v>
      </c>
      <c r="Y706" s="826">
        <f t="shared" si="352"/>
        <v>0.42519889430178132</v>
      </c>
      <c r="Z706" s="832">
        <f t="shared" si="353"/>
        <v>-2.3414361068726353E-2</v>
      </c>
    </row>
    <row r="707" spans="1:26" ht="20.100000000000001" customHeight="1" x14ac:dyDescent="0.2">
      <c r="A707" s="801">
        <f t="shared" si="339"/>
        <v>1088</v>
      </c>
      <c r="B707" s="820">
        <v>43321</v>
      </c>
      <c r="C707" s="845">
        <v>2853.58</v>
      </c>
      <c r="D707" s="817">
        <f t="shared" si="340"/>
        <v>-1.4417188648213218E-3</v>
      </c>
      <c r="E707" s="844">
        <f t="shared" si="341"/>
        <v>0.35727059987443155</v>
      </c>
      <c r="F707" s="841">
        <v>7891.78</v>
      </c>
      <c r="G707" s="817">
        <f t="shared" si="342"/>
        <v>4.3862317958703965E-4</v>
      </c>
      <c r="H707" s="822">
        <f t="shared" si="343"/>
        <v>0.54993027868884659</v>
      </c>
      <c r="I707" s="866">
        <v>401364.9</v>
      </c>
      <c r="J707" s="825">
        <v>300000</v>
      </c>
      <c r="K707" s="825">
        <f t="shared" si="344"/>
        <v>620.14000000001397</v>
      </c>
      <c r="L707" s="817">
        <f t="shared" si="345"/>
        <v>1.5474687679010799E-3</v>
      </c>
      <c r="M707" s="842">
        <f t="shared" si="346"/>
        <v>101364.90000000002</v>
      </c>
      <c r="N707" s="827">
        <f t="shared" si="347"/>
        <v>0.3378830000000001</v>
      </c>
      <c r="O707" s="811">
        <f t="shared" si="348"/>
        <v>0.11342993175551473</v>
      </c>
      <c r="P707" s="842" t="b">
        <f t="shared" si="349"/>
        <v>1</v>
      </c>
      <c r="Q707" s="827">
        <f>COUNTIF(P$2:P707, TRUE)/(COUNTIF(P$2:P707,FALSE) + COUNTIF(P$2:P707, TRUE))</f>
        <v>0.49575070821529743</v>
      </c>
      <c r="R707" s="825">
        <v>304574.90999999997</v>
      </c>
      <c r="S707" s="825">
        <f t="shared" si="338"/>
        <v>96789.990000000049</v>
      </c>
      <c r="T707" s="825">
        <v>-34162</v>
      </c>
      <c r="U707" s="825">
        <f t="shared" si="350"/>
        <v>135526.90000000002</v>
      </c>
      <c r="V707" s="827">
        <f>STDEV(D$2:D707)*SQRT(252)</f>
        <v>0.13871072335629728</v>
      </c>
      <c r="W707" s="827">
        <f>STDEV(L$2:L707)*SQRT(252)</f>
        <v>0.26519295255991954</v>
      </c>
      <c r="X707" s="826">
        <f t="shared" si="351"/>
        <v>0.8646663777317245</v>
      </c>
      <c r="Y707" s="826">
        <f t="shared" si="352"/>
        <v>0.42772604121101443</v>
      </c>
      <c r="Z707" s="832">
        <f t="shared" si="353"/>
        <v>-1.9387599874431449E-2</v>
      </c>
    </row>
    <row r="708" spans="1:26" ht="20.100000000000001" customHeight="1" x14ac:dyDescent="0.2">
      <c r="A708" s="801">
        <f t="shared" si="339"/>
        <v>1089</v>
      </c>
      <c r="B708" s="820">
        <v>43322</v>
      </c>
      <c r="C708" s="845">
        <v>2833.28</v>
      </c>
      <c r="D708" s="817">
        <f t="shared" si="340"/>
        <v>-7.1138709971333303E-3</v>
      </c>
      <c r="E708" s="844">
        <f t="shared" si="341"/>
        <v>0.34761515191872305</v>
      </c>
      <c r="F708" s="841">
        <v>7839.11</v>
      </c>
      <c r="G708" s="817">
        <f t="shared" si="342"/>
        <v>-6.6740329811525506E-3</v>
      </c>
      <c r="H708" s="822">
        <f t="shared" si="343"/>
        <v>0.53958599289039022</v>
      </c>
      <c r="I708" s="866">
        <v>400580.36</v>
      </c>
      <c r="J708" s="825">
        <v>300000</v>
      </c>
      <c r="K708" s="825">
        <f t="shared" si="344"/>
        <v>-784.54000000003725</v>
      </c>
      <c r="L708" s="817">
        <f t="shared" si="345"/>
        <v>-1.9546801426832223E-3</v>
      </c>
      <c r="M708" s="842">
        <f t="shared" si="346"/>
        <v>100580.35999999999</v>
      </c>
      <c r="N708" s="827">
        <f t="shared" si="347"/>
        <v>0.33526786666666664</v>
      </c>
      <c r="O708" s="811">
        <f t="shared" si="348"/>
        <v>0.11244865775941229</v>
      </c>
      <c r="P708" s="842" t="b">
        <f t="shared" si="349"/>
        <v>1</v>
      </c>
      <c r="Q708" s="827">
        <f>COUNTIF(P$2:P708, TRUE)/(COUNTIF(P$2:P708,FALSE) + COUNTIF(P$2:P708, TRUE))</f>
        <v>0.49646393210749645</v>
      </c>
      <c r="R708" s="825">
        <v>303790.27</v>
      </c>
      <c r="S708" s="825">
        <f t="shared" si="338"/>
        <v>96790.089999999967</v>
      </c>
      <c r="T708" s="825">
        <v>-34222</v>
      </c>
      <c r="U708" s="825">
        <f t="shared" si="350"/>
        <v>134802.35999999999</v>
      </c>
      <c r="V708" s="827">
        <f>STDEV(D$2:D708)*SQRT(252)</f>
        <v>0.13868637564219252</v>
      </c>
      <c r="W708" s="827">
        <f>STDEV(L$2:L708)*SQRT(252)</f>
        <v>0.26500939544091756</v>
      </c>
      <c r="X708" s="826">
        <f t="shared" si="351"/>
        <v>0.84067328092010429</v>
      </c>
      <c r="Y708" s="826">
        <f t="shared" si="352"/>
        <v>0.42431951354902858</v>
      </c>
      <c r="Z708" s="832">
        <f t="shared" si="353"/>
        <v>-1.2347285252056417E-2</v>
      </c>
    </row>
    <row r="709" spans="1:26" ht="20.100000000000001" customHeight="1" x14ac:dyDescent="0.2">
      <c r="A709" s="801">
        <f t="shared" si="339"/>
        <v>1092</v>
      </c>
      <c r="B709" s="820">
        <v>43325</v>
      </c>
      <c r="C709" s="845">
        <v>2821.93</v>
      </c>
      <c r="D709" s="817">
        <f t="shared" si="340"/>
        <v>-4.0059577592050071E-3</v>
      </c>
      <c r="E709" s="844">
        <f t="shared" si="341"/>
        <v>0.34221666254447203</v>
      </c>
      <c r="F709" s="841">
        <v>7819.7</v>
      </c>
      <c r="G709" s="817">
        <f t="shared" si="342"/>
        <v>-2.4760463879190181E-3</v>
      </c>
      <c r="H709" s="822">
        <f t="shared" si="343"/>
        <v>0.5357739065538033</v>
      </c>
      <c r="I709" s="866">
        <v>398850.59</v>
      </c>
      <c r="J709" s="825">
        <v>300000</v>
      </c>
      <c r="K709" s="825">
        <f t="shared" si="344"/>
        <v>-1729.7699999999604</v>
      </c>
      <c r="L709" s="817">
        <f t="shared" si="345"/>
        <v>-4.3181597819722381E-3</v>
      </c>
      <c r="M709" s="842">
        <f t="shared" si="346"/>
        <v>98850.590000000026</v>
      </c>
      <c r="N709" s="827">
        <f t="shared" si="347"/>
        <v>0.32950196666666676</v>
      </c>
      <c r="O709" s="811">
        <f t="shared" si="348"/>
        <v>0.11021116604853483</v>
      </c>
      <c r="P709" s="842" t="b">
        <f t="shared" si="349"/>
        <v>0</v>
      </c>
      <c r="Q709" s="827">
        <f>COUNTIF(P$2:P709, TRUE)/(COUNTIF(P$2:P709,FALSE) + COUNTIF(P$2:P709, TRUE))</f>
        <v>0.49576271186440679</v>
      </c>
      <c r="R709" s="825">
        <v>330648.52</v>
      </c>
      <c r="S709" s="825">
        <f t="shared" si="338"/>
        <v>68202.070000000007</v>
      </c>
      <c r="T709" s="825">
        <v>-34607</v>
      </c>
      <c r="U709" s="825">
        <f t="shared" si="350"/>
        <v>133457.59000000003</v>
      </c>
      <c r="V709" s="827">
        <f>STDEV(D$2:D709)*SQRT(252)</f>
        <v>0.13861377569377581</v>
      </c>
      <c r="W709" s="827">
        <f>STDEV(L$2:L709)*SQRT(252)</f>
        <v>0.26483827026358581</v>
      </c>
      <c r="X709" s="826">
        <f t="shared" si="351"/>
        <v>0.82577616692779432</v>
      </c>
      <c r="Y709" s="826">
        <f t="shared" si="352"/>
        <v>0.41614516640229099</v>
      </c>
      <c r="Z709" s="832">
        <f t="shared" si="353"/>
        <v>-1.2714695877805271E-2</v>
      </c>
    </row>
    <row r="710" spans="1:26" ht="20.100000000000001" customHeight="1" x14ac:dyDescent="0.2">
      <c r="A710" s="801">
        <f t="shared" si="339"/>
        <v>1093</v>
      </c>
      <c r="B710" s="820">
        <v>43326</v>
      </c>
      <c r="C710" s="845">
        <v>2839.96</v>
      </c>
      <c r="D710" s="817">
        <f t="shared" si="340"/>
        <v>6.3892442406438855E-3</v>
      </c>
      <c r="E710" s="844">
        <f t="shared" si="341"/>
        <v>0.35079241262533056</v>
      </c>
      <c r="F710" s="841">
        <v>7870.89</v>
      </c>
      <c r="G710" s="817">
        <f t="shared" si="342"/>
        <v>6.5462869419543601E-3</v>
      </c>
      <c r="H710" s="822">
        <f t="shared" si="343"/>
        <v>0.54582752322407069</v>
      </c>
      <c r="I710" s="866">
        <v>402192.82</v>
      </c>
      <c r="J710" s="825">
        <v>300000</v>
      </c>
      <c r="K710" s="825">
        <f t="shared" si="344"/>
        <v>3342.2299999999814</v>
      </c>
      <c r="L710" s="817">
        <f t="shared" si="345"/>
        <v>8.3796541456789154E-3</v>
      </c>
      <c r="M710" s="842">
        <f t="shared" si="346"/>
        <v>102192.82</v>
      </c>
      <c r="N710" s="827">
        <f t="shared" si="347"/>
        <v>0.34064273333333334</v>
      </c>
      <c r="O710" s="811">
        <f t="shared" si="348"/>
        <v>0.11383326473010065</v>
      </c>
      <c r="P710" s="842" t="b">
        <f t="shared" si="349"/>
        <v>1</v>
      </c>
      <c r="Q710" s="827">
        <f>COUNTIF(P$2:P710, TRUE)/(COUNTIF(P$2:P710,FALSE) + COUNTIF(P$2:P710, TRUE))</f>
        <v>0.49647390691114246</v>
      </c>
      <c r="R710" s="825">
        <v>322081.89</v>
      </c>
      <c r="S710" s="825">
        <f t="shared" si="338"/>
        <v>80110.929999999993</v>
      </c>
      <c r="T710" s="825">
        <v>-34307</v>
      </c>
      <c r="U710" s="825">
        <f t="shared" si="350"/>
        <v>136499.82</v>
      </c>
      <c r="V710" s="827">
        <f>STDEV(D$2:D710)*SQRT(252)</f>
        <v>0.1385609570709799</v>
      </c>
      <c r="W710" s="827">
        <f>STDEV(L$2:L710)*SQRT(252)</f>
        <v>0.26469113136530925</v>
      </c>
      <c r="X710" s="826">
        <f t="shared" si="351"/>
        <v>0.84601756420865371</v>
      </c>
      <c r="Y710" s="826">
        <f t="shared" si="352"/>
        <v>0.43006074341416251</v>
      </c>
      <c r="Z710" s="832">
        <f t="shared" si="353"/>
        <v>-1.0149679291997227E-2</v>
      </c>
    </row>
    <row r="711" spans="1:26" ht="20.100000000000001" customHeight="1" x14ac:dyDescent="0.2">
      <c r="A711" s="801">
        <f t="shared" si="339"/>
        <v>1094</v>
      </c>
      <c r="B711" s="820">
        <v>43327</v>
      </c>
      <c r="C711" s="845">
        <v>2818.37</v>
      </c>
      <c r="D711" s="817">
        <f t="shared" si="340"/>
        <v>-7.6022197495739892E-3</v>
      </c>
      <c r="E711" s="844">
        <f t="shared" si="341"/>
        <v>0.34052339186849556</v>
      </c>
      <c r="F711" s="841">
        <v>7774.11</v>
      </c>
      <c r="G711" s="817">
        <f t="shared" si="342"/>
        <v>-1.2295941119746388E-2</v>
      </c>
      <c r="H711" s="822">
        <f t="shared" si="343"/>
        <v>0.52682011901722414</v>
      </c>
      <c r="I711" s="866">
        <v>438277.71</v>
      </c>
      <c r="J711" s="825">
        <v>340000</v>
      </c>
      <c r="K711" s="825">
        <f t="shared" si="344"/>
        <v>-3915.109999999986</v>
      </c>
      <c r="L711" s="817">
        <f t="shared" si="345"/>
        <v>-9.7344104750551885E-3</v>
      </c>
      <c r="M711" s="842">
        <f t="shared" si="346"/>
        <v>98277.710000000021</v>
      </c>
      <c r="N711" s="827">
        <f t="shared" si="347"/>
        <v>0.28905208823529416</v>
      </c>
      <c r="O711" s="811">
        <f t="shared" si="348"/>
        <v>9.6504821963383183E-2</v>
      </c>
      <c r="P711" s="842" t="b">
        <f t="shared" si="349"/>
        <v>0</v>
      </c>
      <c r="Q711" s="827">
        <f>COUNTIF(P$2:P711, TRUE)/(COUNTIF(P$2:P711,FALSE) + COUNTIF(P$2:P711, TRUE))</f>
        <v>0.49577464788732395</v>
      </c>
      <c r="R711" s="825">
        <v>355153.09</v>
      </c>
      <c r="S711" s="825">
        <f t="shared" si="338"/>
        <v>83124.62</v>
      </c>
      <c r="T711" s="825">
        <v>-33947</v>
      </c>
      <c r="U711" s="825">
        <f t="shared" si="350"/>
        <v>132224.71000000002</v>
      </c>
      <c r="V711" s="827">
        <f>STDEV(D$2:D711)*SQRT(252)</f>
        <v>0.1385465281537335</v>
      </c>
      <c r="W711" s="827">
        <f>STDEV(L$2:L711)*SQRT(252)</f>
        <v>0.26457666476506175</v>
      </c>
      <c r="X711" s="826">
        <f t="shared" si="351"/>
        <v>0.82058619424279822</v>
      </c>
      <c r="Y711" s="826">
        <f t="shared" si="352"/>
        <v>0.3647518274110732</v>
      </c>
      <c r="Z711" s="832">
        <f t="shared" si="353"/>
        <v>-5.1471303633201404E-2</v>
      </c>
    </row>
    <row r="712" spans="1:26" ht="20.100000000000001" customHeight="1" x14ac:dyDescent="0.2">
      <c r="A712" s="801">
        <f t="shared" si="339"/>
        <v>1095</v>
      </c>
      <c r="B712" s="820">
        <v>43328</v>
      </c>
      <c r="C712" s="845">
        <v>2840.69</v>
      </c>
      <c r="D712" s="817">
        <f t="shared" si="340"/>
        <v>7.9194711836984375E-3</v>
      </c>
      <c r="E712" s="844">
        <f t="shared" ref="E712:E737" si="354">(C712-$C$2)/$C$2</f>
        <v>0.35113962824147182</v>
      </c>
      <c r="F712" s="841">
        <v>7806.52</v>
      </c>
      <c r="G712" s="817">
        <f t="shared" si="342"/>
        <v>4.1689659652359903E-3</v>
      </c>
      <c r="H712" s="822">
        <f t="shared" ref="H712:H737" si="355">(F712-F$2)/F$2</f>
        <v>0.53318538012844452</v>
      </c>
      <c r="I712" s="866">
        <v>442870.6</v>
      </c>
      <c r="J712" s="825">
        <v>340000</v>
      </c>
      <c r="K712" s="825">
        <f t="shared" ref="K712:K737" si="356">I712-I711-J712+J711</f>
        <v>4592.8899999999558</v>
      </c>
      <c r="L712" s="817">
        <f t="shared" ref="L712:L737" si="357">K712/I711</f>
        <v>1.0479405854338236E-2</v>
      </c>
      <c r="M712" s="842">
        <f t="shared" ref="M712:M737" si="358">I712-J712</f>
        <v>102870.59999999998</v>
      </c>
      <c r="N712" s="827">
        <f t="shared" ref="N712:N737" si="359">M712/J712</f>
        <v>0.30256058823529403</v>
      </c>
      <c r="O712" s="811">
        <f t="shared" ref="O712:O737" si="360">N712/(A712/365.25)</f>
        <v>0.10092260717163576</v>
      </c>
      <c r="P712" s="842" t="b">
        <f t="shared" ref="P712:P737" si="361">L712&gt;D712</f>
        <v>1</v>
      </c>
      <c r="Q712" s="827">
        <f>COUNTIF(P$2:P712, TRUE)/(COUNTIF(P$2:P712,FALSE) + COUNTIF(P$2:P712, TRUE))</f>
        <v>0.49648382559774967</v>
      </c>
      <c r="R712" s="825">
        <v>353121.13</v>
      </c>
      <c r="S712" s="825">
        <f t="shared" ref="S712:S737" si="362">I712-R712</f>
        <v>89749.469999999972</v>
      </c>
      <c r="T712" s="825">
        <v>-33317</v>
      </c>
      <c r="U712" s="825">
        <f t="shared" ref="U712:U737" si="363">M712-T712</f>
        <v>136187.59999999998</v>
      </c>
      <c r="V712" s="827">
        <f>STDEV(D$2:D712)*SQRT(252)</f>
        <v>0.13852025737304866</v>
      </c>
      <c r="W712" s="827">
        <f>STDEV(L$2:L712)*SQRT(252)</f>
        <v>0.26445497109682869</v>
      </c>
      <c r="X712" s="826">
        <f t="shared" ref="X712:X737" si="364">E712/(A712/365.25)/V712</f>
        <v>0.84555655492769455</v>
      </c>
      <c r="Y712" s="826">
        <f t="shared" ref="Y712:Y737" si="365">O712/W712</f>
        <v>0.38162491993649655</v>
      </c>
      <c r="Z712" s="832">
        <f t="shared" ref="Z712:Z737" si="366">-(E712-N712)</f>
        <v>-4.8579040006177798E-2</v>
      </c>
    </row>
    <row r="713" spans="1:26" ht="20.100000000000001" customHeight="1" x14ac:dyDescent="0.2">
      <c r="A713" s="801">
        <f t="shared" ref="A713:A737" si="367">B713-$B$2</f>
        <v>1096</v>
      </c>
      <c r="B713" s="820">
        <v>43329</v>
      </c>
      <c r="C713" s="845">
        <v>2850.13</v>
      </c>
      <c r="D713" s="817">
        <f t="shared" ref="D713:D737" si="368">(C713-C712)/C712</f>
        <v>3.3231362802699535E-3</v>
      </c>
      <c r="E713" s="844">
        <f t="shared" si="354"/>
        <v>0.35562964935979152</v>
      </c>
      <c r="F713" s="841">
        <v>7816.33</v>
      </c>
      <c r="G713" s="817">
        <f t="shared" ref="G713:G737" si="369">(F713-F712)/F712</f>
        <v>1.2566418839635959E-3</v>
      </c>
      <c r="H713" s="822">
        <f t="shared" si="355"/>
        <v>0.53511204509299448</v>
      </c>
      <c r="I713" s="866">
        <v>446704.3</v>
      </c>
      <c r="J713" s="825">
        <v>340000</v>
      </c>
      <c r="K713" s="825">
        <f t="shared" si="356"/>
        <v>3833.7000000000116</v>
      </c>
      <c r="L713" s="817">
        <f t="shared" si="357"/>
        <v>8.656478890222136E-3</v>
      </c>
      <c r="M713" s="842">
        <f t="shared" si="358"/>
        <v>106704.29999999999</v>
      </c>
      <c r="N713" s="827">
        <f t="shared" si="359"/>
        <v>0.3138361764705882</v>
      </c>
      <c r="O713" s="811">
        <f t="shared" si="360"/>
        <v>0.10458819658383424</v>
      </c>
      <c r="P713" s="842" t="b">
        <f t="shared" si="361"/>
        <v>1</v>
      </c>
      <c r="Q713" s="827">
        <f>COUNTIF(P$2:P713, TRUE)/(COUNTIF(P$2:P713,FALSE) + COUNTIF(P$2:P713, TRUE))</f>
        <v>0.49719101123595505</v>
      </c>
      <c r="R713" s="825">
        <v>328982.65000000002</v>
      </c>
      <c r="S713" s="825">
        <f t="shared" si="362"/>
        <v>117721.64999999997</v>
      </c>
      <c r="T713" s="825">
        <v>-33012</v>
      </c>
      <c r="U713" s="825">
        <f t="shared" si="363"/>
        <v>139716.29999999999</v>
      </c>
      <c r="V713" s="827">
        <f>STDEV(D$2:D713)*SQRT(252)</f>
        <v>0.13843315342520635</v>
      </c>
      <c r="W713" s="827">
        <f>STDEV(L$2:L713)*SQRT(252)</f>
        <v>0.2643115961929387</v>
      </c>
      <c r="X713" s="826">
        <f t="shared" si="364"/>
        <v>0.85612567187555921</v>
      </c>
      <c r="Y713" s="826">
        <f t="shared" si="365"/>
        <v>0.39570037066208902</v>
      </c>
      <c r="Z713" s="832">
        <f t="shared" si="366"/>
        <v>-4.179347288920332E-2</v>
      </c>
    </row>
    <row r="714" spans="1:26" ht="20.100000000000001" customHeight="1" x14ac:dyDescent="0.2">
      <c r="A714" s="801">
        <f t="shared" si="367"/>
        <v>1099</v>
      </c>
      <c r="B714" s="820">
        <v>43332</v>
      </c>
      <c r="C714" s="845">
        <v>2857.05</v>
      </c>
      <c r="D714" s="817">
        <f t="shared" si="368"/>
        <v>2.4279594264121542E-3</v>
      </c>
      <c r="E714" s="844">
        <f t="shared" si="354"/>
        <v>0.3589210631456784</v>
      </c>
      <c r="F714" s="841">
        <v>7821</v>
      </c>
      <c r="G714" s="817">
        <f t="shared" si="369"/>
        <v>5.9746709773001816E-4</v>
      </c>
      <c r="H714" s="822">
        <f t="shared" si="355"/>
        <v>0.53602922403126663</v>
      </c>
      <c r="I714" s="866">
        <v>448608.02</v>
      </c>
      <c r="J714" s="825">
        <v>340000</v>
      </c>
      <c r="K714" s="825">
        <f t="shared" si="356"/>
        <v>1903.7200000000303</v>
      </c>
      <c r="L714" s="817">
        <f t="shared" si="357"/>
        <v>4.2617006373120436E-3</v>
      </c>
      <c r="M714" s="842">
        <f t="shared" si="358"/>
        <v>108608.02000000002</v>
      </c>
      <c r="N714" s="827">
        <f t="shared" si="359"/>
        <v>0.31943535294117653</v>
      </c>
      <c r="O714" s="811">
        <f t="shared" si="360"/>
        <v>0.1061635693009688</v>
      </c>
      <c r="P714" s="842" t="b">
        <f t="shared" si="361"/>
        <v>1</v>
      </c>
      <c r="Q714" s="827">
        <f>COUNTIF(P$2:P714, TRUE)/(COUNTIF(P$2:P714,FALSE) + COUNTIF(P$2:P714, TRUE))</f>
        <v>0.49789621318373073</v>
      </c>
      <c r="R714" s="825">
        <v>318233.58</v>
      </c>
      <c r="S714" s="825">
        <f t="shared" si="362"/>
        <v>130374.44</v>
      </c>
      <c r="T714" s="825">
        <v>-32687</v>
      </c>
      <c r="U714" s="825">
        <f t="shared" si="363"/>
        <v>141295.02000000002</v>
      </c>
      <c r="V714" s="827">
        <f>STDEV(D$2:D714)*SQRT(252)</f>
        <v>0.13834069219200648</v>
      </c>
      <c r="W714" s="827">
        <f>STDEV(L$2:L714)*SQRT(252)</f>
        <v>0.26413431736495274</v>
      </c>
      <c r="X714" s="826">
        <f t="shared" si="364"/>
        <v>0.86226653912250995</v>
      </c>
      <c r="Y714" s="826">
        <f t="shared" si="365"/>
        <v>0.40193023897869073</v>
      </c>
      <c r="Z714" s="832">
        <f t="shared" si="366"/>
        <v>-3.9485710204501867E-2</v>
      </c>
    </row>
    <row r="715" spans="1:26" ht="20.100000000000001" customHeight="1" x14ac:dyDescent="0.2">
      <c r="A715" s="801">
        <f t="shared" si="367"/>
        <v>1100</v>
      </c>
      <c r="B715" s="820">
        <v>43333</v>
      </c>
      <c r="C715" s="845">
        <v>2862.96</v>
      </c>
      <c r="D715" s="817">
        <f t="shared" si="368"/>
        <v>2.0685672284348729E-3</v>
      </c>
      <c r="E715" s="844">
        <f t="shared" si="354"/>
        <v>0.36173208272293145</v>
      </c>
      <c r="F715" s="841">
        <v>7859.19</v>
      </c>
      <c r="G715" s="817">
        <f t="shared" si="369"/>
        <v>4.8830072880705283E-3</v>
      </c>
      <c r="H715" s="822">
        <f t="shared" si="355"/>
        <v>0.54352966592690066</v>
      </c>
      <c r="I715" s="866">
        <v>450054.3</v>
      </c>
      <c r="J715" s="825">
        <v>340000</v>
      </c>
      <c r="K715" s="825">
        <f t="shared" si="356"/>
        <v>1446.2799999999697</v>
      </c>
      <c r="L715" s="817">
        <f t="shared" si="357"/>
        <v>3.2239280965150148E-3</v>
      </c>
      <c r="M715" s="842">
        <f t="shared" si="358"/>
        <v>110054.29999999999</v>
      </c>
      <c r="N715" s="827">
        <f t="shared" si="359"/>
        <v>0.32368911764705877</v>
      </c>
      <c r="O715" s="811">
        <f t="shared" si="360"/>
        <v>0.10747950020053473</v>
      </c>
      <c r="P715" s="842" t="b">
        <f t="shared" si="361"/>
        <v>1</v>
      </c>
      <c r="Q715" s="827">
        <f>COUNTIF(P$2:P715, TRUE)/(COUNTIF(P$2:P715,FALSE) + COUNTIF(P$2:P715, TRUE))</f>
        <v>0.49859943977591037</v>
      </c>
      <c r="R715" s="825">
        <v>321964.31</v>
      </c>
      <c r="S715" s="825">
        <f t="shared" si="362"/>
        <v>128089.98999999999</v>
      </c>
      <c r="T715" s="825">
        <v>-32637</v>
      </c>
      <c r="U715" s="825">
        <f t="shared" si="363"/>
        <v>142691.29999999999</v>
      </c>
      <c r="V715" s="827">
        <f>STDEV(D$2:D715)*SQRT(252)</f>
        <v>0.13824678029914197</v>
      </c>
      <c r="W715" s="827">
        <f>STDEV(L$2:L715)*SQRT(252)</f>
        <v>0.2639531260054746</v>
      </c>
      <c r="X715" s="826">
        <f t="shared" si="364"/>
        <v>0.86881946596882298</v>
      </c>
      <c r="Y715" s="826">
        <f t="shared" si="365"/>
        <v>0.40719161703849466</v>
      </c>
      <c r="Z715" s="832">
        <f t="shared" si="366"/>
        <v>-3.8042965075872681E-2</v>
      </c>
    </row>
    <row r="716" spans="1:26" ht="20.100000000000001" customHeight="1" x14ac:dyDescent="0.2">
      <c r="A716" s="801">
        <f t="shared" si="367"/>
        <v>1101</v>
      </c>
      <c r="B716" s="820">
        <v>43334</v>
      </c>
      <c r="C716" s="845">
        <v>2861.82</v>
      </c>
      <c r="D716" s="817">
        <f t="shared" si="368"/>
        <v>-3.9818928661241253E-4</v>
      </c>
      <c r="E716" s="844">
        <f t="shared" si="354"/>
        <v>0.36118985559635475</v>
      </c>
      <c r="F716" s="841">
        <v>7889.09</v>
      </c>
      <c r="G716" s="817">
        <f t="shared" si="369"/>
        <v>3.8044633098322533E-3</v>
      </c>
      <c r="H716" s="822">
        <f t="shared" si="355"/>
        <v>0.54940196790855711</v>
      </c>
      <c r="I716" s="866">
        <v>449791.66</v>
      </c>
      <c r="J716" s="825">
        <v>340000</v>
      </c>
      <c r="K716" s="825">
        <f t="shared" si="356"/>
        <v>-262.64000000001397</v>
      </c>
      <c r="L716" s="817">
        <f t="shared" si="357"/>
        <v>-5.8357402651194304E-4</v>
      </c>
      <c r="M716" s="842">
        <f t="shared" si="358"/>
        <v>109791.65999999997</v>
      </c>
      <c r="N716" s="827">
        <f t="shared" si="359"/>
        <v>0.32291664705882345</v>
      </c>
      <c r="O716" s="811">
        <f t="shared" si="360"/>
        <v>0.10712561792755246</v>
      </c>
      <c r="P716" s="842" t="b">
        <f t="shared" si="361"/>
        <v>0</v>
      </c>
      <c r="Q716" s="827">
        <f>COUNTIF(P$2:P716, TRUE)/(COUNTIF(P$2:P716,FALSE) + COUNTIF(P$2:P716, TRUE))</f>
        <v>0.49790209790209788</v>
      </c>
      <c r="R716" s="825">
        <v>304054.08</v>
      </c>
      <c r="S716" s="825">
        <f t="shared" si="362"/>
        <v>145737.57999999996</v>
      </c>
      <c r="T716" s="825">
        <v>-32787</v>
      </c>
      <c r="U716" s="825">
        <f t="shared" si="363"/>
        <v>142578.65999999997</v>
      </c>
      <c r="V716" s="827">
        <f>STDEV(D$2:D716)*SQRT(252)</f>
        <v>0.13815076411124269</v>
      </c>
      <c r="W716" s="827">
        <f>STDEV(L$2:L716)*SQRT(252)</f>
        <v>0.26376902077554487</v>
      </c>
      <c r="X716" s="826">
        <f t="shared" si="364"/>
        <v>0.86733157782886172</v>
      </c>
      <c r="Y716" s="826">
        <f t="shared" si="365"/>
        <v>0.40613419124269096</v>
      </c>
      <c r="Z716" s="832">
        <f t="shared" si="366"/>
        <v>-3.82732085375313E-2</v>
      </c>
    </row>
    <row r="717" spans="1:26" ht="20.100000000000001" customHeight="1" x14ac:dyDescent="0.2">
      <c r="A717" s="801">
        <f t="shared" si="367"/>
        <v>1102</v>
      </c>
      <c r="B717" s="820">
        <v>43335</v>
      </c>
      <c r="C717" s="845">
        <v>2856.98</v>
      </c>
      <c r="D717" s="817">
        <f t="shared" si="368"/>
        <v>-1.6912314541096733E-3</v>
      </c>
      <c r="E717" s="844">
        <f t="shared" si="354"/>
        <v>0.35888776849755522</v>
      </c>
      <c r="F717" s="841">
        <v>7878.45</v>
      </c>
      <c r="G717" s="817">
        <f t="shared" si="369"/>
        <v>-1.3486980120648044E-3</v>
      </c>
      <c r="H717" s="822">
        <f t="shared" si="355"/>
        <v>0.54731229255454961</v>
      </c>
      <c r="I717" s="866">
        <v>448763.14</v>
      </c>
      <c r="J717" s="825">
        <v>340000</v>
      </c>
      <c r="K717" s="825">
        <f t="shared" si="356"/>
        <v>-1028.5199999999604</v>
      </c>
      <c r="L717" s="817">
        <f t="shared" si="357"/>
        <v>-2.2866586721504807E-3</v>
      </c>
      <c r="M717" s="842">
        <f t="shared" si="358"/>
        <v>108763.14000000001</v>
      </c>
      <c r="N717" s="827">
        <f t="shared" si="359"/>
        <v>0.31989158823529418</v>
      </c>
      <c r="O717" s="811">
        <f t="shared" si="360"/>
        <v>0.10602577368687949</v>
      </c>
      <c r="P717" s="842" t="b">
        <f t="shared" si="361"/>
        <v>0</v>
      </c>
      <c r="Q717" s="827">
        <f>COUNTIF(P$2:P717, TRUE)/(COUNTIF(P$2:P717,FALSE) + COUNTIF(P$2:P717, TRUE))</f>
        <v>0.4972067039106145</v>
      </c>
      <c r="R717" s="825">
        <v>302965.34000000003</v>
      </c>
      <c r="S717" s="825">
        <f t="shared" si="362"/>
        <v>145797.79999999999</v>
      </c>
      <c r="T717" s="825">
        <v>-32727</v>
      </c>
      <c r="U717" s="825">
        <f t="shared" si="363"/>
        <v>141490.14000000001</v>
      </c>
      <c r="V717" s="827">
        <f>STDEV(D$2:D717)*SQRT(252)</f>
        <v>0.13805994708907388</v>
      </c>
      <c r="W717" s="827">
        <f>STDEV(L$2:L717)*SQRT(252)</f>
        <v>0.26359010186642334</v>
      </c>
      <c r="X717" s="826">
        <f t="shared" si="364"/>
        <v>0.86158788691166666</v>
      </c>
      <c r="Y717" s="826">
        <f t="shared" si="365"/>
        <v>0.40223731064305673</v>
      </c>
      <c r="Z717" s="832">
        <f t="shared" si="366"/>
        <v>-3.8996180262261038E-2</v>
      </c>
    </row>
    <row r="718" spans="1:26" ht="20.100000000000001" customHeight="1" x14ac:dyDescent="0.2">
      <c r="A718" s="801">
        <f t="shared" si="367"/>
        <v>1103</v>
      </c>
      <c r="B718" s="820">
        <v>43336</v>
      </c>
      <c r="C718" s="845">
        <v>2874.69</v>
      </c>
      <c r="D718" s="817">
        <f t="shared" si="368"/>
        <v>6.1988533346400872E-3</v>
      </c>
      <c r="E718" s="844">
        <f t="shared" si="354"/>
        <v>0.36731131447270787</v>
      </c>
      <c r="F718" s="841">
        <v>7945.97</v>
      </c>
      <c r="G718" s="817">
        <f t="shared" si="369"/>
        <v>8.5702136841638195E-3</v>
      </c>
      <c r="H718" s="822">
        <f t="shared" si="355"/>
        <v>0.56057308953787544</v>
      </c>
      <c r="I718" s="866">
        <v>448975.99</v>
      </c>
      <c r="J718" s="825">
        <v>340000</v>
      </c>
      <c r="K718" s="825">
        <f t="shared" si="356"/>
        <v>212.84999999997672</v>
      </c>
      <c r="L718" s="817">
        <f t="shared" si="357"/>
        <v>4.743036605011203E-4</v>
      </c>
      <c r="M718" s="842">
        <f t="shared" si="358"/>
        <v>108975.98999999999</v>
      </c>
      <c r="N718" s="827">
        <f t="shared" si="359"/>
        <v>0.32051761764705877</v>
      </c>
      <c r="O718" s="811">
        <f t="shared" si="360"/>
        <v>0.10613695362247345</v>
      </c>
      <c r="P718" s="842" t="b">
        <f t="shared" si="361"/>
        <v>0</v>
      </c>
      <c r="Q718" s="827">
        <f>COUNTIF(P$2:P718, TRUE)/(COUNTIF(P$2:P718,FALSE) + COUNTIF(P$2:P718, TRUE))</f>
        <v>0.49651324965132498</v>
      </c>
      <c r="R718" s="825">
        <v>313051.68</v>
      </c>
      <c r="S718" s="825">
        <f t="shared" si="362"/>
        <v>135924.31</v>
      </c>
      <c r="T718" s="825">
        <v>-32757</v>
      </c>
      <c r="U718" s="825">
        <f t="shared" si="363"/>
        <v>141732.99</v>
      </c>
      <c r="V718" s="827">
        <f>STDEV(D$2:D718)*SQRT(252)</f>
        <v>0.13800527156812348</v>
      </c>
      <c r="W718" s="827">
        <f>STDEV(L$2:L718)*SQRT(252)</f>
        <v>0.26340573402898931</v>
      </c>
      <c r="X718" s="826">
        <f t="shared" si="364"/>
        <v>0.88136001227500682</v>
      </c>
      <c r="Y718" s="826">
        <f t="shared" si="365"/>
        <v>0.40294093829708533</v>
      </c>
      <c r="Z718" s="832">
        <f t="shared" si="366"/>
        <v>-4.67936968256491E-2</v>
      </c>
    </row>
    <row r="719" spans="1:26" ht="20.100000000000001" customHeight="1" x14ac:dyDescent="0.2">
      <c r="A719" s="801">
        <f t="shared" si="367"/>
        <v>1106</v>
      </c>
      <c r="B719" s="820">
        <v>43339</v>
      </c>
      <c r="C719" s="845">
        <v>2896.74</v>
      </c>
      <c r="D719" s="817">
        <f t="shared" si="368"/>
        <v>7.6703922857768057E-3</v>
      </c>
      <c r="E719" s="844">
        <f t="shared" si="354"/>
        <v>0.37779912863149467</v>
      </c>
      <c r="F719" s="841">
        <v>8017.89</v>
      </c>
      <c r="G719" s="817">
        <f t="shared" si="369"/>
        <v>9.0511290629086277E-3</v>
      </c>
      <c r="H719" s="822">
        <f t="shared" si="355"/>
        <v>0.57469803798338481</v>
      </c>
      <c r="I719" s="866">
        <v>412623.99</v>
      </c>
      <c r="J719" s="825">
        <v>300000</v>
      </c>
      <c r="K719" s="825">
        <f t="shared" si="356"/>
        <v>3648</v>
      </c>
      <c r="L719" s="817">
        <f t="shared" si="357"/>
        <v>8.125156091309026E-3</v>
      </c>
      <c r="M719" s="842">
        <f t="shared" si="358"/>
        <v>112623.98999999999</v>
      </c>
      <c r="N719" s="827">
        <f t="shared" si="359"/>
        <v>0.37541329999999995</v>
      </c>
      <c r="O719" s="811">
        <f t="shared" si="360"/>
        <v>0.12397803600813742</v>
      </c>
      <c r="P719" s="842" t="b">
        <f t="shared" si="361"/>
        <v>1</v>
      </c>
      <c r="Q719" s="827">
        <f>COUNTIF(P$2:P719, TRUE)/(COUNTIF(P$2:P719,FALSE) + COUNTIF(P$2:P719, TRUE))</f>
        <v>0.49721448467966572</v>
      </c>
      <c r="R719" s="825">
        <v>291432.21000000002</v>
      </c>
      <c r="S719" s="825">
        <f t="shared" si="362"/>
        <v>121191.77999999997</v>
      </c>
      <c r="T719" s="825">
        <v>-32107</v>
      </c>
      <c r="U719" s="825">
        <f t="shared" si="363"/>
        <v>144730.99</v>
      </c>
      <c r="V719" s="827">
        <f>STDEV(D$2:D719)*SQRT(252)</f>
        <v>0.13797482705192232</v>
      </c>
      <c r="W719" s="827">
        <f>STDEV(L$2:L719)*SQRT(252)</f>
        <v>0.26325884026684176</v>
      </c>
      <c r="X719" s="826">
        <f t="shared" si="364"/>
        <v>0.90426597777245354</v>
      </c>
      <c r="Y719" s="826">
        <f t="shared" si="365"/>
        <v>0.4709358891138169</v>
      </c>
      <c r="Z719" s="832">
        <f t="shared" si="366"/>
        <v>-2.3858286314947241E-3</v>
      </c>
    </row>
    <row r="720" spans="1:26" ht="20.100000000000001" customHeight="1" x14ac:dyDescent="0.2">
      <c r="A720" s="801">
        <f t="shared" si="367"/>
        <v>1107</v>
      </c>
      <c r="B720" s="820">
        <v>43340</v>
      </c>
      <c r="C720" s="845">
        <v>2897.52</v>
      </c>
      <c r="D720" s="817">
        <f t="shared" si="368"/>
        <v>2.6926821185201301E-4</v>
      </c>
      <c r="E720" s="844">
        <f t="shared" si="354"/>
        <v>0.37817012613915257</v>
      </c>
      <c r="F720" s="841">
        <v>8030.03</v>
      </c>
      <c r="G720" s="817">
        <f t="shared" si="369"/>
        <v>1.5141140624278229E-3</v>
      </c>
      <c r="H720" s="822">
        <f t="shared" si="355"/>
        <v>0.57708231042677294</v>
      </c>
      <c r="I720" s="866">
        <v>411952.19</v>
      </c>
      <c r="J720" s="825">
        <v>300000</v>
      </c>
      <c r="K720" s="825">
        <f t="shared" si="356"/>
        <v>-671.79999999998836</v>
      </c>
      <c r="L720" s="817">
        <f t="shared" si="357"/>
        <v>-1.6281166783346465E-3</v>
      </c>
      <c r="M720" s="842">
        <f t="shared" si="358"/>
        <v>111952.19</v>
      </c>
      <c r="N720" s="827">
        <f t="shared" si="359"/>
        <v>0.37317396666666669</v>
      </c>
      <c r="O720" s="811">
        <f t="shared" si="360"/>
        <v>0.12312718276874436</v>
      </c>
      <c r="P720" s="842" t="b">
        <f t="shared" si="361"/>
        <v>0</v>
      </c>
      <c r="Q720" s="827">
        <f>COUNTIF(P$2:P720, TRUE)/(COUNTIF(P$2:P720,FALSE) + COUNTIF(P$2:P720, TRUE))</f>
        <v>0.49652294853963841</v>
      </c>
      <c r="R720" s="825">
        <v>295278.77</v>
      </c>
      <c r="S720" s="825">
        <f t="shared" si="362"/>
        <v>116673.41999999998</v>
      </c>
      <c r="T720" s="825">
        <v>-31977</v>
      </c>
      <c r="U720" s="825">
        <f t="shared" si="363"/>
        <v>143929.19</v>
      </c>
      <c r="V720" s="827">
        <f>STDEV(D$2:D720)*SQRT(252)</f>
        <v>0.13787863585854168</v>
      </c>
      <c r="W720" s="827">
        <f>STDEV(L$2:L720)*SQRT(252)</f>
        <v>0.2630787445338289</v>
      </c>
      <c r="X720" s="826">
        <f t="shared" si="364"/>
        <v>0.90496721136789093</v>
      </c>
      <c r="Y720" s="826">
        <f t="shared" si="365"/>
        <v>0.4680240624795578</v>
      </c>
      <c r="Z720" s="832">
        <f t="shared" si="366"/>
        <v>-4.9961594724858838E-3</v>
      </c>
    </row>
    <row r="721" spans="1:26" ht="20.100000000000001" customHeight="1" x14ac:dyDescent="0.2">
      <c r="A721" s="801">
        <f t="shared" si="367"/>
        <v>1108</v>
      </c>
      <c r="B721" s="820">
        <v>43341</v>
      </c>
      <c r="C721" s="845">
        <v>2914.04</v>
      </c>
      <c r="D721" s="817">
        <f t="shared" si="368"/>
        <v>5.7014274275932458E-3</v>
      </c>
      <c r="E721" s="844">
        <f t="shared" si="354"/>
        <v>0.38602766309621195</v>
      </c>
      <c r="F721" s="841">
        <v>8109.68</v>
      </c>
      <c r="G721" s="817">
        <f t="shared" si="369"/>
        <v>9.9190164918438097E-3</v>
      </c>
      <c r="H721" s="822">
        <f t="shared" si="355"/>
        <v>0.59272541587289129</v>
      </c>
      <c r="I721" s="866">
        <v>414525.25</v>
      </c>
      <c r="J721" s="825">
        <v>300000</v>
      </c>
      <c r="K721" s="825">
        <f t="shared" si="356"/>
        <v>2573.0599999999977</v>
      </c>
      <c r="L721" s="817">
        <f t="shared" si="357"/>
        <v>6.2460160728845682E-3</v>
      </c>
      <c r="M721" s="842">
        <f t="shared" si="358"/>
        <v>114525.25</v>
      </c>
      <c r="N721" s="827">
        <f t="shared" si="359"/>
        <v>0.38175083333333332</v>
      </c>
      <c r="O721" s="811">
        <f t="shared" si="360"/>
        <v>0.12584340421931409</v>
      </c>
      <c r="P721" s="842" t="b">
        <f t="shared" si="361"/>
        <v>1</v>
      </c>
      <c r="Q721" s="827">
        <f>COUNTIF(P$2:P721, TRUE)/(COUNTIF(P$2:P721,FALSE) + COUNTIF(P$2:P721, TRUE))</f>
        <v>0.49722222222222223</v>
      </c>
      <c r="R721" s="825">
        <v>300005.48</v>
      </c>
      <c r="S721" s="825">
        <f t="shared" si="362"/>
        <v>114519.77000000002</v>
      </c>
      <c r="T721" s="825">
        <v>-31937</v>
      </c>
      <c r="U721" s="825">
        <f t="shared" si="363"/>
        <v>146462.25</v>
      </c>
      <c r="V721" s="827">
        <f>STDEV(D$2:D721)*SQRT(252)</f>
        <v>0.1378171980906662</v>
      </c>
      <c r="W721" s="827">
        <f>STDEV(L$2:L721)*SQRT(252)</f>
        <v>0.26291615689456543</v>
      </c>
      <c r="X721" s="826">
        <f t="shared" si="364"/>
        <v>0.92334813377231995</v>
      </c>
      <c r="Y721" s="826">
        <f t="shared" si="365"/>
        <v>0.47864462080122283</v>
      </c>
      <c r="Z721" s="832">
        <f t="shared" si="366"/>
        <v>-4.2768297628786311E-3</v>
      </c>
    </row>
    <row r="722" spans="1:26" ht="20.100000000000001" customHeight="1" x14ac:dyDescent="0.2">
      <c r="A722" s="801">
        <f t="shared" si="367"/>
        <v>1109</v>
      </c>
      <c r="B722" s="820">
        <v>43342</v>
      </c>
      <c r="C722" s="845">
        <v>2901.13</v>
      </c>
      <c r="D722" s="817">
        <f t="shared" si="368"/>
        <v>-4.4302754938160957E-3</v>
      </c>
      <c r="E722" s="844">
        <f t="shared" si="354"/>
        <v>0.37988717870664562</v>
      </c>
      <c r="F722" s="841">
        <v>8088.36</v>
      </c>
      <c r="G722" s="817">
        <f t="shared" si="369"/>
        <v>-2.6289569995364328E-3</v>
      </c>
      <c r="H722" s="822">
        <f t="shared" si="355"/>
        <v>0.58853820924249267</v>
      </c>
      <c r="I722" s="866">
        <v>412063.95</v>
      </c>
      <c r="J722" s="825">
        <v>300000</v>
      </c>
      <c r="K722" s="825">
        <f t="shared" si="356"/>
        <v>-2461.2999999999884</v>
      </c>
      <c r="L722" s="817">
        <f t="shared" si="357"/>
        <v>-5.9376358858718213E-3</v>
      </c>
      <c r="M722" s="842">
        <f t="shared" si="358"/>
        <v>112063.95000000001</v>
      </c>
      <c r="N722" s="827">
        <f t="shared" si="359"/>
        <v>0.37354650000000006</v>
      </c>
      <c r="O722" s="811">
        <f t="shared" si="360"/>
        <v>0.12302782608205594</v>
      </c>
      <c r="P722" s="842" t="b">
        <f t="shared" si="361"/>
        <v>0</v>
      </c>
      <c r="Q722" s="827">
        <f>COUNTIF(P$2:P722, TRUE)/(COUNTIF(P$2:P722,FALSE) + COUNTIF(P$2:P722, TRUE))</f>
        <v>0.49653259361997226</v>
      </c>
      <c r="R722" s="825">
        <v>302724.15000000002</v>
      </c>
      <c r="S722" s="825">
        <f t="shared" si="362"/>
        <v>109339.79999999999</v>
      </c>
      <c r="T722" s="825">
        <v>-32577</v>
      </c>
      <c r="U722" s="825">
        <f t="shared" si="363"/>
        <v>144640.95000000001</v>
      </c>
      <c r="V722" s="827">
        <f>STDEV(D$2:D722)*SQRT(252)</f>
        <v>0.13775210603753521</v>
      </c>
      <c r="W722" s="827">
        <f>STDEV(L$2:L722)*SQRT(252)</f>
        <v>0.26276246137940545</v>
      </c>
      <c r="X722" s="826">
        <f t="shared" si="364"/>
        <v>0.90827020415826132</v>
      </c>
      <c r="Y722" s="826">
        <f t="shared" si="365"/>
        <v>0.4682092922870546</v>
      </c>
      <c r="Z722" s="832">
        <f t="shared" si="366"/>
        <v>-6.3406787066455639E-3</v>
      </c>
    </row>
    <row r="723" spans="1:26" ht="20.100000000000001" customHeight="1" x14ac:dyDescent="0.2">
      <c r="A723" s="801">
        <f t="shared" si="367"/>
        <v>1110</v>
      </c>
      <c r="B723" s="820">
        <v>43343</v>
      </c>
      <c r="C723" s="845">
        <v>2901.52</v>
      </c>
      <c r="D723" s="817">
        <f t="shared" si="368"/>
        <v>1.3443037712886796E-4</v>
      </c>
      <c r="E723" s="844">
        <f t="shared" si="354"/>
        <v>0.38007267746047446</v>
      </c>
      <c r="F723" s="841">
        <v>8109.53</v>
      </c>
      <c r="G723" s="817">
        <f t="shared" si="369"/>
        <v>2.6173414635352623E-3</v>
      </c>
      <c r="H723" s="822">
        <f t="shared" si="355"/>
        <v>0.5926959561639531</v>
      </c>
      <c r="I723" s="867">
        <v>412813.75</v>
      </c>
      <c r="J723" s="825">
        <v>300000</v>
      </c>
      <c r="K723" s="825">
        <f t="shared" si="356"/>
        <v>749.79999999998836</v>
      </c>
      <c r="L723" s="817">
        <f t="shared" si="357"/>
        <v>1.819620473957958E-3</v>
      </c>
      <c r="M723" s="847">
        <f t="shared" si="358"/>
        <v>112813.75</v>
      </c>
      <c r="N723" s="827">
        <f t="shared" si="359"/>
        <v>0.37604583333333336</v>
      </c>
      <c r="O723" s="811">
        <f t="shared" si="360"/>
        <v>0.12373940596846847</v>
      </c>
      <c r="P723" s="842" t="b">
        <f t="shared" si="361"/>
        <v>1</v>
      </c>
      <c r="Q723" s="827">
        <f>COUNTIF(P$2:P723, TRUE)/(COUNTIF(P$2:P723,FALSE) + COUNTIF(P$2:P723, TRUE))</f>
        <v>0.49722991689750695</v>
      </c>
      <c r="R723" s="825">
        <v>301872.03000000003</v>
      </c>
      <c r="S723" s="825">
        <f t="shared" si="362"/>
        <v>110941.71999999997</v>
      </c>
      <c r="T723" s="825">
        <v>-32717</v>
      </c>
      <c r="U723" s="825">
        <f t="shared" si="363"/>
        <v>145530.75</v>
      </c>
      <c r="V723" s="827">
        <f>STDEV(D$2:D723)*SQRT(252)</f>
        <v>0.13765656757867564</v>
      </c>
      <c r="W723" s="827">
        <f>STDEV(L$2:L723)*SQRT(252)</f>
        <v>0.26258079637782822</v>
      </c>
      <c r="X723" s="826">
        <f t="shared" si="364"/>
        <v>0.90852516195472632</v>
      </c>
      <c r="Y723" s="826">
        <f t="shared" si="365"/>
        <v>0.4712431665810759</v>
      </c>
      <c r="Z723" s="832">
        <f t="shared" si="366"/>
        <v>-4.0268441271411048E-3</v>
      </c>
    </row>
    <row r="724" spans="1:26" ht="20.100000000000001" customHeight="1" x14ac:dyDescent="0.2">
      <c r="A724" s="801">
        <f t="shared" si="367"/>
        <v>1114</v>
      </c>
      <c r="B724" s="820">
        <v>43347</v>
      </c>
      <c r="C724" s="845">
        <v>2896.72</v>
      </c>
      <c r="D724" s="817">
        <f t="shared" si="368"/>
        <v>-1.6543053296203996E-3</v>
      </c>
      <c r="E724" s="844">
        <f t="shared" si="354"/>
        <v>0.37778961587488807</v>
      </c>
      <c r="F724" s="841">
        <v>8091.24</v>
      </c>
      <c r="G724" s="817">
        <f t="shared" si="369"/>
        <v>-2.255371149746035E-3</v>
      </c>
      <c r="H724" s="822">
        <f t="shared" si="355"/>
        <v>0.58910383565410374</v>
      </c>
      <c r="I724" s="866">
        <v>410071.63</v>
      </c>
      <c r="J724" s="825">
        <v>300000</v>
      </c>
      <c r="K724" s="825">
        <f t="shared" si="356"/>
        <v>-2742.1199999999953</v>
      </c>
      <c r="L724" s="817">
        <f t="shared" si="357"/>
        <v>-6.6425113020096719E-3</v>
      </c>
      <c r="M724" s="842">
        <f t="shared" si="358"/>
        <v>110071.63</v>
      </c>
      <c r="N724" s="827">
        <f t="shared" si="359"/>
        <v>0.36690543333333336</v>
      </c>
      <c r="O724" s="811">
        <f t="shared" si="360"/>
        <v>0.12029821321813286</v>
      </c>
      <c r="P724" s="842" t="b">
        <f t="shared" si="361"/>
        <v>0</v>
      </c>
      <c r="Q724" s="827">
        <f>COUNTIF(P$2:P724, TRUE)/(COUNTIF(P$2:P724,FALSE) + COUNTIF(P$2:P724, TRUE))</f>
        <v>0.49654218533886585</v>
      </c>
      <c r="R724" s="825">
        <v>315748.28000000003</v>
      </c>
      <c r="S724" s="825">
        <f t="shared" si="362"/>
        <v>94323.349999999977</v>
      </c>
      <c r="T724" s="825">
        <v>-33049</v>
      </c>
      <c r="U724" s="825">
        <f t="shared" si="363"/>
        <v>143120.63</v>
      </c>
      <c r="V724" s="827">
        <f>STDEV(D$2:D724)*SQRT(252)</f>
        <v>0.13756687517396576</v>
      </c>
      <c r="W724" s="827">
        <f>STDEV(L$2:L724)*SQRT(252)</f>
        <v>0.26243426115951046</v>
      </c>
      <c r="X724" s="826">
        <f t="shared" si="364"/>
        <v>0.90041180003406041</v>
      </c>
      <c r="Y724" s="826">
        <f t="shared" si="365"/>
        <v>0.45839370471911922</v>
      </c>
      <c r="Z724" s="832">
        <f t="shared" si="366"/>
        <v>-1.088418254155471E-2</v>
      </c>
    </row>
    <row r="725" spans="1:26" ht="20.100000000000001" customHeight="1" x14ac:dyDescent="0.2">
      <c r="A725" s="801">
        <f t="shared" si="367"/>
        <v>1115</v>
      </c>
      <c r="B725" s="820">
        <v>43348</v>
      </c>
      <c r="C725" s="845">
        <v>2888.6</v>
      </c>
      <c r="D725" s="817">
        <f t="shared" si="368"/>
        <v>-2.8031704824766947E-3</v>
      </c>
      <c r="E725" s="844">
        <f t="shared" si="354"/>
        <v>0.3739274366926047</v>
      </c>
      <c r="F725" s="841">
        <v>7995.17</v>
      </c>
      <c r="G725" s="817">
        <f t="shared" si="369"/>
        <v>-1.1873334618673986E-2</v>
      </c>
      <c r="H725" s="822">
        <f t="shared" si="355"/>
        <v>0.57023587406956422</v>
      </c>
      <c r="I725" s="866">
        <v>412285.82</v>
      </c>
      <c r="J725" s="825">
        <v>300000</v>
      </c>
      <c r="K725" s="825">
        <f t="shared" si="356"/>
        <v>2214.1900000000023</v>
      </c>
      <c r="L725" s="817">
        <f t="shared" si="357"/>
        <v>5.3995200789676732E-3</v>
      </c>
      <c r="M725" s="842">
        <f t="shared" si="358"/>
        <v>112285.82</v>
      </c>
      <c r="N725" s="827">
        <f t="shared" si="359"/>
        <v>0.37428606666666669</v>
      </c>
      <c r="O725" s="811">
        <f t="shared" si="360"/>
        <v>0.12260805905829597</v>
      </c>
      <c r="P725" s="842" t="b">
        <f t="shared" si="361"/>
        <v>1</v>
      </c>
      <c r="Q725" s="827">
        <f>COUNTIF(P$2:P725, TRUE)/(COUNTIF(P$2:P725,FALSE) + COUNTIF(P$2:P725, TRUE))</f>
        <v>0.49723756906077349</v>
      </c>
      <c r="R725" s="825">
        <v>315534.5</v>
      </c>
      <c r="S725" s="825">
        <f t="shared" si="362"/>
        <v>96751.32</v>
      </c>
      <c r="T725" s="825">
        <v>-32449</v>
      </c>
      <c r="U725" s="825">
        <f t="shared" si="363"/>
        <v>144734.82</v>
      </c>
      <c r="V725" s="827">
        <f>STDEV(D$2:D725)*SQRT(252)</f>
        <v>0.13748525083439084</v>
      </c>
      <c r="W725" s="827">
        <f>STDEV(L$2:L725)*SQRT(252)</f>
        <v>0.2622673448272777</v>
      </c>
      <c r="X725" s="826">
        <f t="shared" si="364"/>
        <v>0.8909361466396859</v>
      </c>
      <c r="Y725" s="826">
        <f t="shared" si="365"/>
        <v>0.46749266150172974</v>
      </c>
      <c r="Z725" s="832">
        <f t="shared" si="366"/>
        <v>3.5862997406199693E-4</v>
      </c>
    </row>
    <row r="726" spans="1:26" ht="20.100000000000001" customHeight="1" x14ac:dyDescent="0.2">
      <c r="A726" s="801">
        <f t="shared" si="367"/>
        <v>1116</v>
      </c>
      <c r="B726" s="820">
        <v>43349</v>
      </c>
      <c r="C726" s="845">
        <v>2878.05</v>
      </c>
      <c r="D726" s="817">
        <f t="shared" si="368"/>
        <v>-3.652288305753558E-3</v>
      </c>
      <c r="E726" s="844">
        <f t="shared" si="354"/>
        <v>0.36890945758261834</v>
      </c>
      <c r="F726" s="841">
        <v>7922.72</v>
      </c>
      <c r="G726" s="817">
        <f t="shared" si="369"/>
        <v>-9.0617210140622167E-3</v>
      </c>
      <c r="H726" s="822">
        <f t="shared" si="355"/>
        <v>0.55600683465247369</v>
      </c>
      <c r="I726" s="866">
        <v>409892.48</v>
      </c>
      <c r="J726" s="825">
        <v>300000</v>
      </c>
      <c r="K726" s="825">
        <f t="shared" si="356"/>
        <v>-2393.3400000000256</v>
      </c>
      <c r="L726" s="817">
        <f t="shared" si="357"/>
        <v>-5.8050504865775534E-3</v>
      </c>
      <c r="M726" s="842">
        <f t="shared" si="358"/>
        <v>109892.47999999998</v>
      </c>
      <c r="N726" s="827">
        <f t="shared" si="359"/>
        <v>0.3663082666666666</v>
      </c>
      <c r="O726" s="811">
        <f t="shared" si="360"/>
        <v>0.11988718136200714</v>
      </c>
      <c r="P726" s="842" t="b">
        <f t="shared" si="361"/>
        <v>0</v>
      </c>
      <c r="Q726" s="827">
        <f>COUNTIF(P$2:P726, TRUE)/(COUNTIF(P$2:P726,FALSE) + COUNTIF(P$2:P726, TRUE))</f>
        <v>0.49655172413793103</v>
      </c>
      <c r="R726" s="825">
        <v>324213.15999999997</v>
      </c>
      <c r="S726" s="825">
        <f t="shared" si="362"/>
        <v>85679.32</v>
      </c>
      <c r="T726" s="825">
        <v>-33169</v>
      </c>
      <c r="U726" s="825">
        <f t="shared" si="363"/>
        <v>143061.47999999998</v>
      </c>
      <c r="V726" s="827">
        <f>STDEV(D$2:D726)*SQRT(252)</f>
        <v>0.13741173460493136</v>
      </c>
      <c r="W726" s="827">
        <f>STDEV(L$2:L726)*SQRT(252)</f>
        <v>0.26211377023163424</v>
      </c>
      <c r="X726" s="826">
        <f t="shared" si="364"/>
        <v>0.87866230885024021</v>
      </c>
      <c r="Y726" s="826">
        <f t="shared" si="365"/>
        <v>0.45738604750166645</v>
      </c>
      <c r="Z726" s="832">
        <f t="shared" si="366"/>
        <v>-2.6011909159517344E-3</v>
      </c>
    </row>
    <row r="727" spans="1:26" ht="20.100000000000001" customHeight="1" x14ac:dyDescent="0.2">
      <c r="A727" s="801">
        <f t="shared" si="367"/>
        <v>1117</v>
      </c>
      <c r="B727" s="820">
        <v>43350</v>
      </c>
      <c r="C727" s="845">
        <v>2871.68</v>
      </c>
      <c r="D727" s="817">
        <f t="shared" si="368"/>
        <v>-2.2133041469051423E-3</v>
      </c>
      <c r="E727" s="844">
        <f t="shared" si="354"/>
        <v>0.36587964460341305</v>
      </c>
      <c r="F727" s="841">
        <v>7902.54</v>
      </c>
      <c r="G727" s="817">
        <f t="shared" si="369"/>
        <v>-2.5471050346346064E-3</v>
      </c>
      <c r="H727" s="822">
        <f t="shared" si="355"/>
        <v>0.5520435218100046</v>
      </c>
      <c r="I727" s="866">
        <v>409918.35</v>
      </c>
      <c r="J727" s="825">
        <v>300000</v>
      </c>
      <c r="K727" s="825">
        <f t="shared" si="356"/>
        <v>25.869999999995343</v>
      </c>
      <c r="L727" s="817">
        <f t="shared" si="357"/>
        <v>6.3114112266698195E-5</v>
      </c>
      <c r="M727" s="842">
        <f t="shared" si="358"/>
        <v>109918.34999999998</v>
      </c>
      <c r="N727" s="827">
        <f t="shared" si="359"/>
        <v>0.3663944999999999</v>
      </c>
      <c r="O727" s="811">
        <f t="shared" si="360"/>
        <v>0.11980804935093999</v>
      </c>
      <c r="P727" s="842" t="b">
        <f t="shared" si="361"/>
        <v>1</v>
      </c>
      <c r="Q727" s="827">
        <f>COUNTIF(P$2:P727, TRUE)/(COUNTIF(P$2:P727,FALSE) + COUNTIF(P$2:P727, TRUE))</f>
        <v>0.49724517906336091</v>
      </c>
      <c r="R727" s="825">
        <v>312175.2</v>
      </c>
      <c r="S727" s="825">
        <f t="shared" si="362"/>
        <v>97743.149999999965</v>
      </c>
      <c r="T727" s="825">
        <v>-33049</v>
      </c>
      <c r="U727" s="825">
        <f t="shared" si="363"/>
        <v>142967.34999999998</v>
      </c>
      <c r="V727" s="827">
        <f>STDEV(D$2:D727)*SQRT(252)</f>
        <v>0.13732592506285154</v>
      </c>
      <c r="W727" s="827">
        <f>STDEV(L$2:L727)*SQRT(252)</f>
        <v>0.26193292929655376</v>
      </c>
      <c r="X727" s="826">
        <f t="shared" si="364"/>
        <v>0.87120982967958671</v>
      </c>
      <c r="Y727" s="826">
        <f t="shared" si="365"/>
        <v>0.45739972317606686</v>
      </c>
      <c r="Z727" s="832">
        <f t="shared" si="366"/>
        <v>5.148553965868552E-4</v>
      </c>
    </row>
    <row r="728" spans="1:26" ht="20.100000000000001" customHeight="1" x14ac:dyDescent="0.2">
      <c r="A728" s="801">
        <f t="shared" si="367"/>
        <v>1120</v>
      </c>
      <c r="B728" s="820">
        <v>43353</v>
      </c>
      <c r="C728" s="845">
        <v>2877.13</v>
      </c>
      <c r="D728" s="817">
        <f t="shared" si="368"/>
        <v>1.897843770893788E-3</v>
      </c>
      <c r="E728" s="844">
        <f t="shared" si="354"/>
        <v>0.36847187077871429</v>
      </c>
      <c r="F728" s="841">
        <v>7924.16</v>
      </c>
      <c r="G728" s="817">
        <f t="shared" si="369"/>
        <v>2.7358292397127873E-3</v>
      </c>
      <c r="H728" s="822">
        <f t="shared" si="355"/>
        <v>0.55628964785827917</v>
      </c>
      <c r="I728" s="866">
        <v>410285.83</v>
      </c>
      <c r="J728" s="825">
        <v>300000</v>
      </c>
      <c r="K728" s="825">
        <f t="shared" si="356"/>
        <v>367.48000000003958</v>
      </c>
      <c r="L728" s="817">
        <f t="shared" si="357"/>
        <v>8.9647121188900084E-4</v>
      </c>
      <c r="M728" s="842">
        <f t="shared" si="358"/>
        <v>110285.83000000002</v>
      </c>
      <c r="N728" s="827">
        <f t="shared" si="359"/>
        <v>0.36761943333333341</v>
      </c>
      <c r="O728" s="811">
        <f t="shared" si="360"/>
        <v>0.11988660537946431</v>
      </c>
      <c r="P728" s="842" t="b">
        <f t="shared" si="361"/>
        <v>0</v>
      </c>
      <c r="Q728" s="827">
        <f>COUNTIF(P$2:P728, TRUE)/(COUNTIF(P$2:P728,FALSE) + COUNTIF(P$2:P728, TRUE))</f>
        <v>0.49656121045392021</v>
      </c>
      <c r="R728" s="825">
        <v>325406.15999999997</v>
      </c>
      <c r="S728" s="825">
        <f t="shared" si="362"/>
        <v>84879.670000000042</v>
      </c>
      <c r="T728" s="825">
        <v>-32761</v>
      </c>
      <c r="U728" s="825">
        <f t="shared" si="363"/>
        <v>143046.83000000002</v>
      </c>
      <c r="V728" s="827">
        <f>STDEV(D$2:D728)*SQRT(252)</f>
        <v>0.13723377207884299</v>
      </c>
      <c r="W728" s="827">
        <f>STDEV(L$2:L728)*SQRT(252)</f>
        <v>0.26175225971231963</v>
      </c>
      <c r="X728" s="826">
        <f t="shared" si="364"/>
        <v>0.87561973346658473</v>
      </c>
      <c r="Y728" s="826">
        <f t="shared" si="365"/>
        <v>0.45801555070136318</v>
      </c>
      <c r="Z728" s="832">
        <f t="shared" si="366"/>
        <v>-8.5243744538088251E-4</v>
      </c>
    </row>
    <row r="729" spans="1:26" ht="20.100000000000001" customHeight="1" x14ac:dyDescent="0.2">
      <c r="A729" s="801">
        <f t="shared" si="367"/>
        <v>1121</v>
      </c>
      <c r="B729" s="820">
        <v>43354</v>
      </c>
      <c r="C729" s="845">
        <v>2887.89</v>
      </c>
      <c r="D729" s="817">
        <f t="shared" si="368"/>
        <v>3.7398379635260703E-3</v>
      </c>
      <c r="E729" s="844">
        <f t="shared" si="354"/>
        <v>0.37358973383307004</v>
      </c>
      <c r="F729" s="841">
        <v>7972.47</v>
      </c>
      <c r="G729" s="817">
        <f t="shared" si="369"/>
        <v>6.0965452489601928E-3</v>
      </c>
      <c r="H729" s="822">
        <f t="shared" si="355"/>
        <v>0.56577763811693549</v>
      </c>
      <c r="I729" s="866">
        <v>411136.15</v>
      </c>
      <c r="J729" s="825">
        <v>300000</v>
      </c>
      <c r="K729" s="825">
        <f t="shared" si="356"/>
        <v>850.32000000000698</v>
      </c>
      <c r="L729" s="817">
        <f t="shared" si="357"/>
        <v>2.072506379272243E-3</v>
      </c>
      <c r="M729" s="842">
        <f t="shared" si="358"/>
        <v>111136.15000000002</v>
      </c>
      <c r="N729" s="827">
        <f t="shared" si="359"/>
        <v>0.37045383333333343</v>
      </c>
      <c r="O729" s="811">
        <f t="shared" si="360"/>
        <v>0.12070317807760932</v>
      </c>
      <c r="P729" s="842" t="b">
        <f t="shared" si="361"/>
        <v>0</v>
      </c>
      <c r="Q729" s="827">
        <f>COUNTIF(P$2:P729, TRUE)/(COUNTIF(P$2:P729,FALSE) + COUNTIF(P$2:P729, TRUE))</f>
        <v>0.49587912087912089</v>
      </c>
      <c r="R729" s="825">
        <v>330490.48</v>
      </c>
      <c r="S729" s="825">
        <f t="shared" si="362"/>
        <v>80645.670000000042</v>
      </c>
      <c r="T729" s="825">
        <v>-32941</v>
      </c>
      <c r="U729" s="825">
        <f t="shared" si="363"/>
        <v>144077.15000000002</v>
      </c>
      <c r="V729" s="827">
        <f>STDEV(D$2:D729)*SQRT(252)</f>
        <v>0.13715274152410675</v>
      </c>
      <c r="W729" s="827">
        <f>STDEV(L$2:L729)*SQRT(252)</f>
        <v>0.26157324325497439</v>
      </c>
      <c r="X729" s="826">
        <f t="shared" si="364"/>
        <v>0.88751367267484249</v>
      </c>
      <c r="Y729" s="826">
        <f t="shared" si="365"/>
        <v>0.46145078363367303</v>
      </c>
      <c r="Z729" s="832">
        <f t="shared" si="366"/>
        <v>-3.1359004997366102E-3</v>
      </c>
    </row>
    <row r="730" spans="1:26" ht="20.100000000000001" customHeight="1" x14ac:dyDescent="0.2">
      <c r="A730" s="801">
        <f t="shared" si="367"/>
        <v>1122</v>
      </c>
      <c r="B730" s="820">
        <v>43355</v>
      </c>
      <c r="C730" s="845">
        <v>2888.92</v>
      </c>
      <c r="D730" s="817">
        <f t="shared" si="368"/>
        <v>3.5666178420930164E-4</v>
      </c>
      <c r="E730" s="844">
        <f t="shared" si="354"/>
        <v>0.37407964079831052</v>
      </c>
      <c r="F730" s="841">
        <v>7954.22</v>
      </c>
      <c r="G730" s="817">
        <f t="shared" si="369"/>
        <v>-2.2891274598712819E-3</v>
      </c>
      <c r="H730" s="822">
        <f t="shared" si="355"/>
        <v>0.56219337352946963</v>
      </c>
      <c r="I730" s="866">
        <v>415391.37</v>
      </c>
      <c r="J730" s="825">
        <v>300000</v>
      </c>
      <c r="K730" s="825">
        <f t="shared" si="356"/>
        <v>4255.2199999999721</v>
      </c>
      <c r="L730" s="817">
        <f t="shared" si="357"/>
        <v>1.0349904769989144E-2</v>
      </c>
      <c r="M730" s="842">
        <f t="shared" si="358"/>
        <v>115391.37</v>
      </c>
      <c r="N730" s="827">
        <f t="shared" si="359"/>
        <v>0.38463789999999998</v>
      </c>
      <c r="O730" s="811">
        <f t="shared" si="360"/>
        <v>0.12521300621657755</v>
      </c>
      <c r="P730" s="842" t="b">
        <f t="shared" si="361"/>
        <v>1</v>
      </c>
      <c r="Q730" s="827">
        <f>COUNTIF(P$2:P730, TRUE)/(COUNTIF(P$2:P730,FALSE) + COUNTIF(P$2:P730, TRUE))</f>
        <v>0.49657064471879286</v>
      </c>
      <c r="R730" s="825">
        <v>291962.92</v>
      </c>
      <c r="S730" s="825">
        <f t="shared" si="362"/>
        <v>123428.45000000001</v>
      </c>
      <c r="T730" s="825">
        <v>-32617</v>
      </c>
      <c r="U730" s="825">
        <f t="shared" si="363"/>
        <v>148008.37</v>
      </c>
      <c r="V730" s="827">
        <f>STDEV(D$2:D730)*SQRT(252)</f>
        <v>0.13705839856990906</v>
      </c>
      <c r="W730" s="827">
        <f>STDEV(L$2:L730)*SQRT(252)</f>
        <v>0.26145537814371811</v>
      </c>
      <c r="X730" s="826">
        <f t="shared" si="364"/>
        <v>0.88849663441820503</v>
      </c>
      <c r="Y730" s="826">
        <f t="shared" si="365"/>
        <v>0.47890774749238407</v>
      </c>
      <c r="Z730" s="832">
        <f t="shared" si="366"/>
        <v>1.0558259201689457E-2</v>
      </c>
    </row>
    <row r="731" spans="1:26" ht="20.100000000000001" customHeight="1" x14ac:dyDescent="0.2">
      <c r="A731" s="801">
        <f t="shared" si="367"/>
        <v>1123</v>
      </c>
      <c r="B731" s="820">
        <v>43356</v>
      </c>
      <c r="C731" s="845">
        <v>2904.18</v>
      </c>
      <c r="D731" s="817">
        <f t="shared" si="368"/>
        <v>5.2822508065296942E-3</v>
      </c>
      <c r="E731" s="844">
        <f t="shared" si="354"/>
        <v>0.38133787408915343</v>
      </c>
      <c r="F731" s="841">
        <v>8013.71</v>
      </c>
      <c r="G731" s="817">
        <f t="shared" si="369"/>
        <v>7.4790488570846397E-3</v>
      </c>
      <c r="H731" s="822">
        <f t="shared" si="355"/>
        <v>0.57387709409431042</v>
      </c>
      <c r="I731" s="866">
        <v>415289.92</v>
      </c>
      <c r="J731" s="825">
        <v>300000</v>
      </c>
      <c r="K731" s="825">
        <f t="shared" si="356"/>
        <v>-101.45000000001164</v>
      </c>
      <c r="L731" s="817">
        <f t="shared" si="357"/>
        <v>-2.4422751007083184E-4</v>
      </c>
      <c r="M731" s="842">
        <f t="shared" si="358"/>
        <v>115289.91999999998</v>
      </c>
      <c r="N731" s="827">
        <f t="shared" si="359"/>
        <v>0.38429973333333328</v>
      </c>
      <c r="O731" s="811">
        <f t="shared" si="360"/>
        <v>0.12499152056990202</v>
      </c>
      <c r="P731" s="842" t="b">
        <f t="shared" si="361"/>
        <v>0</v>
      </c>
      <c r="Q731" s="827">
        <f>COUNTIF(P$2:P731, TRUE)/(COUNTIF(P$2:P731,FALSE) + COUNTIF(P$2:P731, TRUE))</f>
        <v>0.49589041095890413</v>
      </c>
      <c r="R731" s="825">
        <v>297561.46999999997</v>
      </c>
      <c r="S731" s="825">
        <f t="shared" si="362"/>
        <v>117728.45000000001</v>
      </c>
      <c r="T731" s="825">
        <v>-32317</v>
      </c>
      <c r="U731" s="825">
        <f t="shared" si="363"/>
        <v>147606.91999999998</v>
      </c>
      <c r="V731" s="827">
        <f>STDEV(D$2:D731)*SQRT(252)</f>
        <v>0.13699340643062369</v>
      </c>
      <c r="W731" s="827">
        <f>STDEV(L$2:L731)*SQRT(252)</f>
        <v>0.26127630871836671</v>
      </c>
      <c r="X731" s="826">
        <f t="shared" si="364"/>
        <v>0.90535883622176583</v>
      </c>
      <c r="Y731" s="826">
        <f t="shared" si="365"/>
        <v>0.47838826712999871</v>
      </c>
      <c r="Z731" s="832">
        <f t="shared" si="366"/>
        <v>2.9618592441798541E-3</v>
      </c>
    </row>
    <row r="732" spans="1:26" ht="20.100000000000001" customHeight="1" x14ac:dyDescent="0.2">
      <c r="A732" s="801">
        <f t="shared" si="367"/>
        <v>1124</v>
      </c>
      <c r="B732" s="820">
        <v>43357</v>
      </c>
      <c r="C732" s="845">
        <v>2904.98</v>
      </c>
      <c r="D732" s="817">
        <f t="shared" si="368"/>
        <v>2.7546501938591341E-4</v>
      </c>
      <c r="E732" s="844">
        <f t="shared" si="354"/>
        <v>0.38171838435341793</v>
      </c>
      <c r="F732" s="841">
        <v>8010.04</v>
      </c>
      <c r="G732" s="817">
        <f t="shared" si="369"/>
        <v>-4.579651622032832E-4</v>
      </c>
      <c r="H732" s="822">
        <f t="shared" si="355"/>
        <v>0.57315631321562543</v>
      </c>
      <c r="I732" s="866">
        <v>415230.06</v>
      </c>
      <c r="J732" s="825">
        <v>300000</v>
      </c>
      <c r="K732" s="825">
        <f t="shared" si="356"/>
        <v>-59.85999999998603</v>
      </c>
      <c r="L732" s="817">
        <f t="shared" si="357"/>
        <v>-1.4414026711745382E-4</v>
      </c>
      <c r="M732" s="842">
        <f t="shared" si="358"/>
        <v>115230.06</v>
      </c>
      <c r="N732" s="827">
        <f t="shared" si="359"/>
        <v>0.3841002</v>
      </c>
      <c r="O732" s="811">
        <f t="shared" si="360"/>
        <v>0.12481547869217081</v>
      </c>
      <c r="P732" s="842" t="b">
        <f t="shared" si="361"/>
        <v>0</v>
      </c>
      <c r="Q732" s="827">
        <f>COUNTIF(P$2:P732, TRUE)/(COUNTIF(P$2:P732,FALSE) + COUNTIF(P$2:P732, TRUE))</f>
        <v>0.49521203830369359</v>
      </c>
      <c r="R732" s="825">
        <v>299931.61</v>
      </c>
      <c r="S732" s="825">
        <f t="shared" si="362"/>
        <v>115298.45000000001</v>
      </c>
      <c r="T732" s="825">
        <v>-32423</v>
      </c>
      <c r="U732" s="825">
        <f t="shared" si="363"/>
        <v>147653.06</v>
      </c>
      <c r="V732" s="827">
        <f>STDEV(D$2:D732)*SQRT(252)</f>
        <v>0.13689946734645103</v>
      </c>
      <c r="W732" s="827">
        <f>STDEV(L$2:L732)*SQRT(252)</f>
        <v>0.2610974913994204</v>
      </c>
      <c r="X732" s="826">
        <f t="shared" si="364"/>
        <v>0.90607726212530504</v>
      </c>
      <c r="Y732" s="826">
        <f t="shared" si="365"/>
        <v>0.47804166184511987</v>
      </c>
      <c r="Z732" s="832">
        <f t="shared" si="366"/>
        <v>2.381815646582075E-3</v>
      </c>
    </row>
    <row r="733" spans="1:26" ht="20.100000000000001" customHeight="1" x14ac:dyDescent="0.2">
      <c r="A733" s="801">
        <f t="shared" si="367"/>
        <v>1127</v>
      </c>
      <c r="B733" s="820">
        <v>43360</v>
      </c>
      <c r="C733" s="845">
        <v>2888.8</v>
      </c>
      <c r="D733" s="817">
        <f t="shared" si="368"/>
        <v>-5.5697457469586148E-3</v>
      </c>
      <c r="E733" s="844">
        <f t="shared" si="354"/>
        <v>0.37402256425867092</v>
      </c>
      <c r="F733" s="841">
        <v>7895.79</v>
      </c>
      <c r="G733" s="817">
        <f t="shared" si="369"/>
        <v>-1.4263349496382041E-2</v>
      </c>
      <c r="H733" s="822">
        <f t="shared" si="355"/>
        <v>0.55071783490779114</v>
      </c>
      <c r="I733" s="866">
        <v>416438.79</v>
      </c>
      <c r="J733" s="825">
        <v>300000</v>
      </c>
      <c r="K733" s="825">
        <f t="shared" si="356"/>
        <v>1208.7299999999814</v>
      </c>
      <c r="L733" s="817">
        <f t="shared" si="357"/>
        <v>2.9109886697508878E-3</v>
      </c>
      <c r="M733" s="842">
        <f t="shared" si="358"/>
        <v>116438.78999999998</v>
      </c>
      <c r="N733" s="827">
        <f t="shared" si="359"/>
        <v>0.38812929999999995</v>
      </c>
      <c r="O733" s="811">
        <f t="shared" si="360"/>
        <v>0.12578902114019519</v>
      </c>
      <c r="P733" s="842" t="b">
        <f t="shared" si="361"/>
        <v>1</v>
      </c>
      <c r="Q733" s="827">
        <f>COUNTIF(P$2:P733, TRUE)/(COUNTIF(P$2:P733,FALSE) + COUNTIF(P$2:P733, TRUE))</f>
        <v>0.49590163934426229</v>
      </c>
      <c r="R733" s="825">
        <v>295230.53999999998</v>
      </c>
      <c r="S733" s="825">
        <f t="shared" si="362"/>
        <v>121208.25</v>
      </c>
      <c r="T733" s="825">
        <v>-32591</v>
      </c>
      <c r="U733" s="825">
        <f t="shared" si="363"/>
        <v>149029.78999999998</v>
      </c>
      <c r="V733" s="827">
        <f>STDEV(D$2:D733)*SQRT(252)</f>
        <v>0.13685177611451066</v>
      </c>
      <c r="W733" s="827">
        <f>STDEV(L$2:L733)*SQRT(252)</f>
        <v>0.26092189563988533</v>
      </c>
      <c r="X733" s="826">
        <f t="shared" si="364"/>
        <v>0.88575512470974904</v>
      </c>
      <c r="Y733" s="826">
        <f t="shared" si="365"/>
        <v>0.48209453956215503</v>
      </c>
      <c r="Z733" s="832">
        <f t="shared" si="366"/>
        <v>1.4106735741329035E-2</v>
      </c>
    </row>
    <row r="734" spans="1:26" ht="20.100000000000001" customHeight="1" x14ac:dyDescent="0.2">
      <c r="A734" s="801">
        <f t="shared" si="367"/>
        <v>1128</v>
      </c>
      <c r="B734" s="820">
        <v>43361</v>
      </c>
      <c r="C734" s="845">
        <v>2904.31</v>
      </c>
      <c r="D734" s="817">
        <f t="shared" si="368"/>
        <v>5.3690113541954316E-3</v>
      </c>
      <c r="E734" s="844">
        <f t="shared" si="354"/>
        <v>0.38139970700709647</v>
      </c>
      <c r="F734" s="841">
        <v>7956.1</v>
      </c>
      <c r="G734" s="817">
        <f t="shared" si="369"/>
        <v>7.6382477244202798E-3</v>
      </c>
      <c r="H734" s="822">
        <f t="shared" si="355"/>
        <v>0.56256260188149354</v>
      </c>
      <c r="I734" s="866">
        <v>418074.92</v>
      </c>
      <c r="J734" s="825">
        <v>300000</v>
      </c>
      <c r="K734" s="825">
        <f t="shared" si="356"/>
        <v>1636.1300000000047</v>
      </c>
      <c r="L734" s="817">
        <f t="shared" si="357"/>
        <v>3.9288607096375546E-3</v>
      </c>
      <c r="M734" s="842">
        <f t="shared" si="358"/>
        <v>118074.91999999998</v>
      </c>
      <c r="N734" s="827">
        <f t="shared" si="359"/>
        <v>0.39358306666666659</v>
      </c>
      <c r="O734" s="811">
        <f t="shared" si="360"/>
        <v>0.12744345310283686</v>
      </c>
      <c r="P734" s="842" t="b">
        <f t="shared" si="361"/>
        <v>0</v>
      </c>
      <c r="Q734" s="827">
        <f>COUNTIF(P$2:P734, TRUE)/(COUNTIF(P$2:P734,FALSE) + COUNTIF(P$2:P734, TRUE))</f>
        <v>0.495225102319236</v>
      </c>
      <c r="R734" s="825">
        <v>288104.34000000003</v>
      </c>
      <c r="S734" s="825">
        <f t="shared" si="362"/>
        <v>129970.57999999996</v>
      </c>
      <c r="T734" s="825">
        <v>-32639</v>
      </c>
      <c r="U734" s="825">
        <f t="shared" si="363"/>
        <v>150713.91999999998</v>
      </c>
      <c r="V734" s="827">
        <f>STDEV(D$2:D734)*SQRT(252)</f>
        <v>0.13678831974223632</v>
      </c>
      <c r="W734" s="827">
        <f>STDEV(L$2:L734)*SQRT(252)</f>
        <v>0.2607503367308307</v>
      </c>
      <c r="X734" s="826">
        <f t="shared" si="364"/>
        <v>0.90284347811805543</v>
      </c>
      <c r="Y734" s="826">
        <f t="shared" si="365"/>
        <v>0.48875661945700627</v>
      </c>
      <c r="Z734" s="832">
        <f t="shared" si="366"/>
        <v>1.2183359659570125E-2</v>
      </c>
    </row>
    <row r="735" spans="1:26" ht="20.100000000000001" customHeight="1" x14ac:dyDescent="0.2">
      <c r="A735" s="801">
        <f t="shared" si="367"/>
        <v>1129</v>
      </c>
      <c r="B735" s="820">
        <v>43362</v>
      </c>
      <c r="C735" s="845">
        <v>2907.95</v>
      </c>
      <c r="D735" s="817">
        <f t="shared" si="368"/>
        <v>1.2533097362195746E-3</v>
      </c>
      <c r="E735" s="844">
        <f t="shared" si="354"/>
        <v>0.38313102870949933</v>
      </c>
      <c r="F735" s="841">
        <v>7950.03</v>
      </c>
      <c r="G735" s="817">
        <f t="shared" si="369"/>
        <v>-7.6293661467309593E-4</v>
      </c>
      <c r="H735" s="822">
        <f t="shared" si="355"/>
        <v>0.56137046565979931</v>
      </c>
      <c r="I735" s="866">
        <v>419431.72</v>
      </c>
      <c r="J735" s="825">
        <v>300000</v>
      </c>
      <c r="K735" s="825">
        <f t="shared" si="356"/>
        <v>1356.7999999999884</v>
      </c>
      <c r="L735" s="817">
        <f t="shared" si="357"/>
        <v>3.2453513355931237E-3</v>
      </c>
      <c r="M735" s="842">
        <f t="shared" si="358"/>
        <v>119431.71999999997</v>
      </c>
      <c r="N735" s="827">
        <f t="shared" si="359"/>
        <v>0.39810573333333327</v>
      </c>
      <c r="O735" s="811">
        <f t="shared" si="360"/>
        <v>0.12879372816651902</v>
      </c>
      <c r="P735" s="842" t="b">
        <f t="shared" si="361"/>
        <v>1</v>
      </c>
      <c r="Q735" s="827">
        <f>COUNTIF(P$2:P735, TRUE)/(COUNTIF(P$2:P735,FALSE) + COUNTIF(P$2:P735, TRUE))</f>
        <v>0.49591280653950953</v>
      </c>
      <c r="R735" s="825">
        <v>277922.09000000003</v>
      </c>
      <c r="S735" s="825">
        <f t="shared" si="362"/>
        <v>141509.62999999995</v>
      </c>
      <c r="T735" s="825">
        <v>-32495</v>
      </c>
      <c r="U735" s="825">
        <f t="shared" si="363"/>
        <v>151926.71999999997</v>
      </c>
      <c r="V735" s="827">
        <f>STDEV(D$2:D735)*SQRT(252)</f>
        <v>0.13669560794570593</v>
      </c>
      <c r="W735" s="827">
        <f>STDEV(L$2:L735)*SQRT(252)</f>
        <v>0.2605764967656935</v>
      </c>
      <c r="X735" s="826">
        <f t="shared" si="364"/>
        <v>0.90675309693708506</v>
      </c>
      <c r="Y735" s="826">
        <f t="shared" si="365"/>
        <v>0.49426456248020101</v>
      </c>
      <c r="Z735" s="832">
        <f t="shared" si="366"/>
        <v>1.4974704623833934E-2</v>
      </c>
    </row>
    <row r="736" spans="1:26" ht="20.100000000000001" customHeight="1" x14ac:dyDescent="0.2">
      <c r="A736" s="801">
        <f t="shared" si="367"/>
        <v>1130</v>
      </c>
      <c r="B736" s="820">
        <v>43363</v>
      </c>
      <c r="C736" s="845">
        <v>2930.75</v>
      </c>
      <c r="D736" s="817">
        <f t="shared" si="368"/>
        <v>7.8405749754982667E-3</v>
      </c>
      <c r="E736" s="844">
        <f t="shared" si="354"/>
        <v>0.39397557124103422</v>
      </c>
      <c r="F736" s="841">
        <v>8028.23</v>
      </c>
      <c r="G736" s="817">
        <f t="shared" si="369"/>
        <v>9.8364408687765734E-3</v>
      </c>
      <c r="H736" s="822">
        <f t="shared" si="355"/>
        <v>0.57672879391951604</v>
      </c>
      <c r="I736" s="866">
        <v>420883.98</v>
      </c>
      <c r="J736" s="825">
        <v>300000</v>
      </c>
      <c r="K736" s="825">
        <f t="shared" si="356"/>
        <v>1452.2600000000093</v>
      </c>
      <c r="L736" s="817">
        <f t="shared" si="357"/>
        <v>3.4624467601067689E-3</v>
      </c>
      <c r="M736" s="842">
        <f t="shared" si="358"/>
        <v>120883.97999999998</v>
      </c>
      <c r="N736" s="827">
        <f t="shared" si="359"/>
        <v>0.40294659999999993</v>
      </c>
      <c r="O736" s="811">
        <f t="shared" si="360"/>
        <v>0.13024446517699112</v>
      </c>
      <c r="P736" s="842" t="b">
        <f t="shared" si="361"/>
        <v>0</v>
      </c>
      <c r="Q736" s="827">
        <f>COUNTIF(P$2:P736, TRUE)/(COUNTIF(P$2:P736,FALSE) + COUNTIF(P$2:P736, TRUE))</f>
        <v>0.49523809523809526</v>
      </c>
      <c r="R736" s="825">
        <v>267594.75</v>
      </c>
      <c r="S736" s="825">
        <f t="shared" si="362"/>
        <v>153289.22999999998</v>
      </c>
      <c r="T736" s="825">
        <v>-32007</v>
      </c>
      <c r="U736" s="825">
        <f t="shared" si="363"/>
        <v>152890.97999999998</v>
      </c>
      <c r="V736" s="827">
        <f>STDEV(D$2:D736)*SQRT(252)</f>
        <v>0.13667040524290835</v>
      </c>
      <c r="W736" s="827">
        <f>STDEV(L$2:L736)*SQRT(252)</f>
        <v>0.26040376705486901</v>
      </c>
      <c r="X736" s="826">
        <f t="shared" si="364"/>
        <v>0.93176542888711478</v>
      </c>
      <c r="Y736" s="826">
        <f t="shared" si="365"/>
        <v>0.50016352163426137</v>
      </c>
      <c r="Z736" s="832">
        <f t="shared" si="366"/>
        <v>8.9710287589657156E-3</v>
      </c>
    </row>
    <row r="737" spans="1:26" ht="20.100000000000001" customHeight="1" x14ac:dyDescent="0.2">
      <c r="A737" s="801">
        <f t="shared" si="367"/>
        <v>1131</v>
      </c>
      <c r="B737" s="820">
        <v>43364</v>
      </c>
      <c r="C737" s="845">
        <v>2929.67</v>
      </c>
      <c r="D737" s="817">
        <f t="shared" si="368"/>
        <v>-3.6850635502855148E-4</v>
      </c>
      <c r="E737" s="844">
        <f t="shared" si="354"/>
        <v>0.39346188238427732</v>
      </c>
      <c r="F737" s="841">
        <v>7986.95</v>
      </c>
      <c r="G737" s="817">
        <f t="shared" si="369"/>
        <v>-5.1418556767805291E-3</v>
      </c>
      <c r="H737" s="822">
        <f t="shared" si="355"/>
        <v>0.56862148201975771</v>
      </c>
      <c r="I737" s="866">
        <v>421490.01</v>
      </c>
      <c r="J737" s="825">
        <v>300000</v>
      </c>
      <c r="K737" s="825">
        <f t="shared" si="356"/>
        <v>606.03000000002794</v>
      </c>
      <c r="L737" s="817">
        <f t="shared" si="357"/>
        <v>1.4398979975432373E-3</v>
      </c>
      <c r="M737" s="842">
        <f t="shared" si="358"/>
        <v>121490.01000000001</v>
      </c>
      <c r="N737" s="827">
        <f t="shared" si="359"/>
        <v>0.40496670000000001</v>
      </c>
      <c r="O737" s="811">
        <f t="shared" si="360"/>
        <v>0.13078168627320955</v>
      </c>
      <c r="P737" s="842" t="b">
        <f t="shared" si="361"/>
        <v>1</v>
      </c>
      <c r="Q737" s="827">
        <f>COUNTIF(P$2:P737, TRUE)/(COUNTIF(P$2:P737,FALSE) + COUNTIF(P$2:P737, TRUE))</f>
        <v>0.49592391304347827</v>
      </c>
      <c r="R737" s="825">
        <v>265208.83</v>
      </c>
      <c r="S737" s="825">
        <f t="shared" si="362"/>
        <v>156281.18</v>
      </c>
      <c r="T737" s="825">
        <v>-32167</v>
      </c>
      <c r="U737" s="825">
        <f t="shared" si="363"/>
        <v>153657.01</v>
      </c>
      <c r="V737" s="827">
        <f>STDEV(D$2:D737)*SQRT(252)</f>
        <v>0.13657819814952279</v>
      </c>
      <c r="W737" s="827">
        <f>STDEV(L$2:L737)*SQRT(252)</f>
        <v>0.26022668937948867</v>
      </c>
      <c r="X737" s="826">
        <f t="shared" si="364"/>
        <v>0.93035545026103961</v>
      </c>
      <c r="Y737" s="826">
        <f t="shared" si="365"/>
        <v>0.50256830529204699</v>
      </c>
      <c r="Z737" s="832">
        <f t="shared" si="366"/>
        <v>1.1504817615722696E-2</v>
      </c>
    </row>
    <row r="738" spans="1:26" ht="20.100000000000001" customHeight="1" x14ac:dyDescent="0.2">
      <c r="A738" s="801">
        <f t="shared" ref="A738:A771" si="370">B738-$B$2</f>
        <v>1134</v>
      </c>
      <c r="B738" s="820">
        <v>43367</v>
      </c>
      <c r="C738" s="845">
        <v>2919.37</v>
      </c>
      <c r="D738" s="817">
        <f t="shared" ref="D738:D771" si="371">(C738-C737)/C737</f>
        <v>-3.5157543341059511E-3</v>
      </c>
      <c r="E738" s="844">
        <f t="shared" ref="E738:E770" si="372">(C738-$C$2)/$C$2</f>
        <v>0.38856281273187337</v>
      </c>
      <c r="F738" s="841">
        <v>7993.24</v>
      </c>
      <c r="G738" s="817">
        <f t="shared" ref="G738:G771" si="373">(F738-F737)/F737</f>
        <v>7.8753466592378367E-4</v>
      </c>
      <c r="H738" s="822">
        <f t="shared" ref="H738:H770" si="374">(F738-F$2)/F$2</f>
        <v>0.56985682581456099</v>
      </c>
      <c r="I738" s="866">
        <v>418954.22</v>
      </c>
      <c r="J738" s="825">
        <v>300000</v>
      </c>
      <c r="K738" s="825">
        <f t="shared" ref="K738:K770" si="375">I738-I737-J738+J737</f>
        <v>-2535.7900000000373</v>
      </c>
      <c r="L738" s="817">
        <f t="shared" ref="L738:L770" si="376">K738/I737</f>
        <v>-6.0162517256341077E-3</v>
      </c>
      <c r="M738" s="842">
        <f t="shared" ref="M738:M770" si="377">I738-J738</f>
        <v>118954.21999999997</v>
      </c>
      <c r="N738" s="827">
        <f t="shared" ref="N738:N770" si="378">M738/J738</f>
        <v>0.39651406666666655</v>
      </c>
      <c r="O738" s="811">
        <f t="shared" ref="O738:O745" si="379">N738/(A738/365.25)</f>
        <v>0.1277131947530864</v>
      </c>
      <c r="P738" s="842" t="b">
        <f t="shared" ref="P738:P770" si="380">L738&gt;D738</f>
        <v>0</v>
      </c>
      <c r="Q738" s="827">
        <f>COUNTIF(P$2:P738, TRUE)/(COUNTIF(P$2:P738,FALSE) + COUNTIF(P$2:P738, TRUE))</f>
        <v>0.49525101763907736</v>
      </c>
      <c r="R738" s="825">
        <v>264787.38</v>
      </c>
      <c r="S738" s="825">
        <f>I738-R738</f>
        <v>154166.83999999997</v>
      </c>
      <c r="T738" s="825">
        <v>-33650</v>
      </c>
      <c r="U738" s="825">
        <f t="shared" ref="U738:U770" si="381">M738-T738</f>
        <v>152604.21999999997</v>
      </c>
      <c r="V738" s="827">
        <f>STDEV(D$2:D738)*SQRT(252)</f>
        <v>0.13650536639100233</v>
      </c>
      <c r="W738" s="827">
        <f>STDEV(L$2:L738)*SQRT(252)</f>
        <v>0.26007922673864475</v>
      </c>
      <c r="X738" s="826">
        <f t="shared" ref="X738:X770" si="382">E738/(A738/365.25)/V738</f>
        <v>0.91682971228726329</v>
      </c>
      <c r="Y738" s="826">
        <f t="shared" ref="Y738:Y770" si="383">O738/W738</f>
        <v>0.49105496180756564</v>
      </c>
      <c r="Z738" s="832">
        <f t="shared" ref="Z738:Z770" si="384">-(E738-N738)</f>
        <v>7.9512539347931788E-3</v>
      </c>
    </row>
    <row r="739" spans="1:26" ht="20.100000000000001" customHeight="1" x14ac:dyDescent="0.2">
      <c r="A739" s="801">
        <f t="shared" si="370"/>
        <v>1135</v>
      </c>
      <c r="B739" s="820">
        <v>43368</v>
      </c>
      <c r="C739" s="845">
        <v>2915.56</v>
      </c>
      <c r="D739" s="817">
        <f t="shared" si="371"/>
        <v>-1.3050760951849015E-3</v>
      </c>
      <c r="E739" s="844">
        <f t="shared" si="372"/>
        <v>0.38675063259831427</v>
      </c>
      <c r="F739" s="841">
        <v>8007.47</v>
      </c>
      <c r="G739" s="817">
        <f t="shared" si="373"/>
        <v>1.7802543148961465E-3</v>
      </c>
      <c r="H739" s="822">
        <f t="shared" si="374"/>
        <v>0.57265157020248647</v>
      </c>
      <c r="I739" s="866">
        <v>417620.33</v>
      </c>
      <c r="J739" s="825">
        <v>300000</v>
      </c>
      <c r="K739" s="825">
        <f t="shared" si="375"/>
        <v>-1333.8899999999558</v>
      </c>
      <c r="L739" s="817">
        <f t="shared" si="376"/>
        <v>-3.1838562218085686E-3</v>
      </c>
      <c r="M739" s="842">
        <f t="shared" si="377"/>
        <v>117620.33000000002</v>
      </c>
      <c r="N739" s="827">
        <f t="shared" si="378"/>
        <v>0.39206776666666671</v>
      </c>
      <c r="O739" s="811">
        <f t="shared" si="379"/>
        <v>0.12616982535242294</v>
      </c>
      <c r="P739" s="842" t="b">
        <f t="shared" si="380"/>
        <v>0</v>
      </c>
      <c r="Q739" s="827">
        <f>COUNTIF(P$2:P739, TRUE)/(COUNTIF(P$2:P739,FALSE) + COUNTIF(P$2:P739, TRUE))</f>
        <v>0.49457994579945802</v>
      </c>
      <c r="R739" s="825">
        <v>271578.69</v>
      </c>
      <c r="S739" s="825">
        <f>I739-R739</f>
        <v>146041.64000000001</v>
      </c>
      <c r="T739" s="825">
        <v>-33481</v>
      </c>
      <c r="U739" s="825">
        <f t="shared" si="381"/>
        <v>151101.33000000002</v>
      </c>
      <c r="V739" s="827">
        <f>STDEV(D$2:D739)*SQRT(252)</f>
        <v>0.13641660742721073</v>
      </c>
      <c r="W739" s="827">
        <f>STDEV(L$2:L739)*SQRT(252)</f>
        <v>0.25991231713034102</v>
      </c>
      <c r="X739" s="826">
        <f t="shared" si="382"/>
        <v>0.91234301426780873</v>
      </c>
      <c r="Y739" s="826">
        <f t="shared" si="383"/>
        <v>0.48543226710241361</v>
      </c>
      <c r="Z739" s="832">
        <f t="shared" si="384"/>
        <v>5.317134068352436E-3</v>
      </c>
    </row>
    <row r="740" spans="1:26" ht="20.100000000000001" customHeight="1" x14ac:dyDescent="0.2">
      <c r="A740" s="801">
        <f t="shared" si="370"/>
        <v>1136</v>
      </c>
      <c r="B740" s="820">
        <v>43369</v>
      </c>
      <c r="C740" s="845">
        <v>2905.97</v>
      </c>
      <c r="D740" s="817">
        <f t="shared" si="371"/>
        <v>-3.2892480346829239E-3</v>
      </c>
      <c r="E740" s="844">
        <f t="shared" si="372"/>
        <v>0.38218926580544499</v>
      </c>
      <c r="F740" s="841">
        <v>7990.36</v>
      </c>
      <c r="G740" s="817">
        <f t="shared" si="373"/>
        <v>-2.1367548052007167E-3</v>
      </c>
      <c r="H740" s="822">
        <f t="shared" si="374"/>
        <v>0.56929119940294992</v>
      </c>
      <c r="I740" s="866">
        <v>416840.38</v>
      </c>
      <c r="J740" s="825">
        <v>300000</v>
      </c>
      <c r="K740" s="825">
        <f t="shared" si="375"/>
        <v>-779.95000000001164</v>
      </c>
      <c r="L740" s="817">
        <f t="shared" si="376"/>
        <v>-1.8676054396106903E-3</v>
      </c>
      <c r="M740" s="842">
        <f t="shared" si="377"/>
        <v>116840.38</v>
      </c>
      <c r="N740" s="827">
        <f t="shared" si="378"/>
        <v>0.38946793333333335</v>
      </c>
      <c r="O740" s="811">
        <f t="shared" si="379"/>
        <v>0.12522285444542253</v>
      </c>
      <c r="P740" s="842" t="b">
        <f t="shared" si="380"/>
        <v>1</v>
      </c>
      <c r="Q740" s="827">
        <f>COUNTIF(P$2:P740, TRUE)/(COUNTIF(P$2:P740,FALSE) + COUNTIF(P$2:P740, TRUE))</f>
        <v>0.49526387009472261</v>
      </c>
      <c r="R740" s="825">
        <v>272989.78999999998</v>
      </c>
      <c r="S740" s="825">
        <f>I740-R740</f>
        <v>143850.59000000003</v>
      </c>
      <c r="T740" s="825">
        <v>-33533</v>
      </c>
      <c r="U740" s="825">
        <f t="shared" si="381"/>
        <v>150373.38</v>
      </c>
      <c r="V740" s="827">
        <f>STDEV(D$2:D740)*SQRT(252)</f>
        <v>0.1363418252525197</v>
      </c>
      <c r="W740" s="827">
        <f>STDEV(L$2:L740)*SQRT(252)</f>
        <v>0.25974018410209759</v>
      </c>
      <c r="X740" s="826">
        <f t="shared" si="382"/>
        <v>0.90128319771569054</v>
      </c>
      <c r="Y740" s="826">
        <f t="shared" si="383"/>
        <v>0.48210813000810243</v>
      </c>
      <c r="Z740" s="832">
        <f t="shared" si="384"/>
        <v>7.2786675278883606E-3</v>
      </c>
    </row>
    <row r="741" spans="1:26" ht="20.100000000000001" customHeight="1" x14ac:dyDescent="0.2">
      <c r="A741" s="801">
        <f t="shared" si="370"/>
        <v>1137</v>
      </c>
      <c r="B741" s="820">
        <v>43370</v>
      </c>
      <c r="C741" s="845">
        <v>2914</v>
      </c>
      <c r="D741" s="817">
        <f t="shared" si="371"/>
        <v>2.7632769780831187E-3</v>
      </c>
      <c r="E741" s="844">
        <f t="shared" si="372"/>
        <v>0.38600863758299875</v>
      </c>
      <c r="F741" s="841">
        <v>8041.96</v>
      </c>
      <c r="G741" s="817">
        <f t="shared" si="373"/>
        <v>6.4577816268604126E-3</v>
      </c>
      <c r="H741" s="822">
        <f t="shared" si="374"/>
        <v>0.57942533927764805</v>
      </c>
      <c r="I741" s="866">
        <v>416479.53</v>
      </c>
      <c r="J741" s="825">
        <v>300000</v>
      </c>
      <c r="K741" s="825">
        <f t="shared" si="375"/>
        <v>-360.84999999997672</v>
      </c>
      <c r="L741" s="817">
        <f t="shared" si="376"/>
        <v>-8.6567908800000784E-4</v>
      </c>
      <c r="M741" s="842">
        <f t="shared" si="377"/>
        <v>116479.53000000003</v>
      </c>
      <c r="N741" s="827">
        <f t="shared" si="378"/>
        <v>0.38826510000000009</v>
      </c>
      <c r="O741" s="811">
        <f t="shared" si="379"/>
        <v>0.12472632170184698</v>
      </c>
      <c r="P741" s="842" t="b">
        <f t="shared" si="380"/>
        <v>0</v>
      </c>
      <c r="Q741" s="827">
        <f>COUNTIF(P$2:P741, TRUE)/(COUNTIF(P$2:P741,FALSE) + COUNTIF(P$2:P741, TRUE))</f>
        <v>0.49459459459459459</v>
      </c>
      <c r="R741" s="825">
        <v>272628.99</v>
      </c>
      <c r="S741" s="825">
        <f>I741-R741</f>
        <v>143850.54000000004</v>
      </c>
      <c r="T741" s="825">
        <v>-33650</v>
      </c>
      <c r="U741" s="825">
        <f t="shared" si="381"/>
        <v>150129.53000000003</v>
      </c>
      <c r="V741" s="827">
        <f>STDEV(D$2:D741)*SQRT(252)</f>
        <v>0.13625597083804902</v>
      </c>
      <c r="W741" s="827">
        <f>STDEV(L$2:L741)*SQRT(252)</f>
        <v>0.25956570616493319</v>
      </c>
      <c r="X741" s="826">
        <f t="shared" si="382"/>
        <v>0.91006254415262233</v>
      </c>
      <c r="Y741" s="826">
        <f t="shared" si="383"/>
        <v>0.48051926251996252</v>
      </c>
      <c r="Z741" s="832">
        <f t="shared" si="384"/>
        <v>2.256462417001337E-3</v>
      </c>
    </row>
    <row r="742" spans="1:26" ht="20.100000000000001" customHeight="1" x14ac:dyDescent="0.2">
      <c r="A742" s="801">
        <f t="shared" si="370"/>
        <v>1138</v>
      </c>
      <c r="B742" s="820">
        <v>43371</v>
      </c>
      <c r="C742" s="845">
        <v>2913.98</v>
      </c>
      <c r="D742" s="817">
        <f t="shared" si="371"/>
        <v>-6.8634179821488707E-6</v>
      </c>
      <c r="E742" s="844">
        <f t="shared" si="372"/>
        <v>0.38599912482639215</v>
      </c>
      <c r="F742" s="841">
        <v>8046.35</v>
      </c>
      <c r="G742" s="817">
        <f t="shared" si="373"/>
        <v>5.4588682361020541E-4</v>
      </c>
      <c r="H742" s="822">
        <f t="shared" si="374"/>
        <v>0.58028752675923578</v>
      </c>
      <c r="I742" s="868">
        <v>416216.28</v>
      </c>
      <c r="J742" s="825">
        <v>300000</v>
      </c>
      <c r="K742" s="825">
        <f t="shared" si="375"/>
        <v>-263.25</v>
      </c>
      <c r="L742" s="817">
        <f t="shared" si="376"/>
        <v>-6.3208388657180813E-4</v>
      </c>
      <c r="M742" s="847">
        <f t="shared" si="377"/>
        <v>116216.28000000003</v>
      </c>
      <c r="N742" s="827">
        <f t="shared" si="378"/>
        <v>0.38738760000000011</v>
      </c>
      <c r="O742" s="811">
        <f t="shared" si="379"/>
        <v>0.12433507987697719</v>
      </c>
      <c r="P742" s="842" t="b">
        <f t="shared" si="380"/>
        <v>0</v>
      </c>
      <c r="Q742" s="827">
        <f>COUNTIF(P$2:P742, TRUE)/(COUNTIF(P$2:P742,FALSE) + COUNTIF(P$2:P742, TRUE))</f>
        <v>0.49392712550607287</v>
      </c>
      <c r="R742" s="825">
        <v>267675.40000000002</v>
      </c>
      <c r="S742" s="825">
        <f t="shared" ref="S742:S747" si="385">I742-R742</f>
        <v>148540.88</v>
      </c>
      <c r="T742" s="825">
        <v>-33845</v>
      </c>
      <c r="U742" s="825">
        <f t="shared" si="381"/>
        <v>150061.28000000003</v>
      </c>
      <c r="V742" s="827">
        <f>STDEV(D$2:D742)*SQRT(252)</f>
        <v>0.1361640449257997</v>
      </c>
      <c r="W742" s="827">
        <f>STDEV(L$2:L742)*SQRT(252)</f>
        <v>0.25939114357403653</v>
      </c>
      <c r="X742" s="826">
        <f t="shared" si="382"/>
        <v>0.90985427157821597</v>
      </c>
      <c r="Y742" s="826">
        <f t="shared" si="383"/>
        <v>0.47933432947562815</v>
      </c>
      <c r="Z742" s="832">
        <f t="shared" si="384"/>
        <v>1.3884751736079615E-3</v>
      </c>
    </row>
    <row r="743" spans="1:26" ht="20.100000000000001" customHeight="1" x14ac:dyDescent="0.2">
      <c r="A743" s="801">
        <f t="shared" si="370"/>
        <v>1141</v>
      </c>
      <c r="B743" s="820">
        <v>43374</v>
      </c>
      <c r="C743" s="845">
        <v>2924.59</v>
      </c>
      <c r="D743" s="817">
        <f t="shared" si="371"/>
        <v>3.6410682297064933E-3</v>
      </c>
      <c r="E743" s="844">
        <f t="shared" si="372"/>
        <v>0.39104564220619853</v>
      </c>
      <c r="F743" s="841">
        <v>8037.3</v>
      </c>
      <c r="G743" s="817">
        <f t="shared" si="373"/>
        <v>-1.1247335748507312E-3</v>
      </c>
      <c r="H743" s="822">
        <f t="shared" si="374"/>
        <v>0.57851012431997184</v>
      </c>
      <c r="I743" s="866">
        <v>417593.36</v>
      </c>
      <c r="J743" s="825">
        <v>300000</v>
      </c>
      <c r="K743" s="825">
        <f t="shared" si="375"/>
        <v>1377.0799999999581</v>
      </c>
      <c r="L743" s="817">
        <f t="shared" si="376"/>
        <v>3.3085683241413765E-3</v>
      </c>
      <c r="M743" s="842">
        <f t="shared" si="377"/>
        <v>117593.35999999999</v>
      </c>
      <c r="N743" s="827">
        <f t="shared" si="378"/>
        <v>0.39197786666666662</v>
      </c>
      <c r="O743" s="811">
        <f t="shared" si="379"/>
        <v>0.12547757738825591</v>
      </c>
      <c r="P743" s="842" t="b">
        <f t="shared" si="380"/>
        <v>0</v>
      </c>
      <c r="Q743" s="827">
        <f>COUNTIF(P$2:P743, TRUE)/(COUNTIF(P$2:P743,FALSE) + COUNTIF(P$2:P743, TRUE))</f>
        <v>0.49326145552560646</v>
      </c>
      <c r="R743" s="825">
        <v>262455.67999999999</v>
      </c>
      <c r="S743" s="825">
        <f t="shared" si="385"/>
        <v>155137.68</v>
      </c>
      <c r="T743" s="825">
        <v>-33676</v>
      </c>
      <c r="U743" s="825">
        <f t="shared" si="381"/>
        <v>151269.35999999999</v>
      </c>
      <c r="V743" s="827">
        <f>STDEV(D$2:D743)*SQRT(252)</f>
        <v>0.13608451347021563</v>
      </c>
      <c r="W743" s="827">
        <f>STDEV(L$2:L743)*SQRT(252)</f>
        <v>0.2592203859750481</v>
      </c>
      <c r="X743" s="826">
        <f t="shared" si="382"/>
        <v>0.91986337133927398</v>
      </c>
      <c r="Y743" s="826">
        <f t="shared" si="383"/>
        <v>0.48405752084766229</v>
      </c>
      <c r="Z743" s="832">
        <f t="shared" si="384"/>
        <v>9.322244604680896E-4</v>
      </c>
    </row>
    <row r="744" spans="1:26" ht="20.100000000000001" customHeight="1" x14ac:dyDescent="0.2">
      <c r="A744" s="801">
        <f t="shared" si="370"/>
        <v>1142</v>
      </c>
      <c r="B744" s="820">
        <v>43375</v>
      </c>
      <c r="C744" s="845">
        <v>2923.43</v>
      </c>
      <c r="D744" s="817">
        <f t="shared" si="371"/>
        <v>-3.9663679353355827E-4</v>
      </c>
      <c r="E744" s="844">
        <f t="shared" si="372"/>
        <v>0.39049390232301506</v>
      </c>
      <c r="F744" s="841">
        <v>7999.54</v>
      </c>
      <c r="G744" s="817">
        <f t="shared" si="373"/>
        <v>-4.6980951314496431E-3</v>
      </c>
      <c r="H744" s="822">
        <f t="shared" si="374"/>
        <v>0.5710941335899602</v>
      </c>
      <c r="I744" s="866">
        <v>417774.27</v>
      </c>
      <c r="J744" s="825">
        <v>300000</v>
      </c>
      <c r="K744" s="825">
        <f t="shared" si="375"/>
        <v>180.9100000000326</v>
      </c>
      <c r="L744" s="817">
        <f t="shared" si="376"/>
        <v>4.3322048990441944E-4</v>
      </c>
      <c r="M744" s="842">
        <f t="shared" si="377"/>
        <v>117774.27000000002</v>
      </c>
      <c r="N744" s="827">
        <f t="shared" si="378"/>
        <v>0.39258090000000007</v>
      </c>
      <c r="O744" s="811">
        <f t="shared" si="379"/>
        <v>0.12556057243870405</v>
      </c>
      <c r="P744" s="842" t="b">
        <f t="shared" si="380"/>
        <v>1</v>
      </c>
      <c r="Q744" s="827">
        <f>COUNTIF(P$2:P744, TRUE)/(COUNTIF(P$2:P744,FALSE) + COUNTIF(P$2:P744, TRUE))</f>
        <v>0.4939434724091521</v>
      </c>
      <c r="R744" s="825">
        <v>262636.63</v>
      </c>
      <c r="S744" s="825">
        <f t="shared" si="385"/>
        <v>155137.64000000001</v>
      </c>
      <c r="T744" s="825">
        <v>-33702</v>
      </c>
      <c r="U744" s="825">
        <f t="shared" si="381"/>
        <v>151476.27000000002</v>
      </c>
      <c r="V744" s="827">
        <f>STDEV(D$2:D744)*SQRT(252)</f>
        <v>0.13599362203592741</v>
      </c>
      <c r="W744" s="827">
        <f>STDEV(L$2:L744)*SQRT(252)</f>
        <v>0.25904545233684084</v>
      </c>
      <c r="X744" s="826">
        <f t="shared" si="382"/>
        <v>0.9183745423947578</v>
      </c>
      <c r="Y744" s="826">
        <f t="shared" si="383"/>
        <v>0.48470479333269934</v>
      </c>
      <c r="Z744" s="832">
        <f t="shared" si="384"/>
        <v>2.0869976769850029E-3</v>
      </c>
    </row>
    <row r="745" spans="1:26" ht="20.100000000000001" customHeight="1" x14ac:dyDescent="0.2">
      <c r="A745" s="801">
        <f t="shared" si="370"/>
        <v>1143</v>
      </c>
      <c r="B745" s="820">
        <v>43376</v>
      </c>
      <c r="C745" s="845">
        <v>2925.51</v>
      </c>
      <c r="D745" s="817">
        <f t="shared" si="371"/>
        <v>7.1149300650276632E-4</v>
      </c>
      <c r="E745" s="844">
        <f t="shared" si="372"/>
        <v>0.39148322901010263</v>
      </c>
      <c r="F745" s="841">
        <v>8025.08</v>
      </c>
      <c r="G745" s="817">
        <f t="shared" si="373"/>
        <v>3.1926835793058056E-3</v>
      </c>
      <c r="H745" s="822">
        <f t="shared" si="374"/>
        <v>0.57611014003181649</v>
      </c>
      <c r="I745" s="866">
        <v>417130.14</v>
      </c>
      <c r="J745" s="825">
        <v>300000</v>
      </c>
      <c r="K745" s="825">
        <f t="shared" si="375"/>
        <v>-644.13000000000466</v>
      </c>
      <c r="L745" s="817">
        <f t="shared" si="376"/>
        <v>-1.54181347740732E-3</v>
      </c>
      <c r="M745" s="842">
        <f t="shared" si="377"/>
        <v>117130.14000000001</v>
      </c>
      <c r="N745" s="827">
        <f t="shared" si="378"/>
        <v>0.39043380000000005</v>
      </c>
      <c r="O745" s="811">
        <f t="shared" si="379"/>
        <v>0.12476460669291341</v>
      </c>
      <c r="P745" s="842" t="b">
        <f t="shared" si="380"/>
        <v>0</v>
      </c>
      <c r="Q745" s="827">
        <f>COUNTIF(P$2:P745, TRUE)/(COUNTIF(P$2:P745,FALSE) + COUNTIF(P$2:P745, TRUE))</f>
        <v>0.49327956989247312</v>
      </c>
      <c r="R745" s="825">
        <v>261985.21</v>
      </c>
      <c r="S745" s="825">
        <f t="shared" si="385"/>
        <v>155144.93000000002</v>
      </c>
      <c r="T745" s="825">
        <v>-33690</v>
      </c>
      <c r="U745" s="825">
        <f t="shared" si="381"/>
        <v>150820.14000000001</v>
      </c>
      <c r="V745" s="827">
        <f>STDEV(D$2:D745)*SQRT(252)</f>
        <v>0.13590201750235897</v>
      </c>
      <c r="W745" s="827">
        <f>STDEV(L$2:L745)*SQRT(252)</f>
        <v>0.25887404950468873</v>
      </c>
      <c r="X745" s="826">
        <f t="shared" si="382"/>
        <v>0.9205158100379941</v>
      </c>
      <c r="Y745" s="826">
        <f t="shared" si="383"/>
        <v>0.48195099868692581</v>
      </c>
      <c r="Z745" s="832">
        <f t="shared" si="384"/>
        <v>-1.0494290101025761E-3</v>
      </c>
    </row>
    <row r="746" spans="1:26" ht="20.100000000000001" customHeight="1" x14ac:dyDescent="0.2">
      <c r="A746" s="801">
        <f t="shared" si="370"/>
        <v>1144</v>
      </c>
      <c r="B746" s="820">
        <v>43377</v>
      </c>
      <c r="C746" s="845">
        <v>2901.61</v>
      </c>
      <c r="D746" s="817">
        <f t="shared" si="371"/>
        <v>-8.1695157425543206E-3</v>
      </c>
      <c r="E746" s="844">
        <f t="shared" si="372"/>
        <v>0.38011548486520425</v>
      </c>
      <c r="F746" s="841">
        <v>7879.51</v>
      </c>
      <c r="G746" s="817">
        <f t="shared" si="373"/>
        <v>-1.8139383034187787E-2</v>
      </c>
      <c r="H746" s="822">
        <f t="shared" si="374"/>
        <v>0.54752047449771202</v>
      </c>
      <c r="I746" s="866">
        <v>415878.56</v>
      </c>
      <c r="J746" s="825">
        <v>300000</v>
      </c>
      <c r="K746" s="825">
        <f t="shared" si="375"/>
        <v>-1251.5800000000163</v>
      </c>
      <c r="L746" s="817">
        <f t="shared" si="376"/>
        <v>-3.0004544864583897E-3</v>
      </c>
      <c r="M746" s="842">
        <f t="shared" si="377"/>
        <v>115878.56</v>
      </c>
      <c r="N746" s="827">
        <f t="shared" si="378"/>
        <v>0.38626186666666668</v>
      </c>
      <c r="O746" s="811">
        <f t="shared" ref="O746:O751" si="386">N746/(A746/365.25)</f>
        <v>0.12332355489510489</v>
      </c>
      <c r="P746" s="842" t="b">
        <f t="shared" si="380"/>
        <v>1</v>
      </c>
      <c r="Q746" s="827">
        <f>COUNTIF(P$2:P746, TRUE)/(COUNTIF(P$2:P746,FALSE) + COUNTIF(P$2:P746, TRUE))</f>
        <v>0.49395973154362416</v>
      </c>
      <c r="R746" s="825">
        <v>272527.87</v>
      </c>
      <c r="S746" s="825">
        <f t="shared" si="385"/>
        <v>143350.69</v>
      </c>
      <c r="T746" s="825">
        <v>-34275</v>
      </c>
      <c r="U746" s="825">
        <f t="shared" si="381"/>
        <v>150153.56</v>
      </c>
      <c r="V746" s="827">
        <f>STDEV(D$2:D746)*SQRT(252)</f>
        <v>0.13590382160138992</v>
      </c>
      <c r="W746" s="827">
        <f>STDEV(L$2:L746)*SQRT(252)</f>
        <v>0.25870860408644841</v>
      </c>
      <c r="X746" s="826">
        <f t="shared" si="382"/>
        <v>0.89299307877467815</v>
      </c>
      <c r="Y746" s="826">
        <f t="shared" si="383"/>
        <v>0.47668903525874184</v>
      </c>
      <c r="Z746" s="832">
        <f t="shared" si="384"/>
        <v>6.1463818014624305E-3</v>
      </c>
    </row>
    <row r="747" spans="1:26" ht="20.100000000000001" customHeight="1" x14ac:dyDescent="0.2">
      <c r="A747" s="801">
        <f t="shared" si="370"/>
        <v>1145</v>
      </c>
      <c r="B747" s="820">
        <v>43378</v>
      </c>
      <c r="C747" s="845">
        <v>2885.57</v>
      </c>
      <c r="D747" s="817">
        <f t="shared" si="371"/>
        <v>-5.5279655088037206E-3</v>
      </c>
      <c r="E747" s="844">
        <f t="shared" si="372"/>
        <v>0.37248625406670349</v>
      </c>
      <c r="F747" s="841">
        <v>7788.44</v>
      </c>
      <c r="G747" s="817">
        <f t="shared" si="373"/>
        <v>-1.1557825296243119E-2</v>
      </c>
      <c r="H747" s="822">
        <f t="shared" si="374"/>
        <v>0.52963450321110828</v>
      </c>
      <c r="I747" s="866">
        <v>413387.15</v>
      </c>
      <c r="J747" s="825">
        <v>300000</v>
      </c>
      <c r="K747" s="825">
        <f t="shared" si="375"/>
        <v>-2491.4099999999744</v>
      </c>
      <c r="L747" s="817">
        <f t="shared" si="376"/>
        <v>-5.9907151741603951E-3</v>
      </c>
      <c r="M747" s="842">
        <f t="shared" si="377"/>
        <v>113387.15000000002</v>
      </c>
      <c r="N747" s="827">
        <f t="shared" si="378"/>
        <v>0.37795716666666673</v>
      </c>
      <c r="O747" s="811">
        <f t="shared" si="386"/>
        <v>0.12056668569868999</v>
      </c>
      <c r="P747" s="842" t="b">
        <f t="shared" si="380"/>
        <v>0</v>
      </c>
      <c r="Q747" s="827">
        <f>COUNTIF(P$2:P747, TRUE)/(COUNTIF(P$2:P747,FALSE) + COUNTIF(P$2:P747, TRUE))</f>
        <v>0.49329758713136729</v>
      </c>
      <c r="R747" s="869">
        <v>282588.67</v>
      </c>
      <c r="S747" s="825">
        <f t="shared" si="385"/>
        <v>130798.48000000004</v>
      </c>
      <c r="T747" s="825">
        <v>-35819</v>
      </c>
      <c r="U747" s="825">
        <f t="shared" si="381"/>
        <v>149206.15000000002</v>
      </c>
      <c r="V747" s="827">
        <f>STDEV(D$2:D747)*SQRT(252)</f>
        <v>0.1358572466290649</v>
      </c>
      <c r="W747" s="827">
        <f>STDEV(L$2:L747)*SQRT(252)</f>
        <v>0.25856366506134476</v>
      </c>
      <c r="X747" s="826">
        <f t="shared" si="382"/>
        <v>0.87460545107447674</v>
      </c>
      <c r="Y747" s="826">
        <f t="shared" si="383"/>
        <v>0.46629400024201118</v>
      </c>
      <c r="Z747" s="832">
        <f t="shared" si="384"/>
        <v>5.4709125999632402E-3</v>
      </c>
    </row>
    <row r="748" spans="1:26" ht="20.100000000000001" customHeight="1" x14ac:dyDescent="0.2">
      <c r="A748" s="801">
        <f t="shared" si="370"/>
        <v>1148</v>
      </c>
      <c r="B748" s="820">
        <v>43381</v>
      </c>
      <c r="C748" s="845">
        <v>2884.43</v>
      </c>
      <c r="D748" s="817">
        <f t="shared" si="371"/>
        <v>-3.9506925841352919E-4</v>
      </c>
      <c r="E748" s="844">
        <f t="shared" si="372"/>
        <v>0.37194402694012657</v>
      </c>
      <c r="F748" s="841">
        <v>7735.94</v>
      </c>
      <c r="G748" s="817">
        <f t="shared" si="373"/>
        <v>-6.7407593818531054E-3</v>
      </c>
      <c r="H748" s="822">
        <f t="shared" si="374"/>
        <v>0.51932360508278175</v>
      </c>
      <c r="I748" s="866">
        <v>415077.53</v>
      </c>
      <c r="J748" s="825">
        <v>300000</v>
      </c>
      <c r="K748" s="825">
        <f t="shared" si="375"/>
        <v>1690.3800000000047</v>
      </c>
      <c r="L748" s="817">
        <f t="shared" si="376"/>
        <v>4.0890966252821468E-3</v>
      </c>
      <c r="M748" s="842">
        <f t="shared" si="377"/>
        <v>115077.53000000003</v>
      </c>
      <c r="N748" s="827">
        <f t="shared" si="378"/>
        <v>0.38359176666666678</v>
      </c>
      <c r="O748" s="811">
        <f t="shared" si="386"/>
        <v>0.12204433168554012</v>
      </c>
      <c r="P748" s="842" t="b">
        <f t="shared" si="380"/>
        <v>1</v>
      </c>
      <c r="Q748" s="827">
        <f>COUNTIF(P$2:P748, TRUE)/(COUNTIF(P$2:P748,FALSE) + COUNTIF(P$2:P748, TRUE))</f>
        <v>0.49397590361445781</v>
      </c>
      <c r="R748" s="869">
        <v>283178.14</v>
      </c>
      <c r="S748" s="825">
        <f t="shared" ref="S748:S770" si="387">I748-R748</f>
        <v>131899.39000000001</v>
      </c>
      <c r="T748" s="825">
        <v>-35084</v>
      </c>
      <c r="U748" s="825">
        <f t="shared" si="381"/>
        <v>150161.53000000003</v>
      </c>
      <c r="V748" s="827">
        <f>STDEV(D$2:D748)*SQRT(252)</f>
        <v>0.13576694979485771</v>
      </c>
      <c r="W748" s="827">
        <f>STDEV(L$2:L748)*SQRT(252)</f>
        <v>0.25839777521285073</v>
      </c>
      <c r="X748" s="826">
        <f t="shared" si="382"/>
        <v>0.87162938737274376</v>
      </c>
      <c r="Y748" s="826">
        <f t="shared" si="383"/>
        <v>0.47231185169844514</v>
      </c>
      <c r="Z748" s="832">
        <f t="shared" si="384"/>
        <v>1.1647739726540207E-2</v>
      </c>
    </row>
    <row r="749" spans="1:26" ht="20.100000000000001" customHeight="1" x14ac:dyDescent="0.2">
      <c r="A749" s="801">
        <f t="shared" si="370"/>
        <v>1149</v>
      </c>
      <c r="B749" s="820">
        <v>43382</v>
      </c>
      <c r="C749" s="845">
        <v>2880.34</v>
      </c>
      <c r="D749" s="817">
        <f t="shared" si="371"/>
        <v>-1.4179577940874595E-3</v>
      </c>
      <c r="E749" s="844">
        <f t="shared" si="372"/>
        <v>0.36999866821407512</v>
      </c>
      <c r="F749" s="841">
        <v>7738.01</v>
      </c>
      <c r="G749" s="817">
        <f t="shared" si="373"/>
        <v>2.6758222013105308E-4</v>
      </c>
      <c r="H749" s="822">
        <f t="shared" si="374"/>
        <v>0.51973014906612736</v>
      </c>
      <c r="I749" s="866">
        <v>410358.85</v>
      </c>
      <c r="J749" s="825">
        <v>300000</v>
      </c>
      <c r="K749" s="825">
        <f t="shared" si="375"/>
        <v>-4718.6800000000512</v>
      </c>
      <c r="L749" s="817">
        <f t="shared" si="376"/>
        <v>-1.1368189456075956E-2</v>
      </c>
      <c r="M749" s="842">
        <f t="shared" si="377"/>
        <v>110358.84999999998</v>
      </c>
      <c r="N749" s="827">
        <f t="shared" si="378"/>
        <v>0.36786283333333325</v>
      </c>
      <c r="O749" s="811">
        <f t="shared" si="386"/>
        <v>0.11693811999564835</v>
      </c>
      <c r="P749" s="842" t="b">
        <f t="shared" si="380"/>
        <v>0</v>
      </c>
      <c r="Q749" s="827">
        <f>COUNTIF(P$2:P749, TRUE)/(COUNTIF(P$2:P749,FALSE) + COUNTIF(P$2:P749, TRUE))</f>
        <v>0.49331550802139035</v>
      </c>
      <c r="R749" s="869">
        <v>279861.53999999998</v>
      </c>
      <c r="S749" s="825">
        <f t="shared" si="387"/>
        <v>130497.31</v>
      </c>
      <c r="T749" s="825">
        <v>-35969</v>
      </c>
      <c r="U749" s="825">
        <f t="shared" si="381"/>
        <v>146327.84999999998</v>
      </c>
      <c r="V749" s="827">
        <f>STDEV(D$2:D749)*SQRT(252)</f>
        <v>0.13568030952855945</v>
      </c>
      <c r="W749" s="827">
        <f>STDEV(L$2:L749)*SQRT(252)</f>
        <v>0.25831903556755864</v>
      </c>
      <c r="X749" s="826">
        <f t="shared" si="382"/>
        <v>0.86686911701732472</v>
      </c>
      <c r="Y749" s="826">
        <f t="shared" si="383"/>
        <v>0.4526887449030651</v>
      </c>
      <c r="Z749" s="832">
        <f t="shared" si="384"/>
        <v>-2.1358348807418714E-3</v>
      </c>
    </row>
    <row r="750" spans="1:26" ht="20.100000000000001" customHeight="1" x14ac:dyDescent="0.2">
      <c r="A750" s="801">
        <f t="shared" si="370"/>
        <v>1150</v>
      </c>
      <c r="B750" s="820">
        <v>43383</v>
      </c>
      <c r="C750" s="845">
        <v>2785.68</v>
      </c>
      <c r="D750" s="817">
        <f t="shared" si="371"/>
        <v>-3.2864175757028789E-2</v>
      </c>
      <c r="E750" s="844">
        <f t="shared" si="372"/>
        <v>0.3249747911949924</v>
      </c>
      <c r="F750" s="841">
        <v>7422.05</v>
      </c>
      <c r="G750" s="817">
        <f t="shared" si="373"/>
        <v>-4.0832203628581511E-2</v>
      </c>
      <c r="H750" s="822">
        <f t="shared" si="374"/>
        <v>0.4576762181589647</v>
      </c>
      <c r="I750" s="866">
        <v>403954.59</v>
      </c>
      <c r="J750" s="825">
        <v>300000</v>
      </c>
      <c r="K750" s="825">
        <f t="shared" si="375"/>
        <v>-6404.2599999999511</v>
      </c>
      <c r="L750" s="817">
        <f t="shared" si="376"/>
        <v>-1.5606486859001461E-2</v>
      </c>
      <c r="M750" s="842">
        <f t="shared" si="377"/>
        <v>103954.59000000003</v>
      </c>
      <c r="N750" s="827">
        <f t="shared" si="378"/>
        <v>0.34651530000000008</v>
      </c>
      <c r="O750" s="811">
        <f t="shared" si="386"/>
        <v>0.11005627245652176</v>
      </c>
      <c r="P750" s="842" t="b">
        <f t="shared" si="380"/>
        <v>1</v>
      </c>
      <c r="Q750" s="827">
        <f>COUNTIF(P$2:P750, TRUE)/(COUNTIF(P$2:P750,FALSE) + COUNTIF(P$2:P750, TRUE))</f>
        <v>0.49399198931909211</v>
      </c>
      <c r="R750" s="869">
        <v>338467.68</v>
      </c>
      <c r="S750" s="825">
        <f t="shared" si="387"/>
        <v>65486.910000000033</v>
      </c>
      <c r="T750" s="825">
        <v>-36944</v>
      </c>
      <c r="U750" s="825">
        <f t="shared" si="381"/>
        <v>140898.59000000003</v>
      </c>
      <c r="V750" s="827">
        <f>STDEV(D$2:D750)*SQRT(252)</f>
        <v>0.13696197828439696</v>
      </c>
      <c r="W750" s="827">
        <f>STDEV(L$2:L750)*SQRT(252)</f>
        <v>0.25831836082290399</v>
      </c>
      <c r="X750" s="826">
        <f t="shared" si="382"/>
        <v>0.7536019911815014</v>
      </c>
      <c r="Y750" s="826">
        <f t="shared" si="383"/>
        <v>0.42604897346795001</v>
      </c>
      <c r="Z750" s="832">
        <f t="shared" si="384"/>
        <v>2.1540508805007685E-2</v>
      </c>
    </row>
    <row r="751" spans="1:26" ht="20.100000000000001" customHeight="1" x14ac:dyDescent="0.2">
      <c r="A751" s="801">
        <f t="shared" si="370"/>
        <v>1151</v>
      </c>
      <c r="B751" s="820">
        <v>43384</v>
      </c>
      <c r="C751" s="845">
        <v>2728.37</v>
      </c>
      <c r="D751" s="817">
        <f t="shared" si="371"/>
        <v>-2.0573073719881662E-2</v>
      </c>
      <c r="E751" s="844">
        <f t="shared" si="372"/>
        <v>0.29771598713875297</v>
      </c>
      <c r="F751" s="841">
        <v>7329.06</v>
      </c>
      <c r="G751" s="817">
        <f t="shared" si="373"/>
        <v>-1.2528883529483064E-2</v>
      </c>
      <c r="H751" s="822">
        <f t="shared" si="374"/>
        <v>0.43941316259795365</v>
      </c>
      <c r="I751" s="866">
        <v>394351.69</v>
      </c>
      <c r="J751" s="825">
        <v>300000</v>
      </c>
      <c r="K751" s="825">
        <f t="shared" si="375"/>
        <v>-9602.9000000000233</v>
      </c>
      <c r="L751" s="817">
        <f t="shared" si="376"/>
        <v>-2.3772226477238499E-2</v>
      </c>
      <c r="M751" s="842">
        <f t="shared" si="377"/>
        <v>94351.69</v>
      </c>
      <c r="N751" s="827">
        <f t="shared" si="378"/>
        <v>0.31450563333333337</v>
      </c>
      <c r="O751" s="811">
        <f t="shared" si="386"/>
        <v>9.9802938814074718E-2</v>
      </c>
      <c r="P751" s="842" t="b">
        <f t="shared" si="380"/>
        <v>0</v>
      </c>
      <c r="Q751" s="827">
        <f>COUNTIF(P$2:P751, TRUE)/(COUNTIF(P$2:P751,FALSE) + COUNTIF(P$2:P751, TRUE))</f>
        <v>0.49333333333333335</v>
      </c>
      <c r="R751" s="869">
        <v>363372.5</v>
      </c>
      <c r="S751" s="825">
        <f t="shared" si="387"/>
        <v>30979.190000000002</v>
      </c>
      <c r="T751" s="825">
        <v>-37544</v>
      </c>
      <c r="U751" s="825">
        <f t="shared" si="381"/>
        <v>131895.69</v>
      </c>
      <c r="V751" s="827">
        <f>STDEV(D$2:D751)*SQRT(252)</f>
        <v>0.13741065749556494</v>
      </c>
      <c r="W751" s="827">
        <f>STDEV(L$2:L751)*SQRT(252)</f>
        <v>0.25853317657038244</v>
      </c>
      <c r="X751" s="826">
        <f t="shared" si="382"/>
        <v>0.68753789457256964</v>
      </c>
      <c r="Y751" s="826">
        <f t="shared" si="383"/>
        <v>0.38603532489728493</v>
      </c>
      <c r="Z751" s="832">
        <f t="shared" si="384"/>
        <v>1.6789646194580399E-2</v>
      </c>
    </row>
    <row r="752" spans="1:26" ht="20.100000000000001" customHeight="1" x14ac:dyDescent="0.2">
      <c r="A752" s="801">
        <f t="shared" si="370"/>
        <v>1152</v>
      </c>
      <c r="B752" s="820">
        <v>43385</v>
      </c>
      <c r="C752" s="845">
        <v>2767.13</v>
      </c>
      <c r="D752" s="817">
        <f t="shared" si="371"/>
        <v>1.4206284338267984E-2</v>
      </c>
      <c r="E752" s="844">
        <f t="shared" si="372"/>
        <v>0.31615170944236221</v>
      </c>
      <c r="F752" s="841">
        <v>7496.89</v>
      </c>
      <c r="G752" s="817">
        <f t="shared" si="373"/>
        <v>2.289925311022149E-2</v>
      </c>
      <c r="H752" s="822">
        <f t="shared" si="374"/>
        <v>0.47237464893846859</v>
      </c>
      <c r="I752" s="866">
        <v>399150.6</v>
      </c>
      <c r="J752" s="825">
        <v>300000</v>
      </c>
      <c r="K752" s="825">
        <f t="shared" si="375"/>
        <v>4798.9099999999744</v>
      </c>
      <c r="L752" s="817">
        <f t="shared" si="376"/>
        <v>1.2169112296691246E-2</v>
      </c>
      <c r="M752" s="842">
        <f t="shared" si="377"/>
        <v>99150.599999999977</v>
      </c>
      <c r="N752" s="827">
        <f t="shared" si="378"/>
        <v>0.33050199999999991</v>
      </c>
      <c r="O752" s="811">
        <f t="shared" ref="O752:O770" si="388">N752/(A752/365.25)</f>
        <v>0.10478806901041664</v>
      </c>
      <c r="P752" s="842" t="b">
        <f t="shared" si="380"/>
        <v>0</v>
      </c>
      <c r="Q752" s="827">
        <f>COUNTIF(P$2:P752, TRUE)/(COUNTIF(P$2:P752,FALSE) + COUNTIF(P$2:P752, TRUE))</f>
        <v>0.49267643142476697</v>
      </c>
      <c r="R752" s="869">
        <v>363373.5</v>
      </c>
      <c r="S752" s="825">
        <f t="shared" si="387"/>
        <v>35777.099999999977</v>
      </c>
      <c r="T752" s="825">
        <v>-37543</v>
      </c>
      <c r="U752" s="825">
        <f t="shared" si="381"/>
        <v>136693.59999999998</v>
      </c>
      <c r="V752" s="827">
        <f>STDEV(D$2:D752)*SQRT(252)</f>
        <v>0.13755239317681453</v>
      </c>
      <c r="W752" s="827">
        <f>STDEV(L$2:L752)*SQRT(252)</f>
        <v>0.25844768892939957</v>
      </c>
      <c r="X752" s="826">
        <f t="shared" si="382"/>
        <v>0.72872745022133256</v>
      </c>
      <c r="Y752" s="826">
        <f t="shared" si="383"/>
        <v>0.40545175483864243</v>
      </c>
      <c r="Z752" s="832">
        <f t="shared" si="384"/>
        <v>1.4350290557637702E-2</v>
      </c>
    </row>
    <row r="753" spans="1:26" ht="20.100000000000001" customHeight="1" x14ac:dyDescent="0.2">
      <c r="A753" s="801">
        <f t="shared" si="370"/>
        <v>1155</v>
      </c>
      <c r="B753" s="820">
        <v>43388</v>
      </c>
      <c r="C753" s="845">
        <v>2750.79</v>
      </c>
      <c r="D753" s="817">
        <f t="shared" si="371"/>
        <v>-5.9050351808553067E-3</v>
      </c>
      <c r="E753" s="844">
        <f t="shared" si="372"/>
        <v>0.30837978729476223</v>
      </c>
      <c r="F753" s="841">
        <v>7430.74</v>
      </c>
      <c r="G753" s="817">
        <f t="shared" si="373"/>
        <v>-8.8236588772144901E-3</v>
      </c>
      <c r="H753" s="822">
        <f t="shared" si="374"/>
        <v>0.4593829172967771</v>
      </c>
      <c r="I753" s="866">
        <v>400317.06</v>
      </c>
      <c r="J753" s="825">
        <v>300000</v>
      </c>
      <c r="K753" s="825">
        <f t="shared" si="375"/>
        <v>1166.460000000021</v>
      </c>
      <c r="L753" s="817">
        <f t="shared" si="376"/>
        <v>2.9223556221637174E-3</v>
      </c>
      <c r="M753" s="842">
        <f t="shared" si="377"/>
        <v>100317.06</v>
      </c>
      <c r="N753" s="827">
        <f t="shared" si="378"/>
        <v>0.33439019999999997</v>
      </c>
      <c r="O753" s="811">
        <f t="shared" si="388"/>
        <v>0.10574547233766232</v>
      </c>
      <c r="P753" s="842" t="b">
        <f t="shared" si="380"/>
        <v>1</v>
      </c>
      <c r="Q753" s="827">
        <f>COUNTIF(P$2:P753, TRUE)/(COUNTIF(P$2:P753,FALSE) + COUNTIF(P$2:P753, TRUE))</f>
        <v>0.49335106382978722</v>
      </c>
      <c r="R753" s="869">
        <v>357352.57</v>
      </c>
      <c r="S753" s="825">
        <f t="shared" si="387"/>
        <v>42964.489999999991</v>
      </c>
      <c r="T753" s="825">
        <v>-37904</v>
      </c>
      <c r="U753" s="825">
        <f t="shared" si="381"/>
        <v>138221.06</v>
      </c>
      <c r="V753" s="827">
        <f>STDEV(D$2:D753)*SQRT(252)</f>
        <v>0.13750923270259074</v>
      </c>
      <c r="W753" s="827">
        <f>STDEV(L$2:L753)*SQRT(252)</f>
        <v>0.25827881749426812</v>
      </c>
      <c r="X753" s="826">
        <f t="shared" si="382"/>
        <v>0.70918948240740975</v>
      </c>
      <c r="Y753" s="826">
        <f t="shared" si="383"/>
        <v>0.40942371257375409</v>
      </c>
      <c r="Z753" s="832">
        <f t="shared" si="384"/>
        <v>2.601041270523774E-2</v>
      </c>
    </row>
    <row r="754" spans="1:26" ht="20.100000000000001" customHeight="1" x14ac:dyDescent="0.2">
      <c r="A754" s="801">
        <f t="shared" si="370"/>
        <v>1156</v>
      </c>
      <c r="B754" s="820">
        <v>43389</v>
      </c>
      <c r="C754" s="845">
        <v>2809.92</v>
      </c>
      <c r="D754" s="817">
        <f t="shared" si="371"/>
        <v>2.1495643069809077E-2</v>
      </c>
      <c r="E754" s="844">
        <f t="shared" si="372"/>
        <v>0.33650425220220315</v>
      </c>
      <c r="F754" s="841">
        <v>7645.48</v>
      </c>
      <c r="G754" s="817">
        <f t="shared" si="373"/>
        <v>2.8898871444835883E-2</v>
      </c>
      <c r="H754" s="822">
        <f t="shared" si="374"/>
        <v>0.50155743661252628</v>
      </c>
      <c r="I754" s="866">
        <v>406323.52</v>
      </c>
      <c r="J754" s="825">
        <v>300000</v>
      </c>
      <c r="K754" s="825">
        <f t="shared" si="375"/>
        <v>6006.460000000021</v>
      </c>
      <c r="L754" s="817">
        <f t="shared" si="376"/>
        <v>1.5004256875787459E-2</v>
      </c>
      <c r="M754" s="842">
        <f t="shared" si="377"/>
        <v>106323.52000000002</v>
      </c>
      <c r="N754" s="827">
        <f t="shared" si="378"/>
        <v>0.35441173333333342</v>
      </c>
      <c r="O754" s="811">
        <f t="shared" si="388"/>
        <v>0.11198000484429069</v>
      </c>
      <c r="P754" s="842" t="b">
        <f t="shared" si="380"/>
        <v>0</v>
      </c>
      <c r="Q754" s="827">
        <f>COUNTIF(P$2:P754, TRUE)/(COUNTIF(P$2:P754,FALSE) + COUNTIF(P$2:P754, TRUE))</f>
        <v>0.49269588313413015</v>
      </c>
      <c r="R754" s="869">
        <v>360682.34</v>
      </c>
      <c r="S754" s="825">
        <f t="shared" si="387"/>
        <v>45641.179999999993</v>
      </c>
      <c r="T754" s="825">
        <v>-37049</v>
      </c>
      <c r="U754" s="825">
        <f t="shared" si="381"/>
        <v>143372.52000000002</v>
      </c>
      <c r="V754" s="827">
        <f>STDEV(D$2:D754)*SQRT(252)</f>
        <v>0.13795943645893607</v>
      </c>
      <c r="W754" s="827">
        <f>STDEV(L$2:L754)*SQRT(252)</f>
        <v>0.25824128288061354</v>
      </c>
      <c r="X754" s="826">
        <f t="shared" si="382"/>
        <v>0.77067546894430505</v>
      </c>
      <c r="Y754" s="826">
        <f t="shared" si="383"/>
        <v>0.43362549781035475</v>
      </c>
      <c r="Z754" s="832">
        <f t="shared" si="384"/>
        <v>1.7907481131130276E-2</v>
      </c>
    </row>
    <row r="755" spans="1:26" ht="20.100000000000001" customHeight="1" x14ac:dyDescent="0.2">
      <c r="A755" s="801">
        <f t="shared" si="370"/>
        <v>1157</v>
      </c>
      <c r="B755" s="820">
        <v>43390</v>
      </c>
      <c r="C755" s="845">
        <v>2809.21</v>
      </c>
      <c r="D755" s="817">
        <f t="shared" si="371"/>
        <v>-2.5267623277532329E-4</v>
      </c>
      <c r="E755" s="844">
        <f t="shared" si="372"/>
        <v>0.33616654934266849</v>
      </c>
      <c r="F755" s="841">
        <v>7642.7</v>
      </c>
      <c r="G755" s="817">
        <f t="shared" si="373"/>
        <v>-3.6361353374801133E-4</v>
      </c>
      <c r="H755" s="822">
        <f t="shared" si="374"/>
        <v>0.50101145000687397</v>
      </c>
      <c r="I755" s="866">
        <v>404984.75</v>
      </c>
      <c r="J755" s="825">
        <v>300000</v>
      </c>
      <c r="K755" s="825">
        <f t="shared" si="375"/>
        <v>-1338.7700000000186</v>
      </c>
      <c r="L755" s="817">
        <f t="shared" si="376"/>
        <v>-3.2948375717950528E-3</v>
      </c>
      <c r="M755" s="842">
        <f t="shared" si="377"/>
        <v>104984.75</v>
      </c>
      <c r="N755" s="827">
        <f t="shared" si="378"/>
        <v>0.34994916666666664</v>
      </c>
      <c r="O755" s="811">
        <f t="shared" si="388"/>
        <v>0.1104744452247191</v>
      </c>
      <c r="P755" s="842" t="b">
        <f t="shared" si="380"/>
        <v>0</v>
      </c>
      <c r="Q755" s="827">
        <f>COUNTIF(P$2:P755, TRUE)/(COUNTIF(P$2:P755,FALSE) + COUNTIF(P$2:P755, TRUE))</f>
        <v>0.49204244031830241</v>
      </c>
      <c r="R755" s="869">
        <v>359343.5</v>
      </c>
      <c r="S755" s="825">
        <f t="shared" si="387"/>
        <v>45641.25</v>
      </c>
      <c r="T755" s="825">
        <v>-37299</v>
      </c>
      <c r="U755" s="825">
        <f t="shared" si="381"/>
        <v>142283.75</v>
      </c>
      <c r="V755" s="827">
        <f>STDEV(D$2:D755)*SQRT(252)</f>
        <v>0.13786823256243061</v>
      </c>
      <c r="W755" s="827">
        <f>STDEV(L$2:L755)*SQRT(252)</f>
        <v>0.25807950320983214</v>
      </c>
      <c r="X755" s="826">
        <f t="shared" si="382"/>
        <v>0.76974549145581883</v>
      </c>
      <c r="Y755" s="826">
        <f t="shared" si="383"/>
        <v>0.42806361547781496</v>
      </c>
      <c r="Z755" s="832">
        <f t="shared" si="384"/>
        <v>1.3782617323998159E-2</v>
      </c>
    </row>
    <row r="756" spans="1:26" ht="20.100000000000001" customHeight="1" x14ac:dyDescent="0.2">
      <c r="A756" s="801">
        <f t="shared" si="370"/>
        <v>1158</v>
      </c>
      <c r="B756" s="820">
        <v>43391</v>
      </c>
      <c r="C756" s="845">
        <v>2768.78</v>
      </c>
      <c r="D756" s="817">
        <f t="shared" si="371"/>
        <v>-1.4391946490294365E-2</v>
      </c>
      <c r="E756" s="844">
        <f t="shared" si="372"/>
        <v>0.31693651186240757</v>
      </c>
      <c r="F756" s="841">
        <v>7485.13</v>
      </c>
      <c r="G756" s="817">
        <f t="shared" si="373"/>
        <v>-2.0617059416174876E-2</v>
      </c>
      <c r="H756" s="822">
        <f t="shared" si="374"/>
        <v>0.47006500775772342</v>
      </c>
      <c r="I756" s="866">
        <v>398417.9</v>
      </c>
      <c r="J756" s="825">
        <v>300000</v>
      </c>
      <c r="K756" s="825">
        <f t="shared" si="375"/>
        <v>-6566.8499999999767</v>
      </c>
      <c r="L756" s="817">
        <f t="shared" si="376"/>
        <v>-1.6215055011330616E-2</v>
      </c>
      <c r="M756" s="842">
        <f t="shared" si="377"/>
        <v>98417.900000000023</v>
      </c>
      <c r="N756" s="827">
        <f t="shared" si="378"/>
        <v>0.32805966666666675</v>
      </c>
      <c r="O756" s="811">
        <f t="shared" si="388"/>
        <v>0.10347477828151989</v>
      </c>
      <c r="P756" s="842" t="b">
        <f t="shared" si="380"/>
        <v>0</v>
      </c>
      <c r="Q756" s="827">
        <f>COUNTIF(P$2:P756, TRUE)/(COUNTIF(P$2:P756,FALSE) + COUNTIF(P$2:P756, TRUE))</f>
        <v>0.49139072847682119</v>
      </c>
      <c r="R756" s="869">
        <v>360606.71999999997</v>
      </c>
      <c r="S756" s="825">
        <f t="shared" si="387"/>
        <v>37811.180000000051</v>
      </c>
      <c r="T756" s="825">
        <v>-39134</v>
      </c>
      <c r="U756" s="825">
        <f t="shared" si="381"/>
        <v>137551.90000000002</v>
      </c>
      <c r="V756" s="827">
        <f>STDEV(D$2:D756)*SQRT(252)</f>
        <v>0.13804259581395359</v>
      </c>
      <c r="W756" s="827">
        <f>STDEV(L$2:L756)*SQRT(252)</f>
        <v>0.25809172420010795</v>
      </c>
      <c r="X756" s="826">
        <f t="shared" si="382"/>
        <v>0.72417048733850098</v>
      </c>
      <c r="Y756" s="826">
        <f t="shared" si="383"/>
        <v>0.40092249607078495</v>
      </c>
      <c r="Z756" s="832">
        <f t="shared" si="384"/>
        <v>1.1123154804259183E-2</v>
      </c>
    </row>
    <row r="757" spans="1:26" ht="20.100000000000001" customHeight="1" x14ac:dyDescent="0.2">
      <c r="A757" s="801">
        <f t="shared" si="370"/>
        <v>1159</v>
      </c>
      <c r="B757" s="820">
        <v>43392</v>
      </c>
      <c r="C757" s="845">
        <v>2767.78</v>
      </c>
      <c r="D757" s="817">
        <f t="shared" si="371"/>
        <v>-3.6116990154508479E-4</v>
      </c>
      <c r="E757" s="844">
        <f t="shared" si="372"/>
        <v>0.31646087403207707</v>
      </c>
      <c r="F757" s="841">
        <v>7449.02</v>
      </c>
      <c r="G757" s="817">
        <f t="shared" si="373"/>
        <v>-4.8242315096731353E-3</v>
      </c>
      <c r="H757" s="822">
        <f t="shared" si="374"/>
        <v>0.46297307382603076</v>
      </c>
      <c r="I757" s="866">
        <v>401358.47</v>
      </c>
      <c r="J757" s="825">
        <v>300000</v>
      </c>
      <c r="K757" s="825">
        <f t="shared" si="375"/>
        <v>2940.5699999999488</v>
      </c>
      <c r="L757" s="817">
        <f t="shared" si="376"/>
        <v>7.3806171861252939E-3</v>
      </c>
      <c r="M757" s="842">
        <f t="shared" si="377"/>
        <v>101358.46999999997</v>
      </c>
      <c r="N757" s="827">
        <f t="shared" si="378"/>
        <v>0.33786156666666656</v>
      </c>
      <c r="O757" s="811">
        <f t="shared" si="388"/>
        <v>0.1064744928602243</v>
      </c>
      <c r="P757" s="842" t="b">
        <f t="shared" si="380"/>
        <v>1</v>
      </c>
      <c r="Q757" s="827">
        <f>COUNTIF(P$2:P757, TRUE)/(COUNTIF(P$2:P757,FALSE) + COUNTIF(P$2:P757, TRUE))</f>
        <v>0.49206349206349204</v>
      </c>
      <c r="R757" s="869">
        <v>363547.23</v>
      </c>
      <c r="S757" s="825">
        <f t="shared" si="387"/>
        <v>37811.239999999991</v>
      </c>
      <c r="T757" s="825">
        <v>-38624</v>
      </c>
      <c r="U757" s="825">
        <f t="shared" si="381"/>
        <v>139982.46999999997</v>
      </c>
      <c r="V757" s="827">
        <f>STDEV(D$2:D757)*SQRT(252)</f>
        <v>0.13795173166869251</v>
      </c>
      <c r="W757" s="827">
        <f>STDEV(L$2:L757)*SQRT(252)</f>
        <v>0.2579502579046023</v>
      </c>
      <c r="X757" s="826">
        <f t="shared" si="382"/>
        <v>0.72293567310446494</v>
      </c>
      <c r="Y757" s="826">
        <f t="shared" si="383"/>
        <v>0.41277141463297834</v>
      </c>
      <c r="Z757" s="832">
        <f t="shared" si="384"/>
        <v>2.1400692634589491E-2</v>
      </c>
    </row>
    <row r="758" spans="1:26" ht="20.100000000000001" customHeight="1" x14ac:dyDescent="0.2">
      <c r="A758" s="801">
        <f t="shared" si="370"/>
        <v>1162</v>
      </c>
      <c r="B758" s="820">
        <v>43395</v>
      </c>
      <c r="C758" s="845">
        <v>2755.88</v>
      </c>
      <c r="D758" s="817">
        <f t="shared" si="371"/>
        <v>-4.2994746692295235E-3</v>
      </c>
      <c r="E758" s="844">
        <f t="shared" si="372"/>
        <v>0.3108007838511444</v>
      </c>
      <c r="F758" s="841">
        <v>7468.62</v>
      </c>
      <c r="G758" s="817">
        <f t="shared" si="373"/>
        <v>2.6312186032524348E-3</v>
      </c>
      <c r="H758" s="822">
        <f t="shared" si="374"/>
        <v>0.46682247579393921</v>
      </c>
      <c r="I758" s="866">
        <v>397031.87</v>
      </c>
      <c r="J758" s="825">
        <v>300000</v>
      </c>
      <c r="K758" s="825">
        <f t="shared" si="375"/>
        <v>-4326.5999999999767</v>
      </c>
      <c r="L758" s="817">
        <f t="shared" si="376"/>
        <v>-1.0779889608409103E-2</v>
      </c>
      <c r="M758" s="842">
        <f t="shared" si="377"/>
        <v>97031.87</v>
      </c>
      <c r="N758" s="827">
        <f t="shared" si="378"/>
        <v>0.32343956666666668</v>
      </c>
      <c r="O758" s="811">
        <f t="shared" si="388"/>
        <v>0.10166635260327024</v>
      </c>
      <c r="P758" s="842" t="b">
        <f t="shared" si="380"/>
        <v>0</v>
      </c>
      <c r="Q758" s="827">
        <f>COUNTIF(P$2:P758, TRUE)/(COUNTIF(P$2:P758,FALSE) + COUNTIF(P$2:P758, TRUE))</f>
        <v>0.4914134742404227</v>
      </c>
      <c r="R758" s="869">
        <v>359220.63</v>
      </c>
      <c r="S758" s="825">
        <f t="shared" si="387"/>
        <v>37811.239999999991</v>
      </c>
      <c r="T758" s="825">
        <v>-39569</v>
      </c>
      <c r="U758" s="825">
        <f t="shared" si="381"/>
        <v>136600.87</v>
      </c>
      <c r="V758" s="827">
        <f>STDEV(D$2:D758)*SQRT(252)</f>
        <v>0.13788706222905875</v>
      </c>
      <c r="W758" s="827">
        <f>STDEV(L$2:L758)*SQRT(252)</f>
        <v>0.25786323561379038</v>
      </c>
      <c r="X758" s="826">
        <f t="shared" si="382"/>
        <v>0.70850461458546476</v>
      </c>
      <c r="Y758" s="826">
        <f t="shared" si="383"/>
        <v>0.3942646277639168</v>
      </c>
      <c r="Z758" s="832">
        <f t="shared" si="384"/>
        <v>1.2638782815522276E-2</v>
      </c>
    </row>
    <row r="759" spans="1:26" ht="20.100000000000001" customHeight="1" x14ac:dyDescent="0.2">
      <c r="A759" s="801">
        <f t="shared" si="370"/>
        <v>1163</v>
      </c>
      <c r="B759" s="820">
        <v>43396</v>
      </c>
      <c r="C759" s="845">
        <v>2740.69</v>
      </c>
      <c r="D759" s="817">
        <f t="shared" si="371"/>
        <v>-5.5118510239923557E-3</v>
      </c>
      <c r="E759" s="844">
        <f t="shared" si="372"/>
        <v>0.30357584520842451</v>
      </c>
      <c r="F759" s="841">
        <v>7437.53</v>
      </c>
      <c r="G759" s="817">
        <f t="shared" si="373"/>
        <v>-4.1627502805069942E-3</v>
      </c>
      <c r="H759" s="822">
        <f t="shared" si="374"/>
        <v>0.46071646012137402</v>
      </c>
      <c r="I759" s="866">
        <v>395838.43</v>
      </c>
      <c r="J759" s="825">
        <v>300000</v>
      </c>
      <c r="K759" s="825">
        <f t="shared" si="375"/>
        <v>-1193.4400000000023</v>
      </c>
      <c r="L759" s="817">
        <f t="shared" si="376"/>
        <v>-3.0059047904643079E-3</v>
      </c>
      <c r="M759" s="842">
        <f t="shared" si="377"/>
        <v>95838.43</v>
      </c>
      <c r="N759" s="827">
        <f t="shared" si="378"/>
        <v>0.31946143333333332</v>
      </c>
      <c r="O759" s="811">
        <f t="shared" si="388"/>
        <v>0.10032956880911435</v>
      </c>
      <c r="P759" s="842" t="b">
        <f t="shared" si="380"/>
        <v>1</v>
      </c>
      <c r="Q759" s="827">
        <f>COUNTIF(P$2:P759, TRUE)/(COUNTIF(P$2:P759,FALSE) + COUNTIF(P$2:P759, TRUE))</f>
        <v>0.4920844327176781</v>
      </c>
      <c r="R759" s="869">
        <v>373075.01</v>
      </c>
      <c r="S759" s="825">
        <f t="shared" si="387"/>
        <v>22763.419999999984</v>
      </c>
      <c r="T759" s="825">
        <v>-39404</v>
      </c>
      <c r="U759" s="825">
        <f t="shared" si="381"/>
        <v>135242.43</v>
      </c>
      <c r="V759" s="827">
        <f>STDEV(D$2:D759)*SQRT(252)</f>
        <v>0.13783798661094573</v>
      </c>
      <c r="W759" s="827">
        <f>STDEV(L$2:L759)*SQRT(252)</f>
        <v>0.25770100934758433</v>
      </c>
      <c r="X759" s="826">
        <f t="shared" si="382"/>
        <v>0.6916857076923989</v>
      </c>
      <c r="Y759" s="826">
        <f t="shared" si="383"/>
        <v>0.38932547863555672</v>
      </c>
      <c r="Z759" s="832">
        <f t="shared" si="384"/>
        <v>1.5885588124908812E-2</v>
      </c>
    </row>
    <row r="760" spans="1:26" ht="20.100000000000001" customHeight="1" x14ac:dyDescent="0.2">
      <c r="A760" s="801">
        <f t="shared" si="370"/>
        <v>1164</v>
      </c>
      <c r="B760" s="820">
        <v>43397</v>
      </c>
      <c r="C760" s="845">
        <v>2656.1</v>
      </c>
      <c r="D760" s="817">
        <f t="shared" si="371"/>
        <v>-3.0864490329077766E-2</v>
      </c>
      <c r="E760" s="844">
        <f t="shared" si="372"/>
        <v>0.26334164114076969</v>
      </c>
      <c r="F760" s="841">
        <v>7108.4</v>
      </c>
      <c r="G760" s="817">
        <f t="shared" si="373"/>
        <v>-4.4252594611383096E-2</v>
      </c>
      <c r="H760" s="822">
        <f t="shared" si="374"/>
        <v>0.39607596676944828</v>
      </c>
      <c r="I760" s="866">
        <v>381951.73</v>
      </c>
      <c r="J760" s="825">
        <v>300000</v>
      </c>
      <c r="K760" s="825">
        <f t="shared" si="375"/>
        <v>-13886.700000000012</v>
      </c>
      <c r="L760" s="817">
        <f t="shared" si="376"/>
        <v>-3.5081737768614361E-2</v>
      </c>
      <c r="M760" s="842">
        <f t="shared" si="377"/>
        <v>81951.729999999981</v>
      </c>
      <c r="N760" s="827">
        <f t="shared" si="378"/>
        <v>0.2731724333333333</v>
      </c>
      <c r="O760" s="811">
        <f t="shared" si="388"/>
        <v>8.5718411748281778E-2</v>
      </c>
      <c r="P760" s="842" t="b">
        <f t="shared" si="380"/>
        <v>0</v>
      </c>
      <c r="Q760" s="827">
        <f>COUNTIF(P$2:P760, TRUE)/(COUNTIF(P$2:P760,FALSE) + COUNTIF(P$2:P760, TRUE))</f>
        <v>0.49143610013175232</v>
      </c>
      <c r="R760" s="869">
        <v>369043.4</v>
      </c>
      <c r="S760" s="825">
        <f t="shared" si="387"/>
        <v>12908.329999999958</v>
      </c>
      <c r="T760" s="825">
        <v>-40139</v>
      </c>
      <c r="U760" s="825">
        <f t="shared" si="381"/>
        <v>122090.72999999998</v>
      </c>
      <c r="V760" s="827">
        <f>STDEV(D$2:D760)*SQRT(252)</f>
        <v>0.13892057070548908</v>
      </c>
      <c r="W760" s="827">
        <f>STDEV(L$2:L760)*SQRT(252)</f>
        <v>0.25835077818336272</v>
      </c>
      <c r="X760" s="826">
        <f t="shared" si="382"/>
        <v>0.59482638331977933</v>
      </c>
      <c r="Y760" s="826">
        <f t="shared" si="383"/>
        <v>0.33179080144842343</v>
      </c>
      <c r="Z760" s="832">
        <f t="shared" si="384"/>
        <v>9.8307921925636088E-3</v>
      </c>
    </row>
    <row r="761" spans="1:26" ht="20.100000000000001" customHeight="1" x14ac:dyDescent="0.2">
      <c r="A761" s="801">
        <f t="shared" si="370"/>
        <v>1165</v>
      </c>
      <c r="B761" s="820">
        <v>43398</v>
      </c>
      <c r="C761" s="845">
        <v>2705.57</v>
      </c>
      <c r="D761" s="817">
        <f t="shared" si="371"/>
        <v>1.8625051767629328E-2</v>
      </c>
      <c r="E761" s="844">
        <f t="shared" si="372"/>
        <v>0.28687144460721831</v>
      </c>
      <c r="F761" s="841">
        <v>7318.33</v>
      </c>
      <c r="G761" s="817">
        <f t="shared" si="373"/>
        <v>2.9532665578751942E-2</v>
      </c>
      <c r="H761" s="822">
        <f t="shared" si="374"/>
        <v>0.43730581141858321</v>
      </c>
      <c r="I761" s="866">
        <v>387671.37</v>
      </c>
      <c r="J761" s="825">
        <v>300000</v>
      </c>
      <c r="K761" s="825">
        <f t="shared" si="375"/>
        <v>5719.640000000014</v>
      </c>
      <c r="L761" s="817">
        <f t="shared" si="376"/>
        <v>1.4974771812134519E-2</v>
      </c>
      <c r="M761" s="842">
        <f t="shared" si="377"/>
        <v>87671.37</v>
      </c>
      <c r="N761" s="827">
        <f t="shared" si="378"/>
        <v>0.29223789999999999</v>
      </c>
      <c r="O761" s="811">
        <f t="shared" si="388"/>
        <v>9.1622225729613732E-2</v>
      </c>
      <c r="P761" s="842" t="b">
        <f t="shared" si="380"/>
        <v>0</v>
      </c>
      <c r="Q761" s="827">
        <f>COUNTIF(P$2:P761, TRUE)/(COUNTIF(P$2:P761,FALSE) + COUNTIF(P$2:P761, TRUE))</f>
        <v>0.49078947368421055</v>
      </c>
      <c r="R761" s="869">
        <v>374715.12</v>
      </c>
      <c r="S761" s="825">
        <f t="shared" si="387"/>
        <v>12956.25</v>
      </c>
      <c r="T761" s="825">
        <v>-39449</v>
      </c>
      <c r="U761" s="825">
        <f t="shared" si="381"/>
        <v>127120.37</v>
      </c>
      <c r="V761" s="827">
        <f>STDEV(D$2:D761)*SQRT(252)</f>
        <v>0.13922783596607022</v>
      </c>
      <c r="W761" s="827">
        <f>STDEV(L$2:L761)*SQRT(252)</f>
        <v>0.25831418937183692</v>
      </c>
      <c r="X761" s="826">
        <f t="shared" si="382"/>
        <v>0.64598963056429815</v>
      </c>
      <c r="Y761" s="826">
        <f t="shared" si="383"/>
        <v>0.35469296499901443</v>
      </c>
      <c r="Z761" s="832">
        <f t="shared" si="384"/>
        <v>5.3664553927816883E-3</v>
      </c>
    </row>
    <row r="762" spans="1:26" ht="20.100000000000001" customHeight="1" x14ac:dyDescent="0.2">
      <c r="A762" s="801">
        <f t="shared" si="370"/>
        <v>1166</v>
      </c>
      <c r="B762" s="820">
        <v>43399</v>
      </c>
      <c r="C762" s="845">
        <v>2658.69</v>
      </c>
      <c r="D762" s="817">
        <f t="shared" si="371"/>
        <v>-1.7327217554896052E-2</v>
      </c>
      <c r="E762" s="844">
        <f t="shared" si="372"/>
        <v>0.26457354312132569</v>
      </c>
      <c r="F762" s="841">
        <v>7167.21</v>
      </c>
      <c r="G762" s="817">
        <f t="shared" si="373"/>
        <v>-2.0649519767487922E-2</v>
      </c>
      <c r="H762" s="822">
        <f t="shared" si="374"/>
        <v>0.4076261366537699</v>
      </c>
      <c r="I762" s="866">
        <v>386488.67</v>
      </c>
      <c r="J762" s="825">
        <v>305000</v>
      </c>
      <c r="K762" s="825">
        <f t="shared" si="375"/>
        <v>-6182.7000000000116</v>
      </c>
      <c r="L762" s="817">
        <f t="shared" si="376"/>
        <v>-1.5948301779416963E-2</v>
      </c>
      <c r="M762" s="842">
        <f t="shared" si="377"/>
        <v>81488.669999999984</v>
      </c>
      <c r="N762" s="827">
        <f t="shared" si="378"/>
        <v>0.26717596721311471</v>
      </c>
      <c r="O762" s="811">
        <f t="shared" si="388"/>
        <v>8.3692986298962393E-2</v>
      </c>
      <c r="P762" s="842" t="b">
        <f t="shared" si="380"/>
        <v>1</v>
      </c>
      <c r="Q762" s="827">
        <f>COUNTIF(P$2:P762, TRUE)/(COUNTIF(P$2:P762,FALSE) + COUNTIF(P$2:P762, TRUE))</f>
        <v>0.49145860709592643</v>
      </c>
      <c r="R762" s="869">
        <v>368443.97</v>
      </c>
      <c r="S762" s="825">
        <f t="shared" si="387"/>
        <v>18044.700000000012</v>
      </c>
      <c r="T762" s="825">
        <v>-40604</v>
      </c>
      <c r="U762" s="825">
        <f t="shared" si="381"/>
        <v>122092.66999999998</v>
      </c>
      <c r="V762" s="827">
        <f>STDEV(D$2:D762)*SQRT(252)</f>
        <v>0.13950880979423808</v>
      </c>
      <c r="W762" s="827">
        <f>STDEV(L$2:L762)*SQRT(252)</f>
        <v>0.25831897595423781</v>
      </c>
      <c r="X762" s="826">
        <f t="shared" si="382"/>
        <v>0.59406840298102914</v>
      </c>
      <c r="Y762" s="826">
        <f t="shared" si="383"/>
        <v>0.32399085661360366</v>
      </c>
      <c r="Z762" s="832">
        <f t="shared" si="384"/>
        <v>2.6024240917890129E-3</v>
      </c>
    </row>
    <row r="763" spans="1:26" ht="20.100000000000001" customHeight="1" x14ac:dyDescent="0.2">
      <c r="A763" s="801">
        <f t="shared" si="370"/>
        <v>1167</v>
      </c>
      <c r="B763" s="820">
        <v>43400</v>
      </c>
      <c r="C763" s="845">
        <v>2641.25</v>
      </c>
      <c r="D763" s="817">
        <f t="shared" si="371"/>
        <v>-6.5596214677153238E-3</v>
      </c>
      <c r="E763" s="844">
        <f t="shared" si="372"/>
        <v>0.25627841936036222</v>
      </c>
      <c r="F763" s="841">
        <v>7050.09</v>
      </c>
      <c r="G763" s="817">
        <f t="shared" si="373"/>
        <v>-1.6341086699008387E-2</v>
      </c>
      <c r="H763" s="822">
        <f t="shared" si="374"/>
        <v>0.38462399591492041</v>
      </c>
      <c r="I763" s="866">
        <v>380872.48</v>
      </c>
      <c r="J763" s="825">
        <v>300000</v>
      </c>
      <c r="K763" s="825">
        <f t="shared" si="375"/>
        <v>-616.19000000000233</v>
      </c>
      <c r="L763" s="817">
        <f t="shared" si="376"/>
        <v>-1.5943287548377612E-3</v>
      </c>
      <c r="M763" s="842">
        <f t="shared" si="377"/>
        <v>80872.479999999981</v>
      </c>
      <c r="N763" s="827">
        <f t="shared" si="378"/>
        <v>0.26957493333333327</v>
      </c>
      <c r="O763" s="811">
        <f t="shared" si="388"/>
        <v>8.4372103170522683E-2</v>
      </c>
      <c r="P763" s="842" t="b">
        <f t="shared" si="380"/>
        <v>1</v>
      </c>
      <c r="Q763" s="827">
        <f>COUNTIF(P$2:P763, TRUE)/(COUNTIF(P$2:P763,FALSE) + COUNTIF(P$2:P763, TRUE))</f>
        <v>0.49212598425196852</v>
      </c>
      <c r="R763" s="869">
        <v>352706.52</v>
      </c>
      <c r="S763" s="825">
        <f t="shared" si="387"/>
        <v>28165.959999999963</v>
      </c>
      <c r="T763" s="825">
        <v>-40949</v>
      </c>
      <c r="U763" s="825">
        <f t="shared" si="381"/>
        <v>121821.47999999998</v>
      </c>
      <c r="V763" s="827">
        <f>STDEV(D$2:D763)*SQRT(252)</f>
        <v>0.13947364456120845</v>
      </c>
      <c r="W763" s="827">
        <f>STDEV(L$2:L763)*SQRT(252)</f>
        <v>0.2581518960532464</v>
      </c>
      <c r="X763" s="826">
        <f t="shared" si="382"/>
        <v>0.57509455509116691</v>
      </c>
      <c r="Y763" s="826">
        <f t="shared" si="383"/>
        <v>0.32683123564244554</v>
      </c>
      <c r="Z763" s="832">
        <f t="shared" si="384"/>
        <v>1.3296513972971047E-2</v>
      </c>
    </row>
    <row r="764" spans="1:26" ht="20.100000000000001" customHeight="1" x14ac:dyDescent="0.2">
      <c r="A764" s="801">
        <f t="shared" si="370"/>
        <v>1170</v>
      </c>
      <c r="B764" s="820">
        <v>43403</v>
      </c>
      <c r="C764" s="845">
        <v>2682.63</v>
      </c>
      <c r="D764" s="817">
        <f t="shared" si="371"/>
        <v>1.56668244202556E-2</v>
      </c>
      <c r="E764" s="844">
        <f t="shared" si="372"/>
        <v>0.27596031277943722</v>
      </c>
      <c r="F764" s="841">
        <v>7161.65</v>
      </c>
      <c r="G764" s="817">
        <f t="shared" si="373"/>
        <v>1.5823911467796794E-2</v>
      </c>
      <c r="H764" s="822">
        <f t="shared" si="374"/>
        <v>0.40653416344246518</v>
      </c>
      <c r="I764" s="866">
        <v>390321.89</v>
      </c>
      <c r="J764" s="825">
        <v>300000</v>
      </c>
      <c r="K764" s="825">
        <f t="shared" si="375"/>
        <v>9449.4100000000326</v>
      </c>
      <c r="L764" s="817">
        <f t="shared" si="376"/>
        <v>2.4809904879449503E-2</v>
      </c>
      <c r="M764" s="842">
        <f t="shared" si="377"/>
        <v>90321.890000000014</v>
      </c>
      <c r="N764" s="827">
        <f t="shared" si="378"/>
        <v>0.30107296666666672</v>
      </c>
      <c r="O764" s="811">
        <f t="shared" si="388"/>
        <v>9.3988804337606854E-2</v>
      </c>
      <c r="P764" s="842" t="b">
        <f t="shared" si="380"/>
        <v>1</v>
      </c>
      <c r="Q764" s="827">
        <f>COUNTIF(P$2:P764, TRUE)/(COUNTIF(P$2:P764,FALSE) + COUNTIF(P$2:P764, TRUE))</f>
        <v>0.49279161205766708</v>
      </c>
      <c r="R764" s="869">
        <v>356114.53</v>
      </c>
      <c r="S764" s="825">
        <f t="shared" si="387"/>
        <v>34207.359999999986</v>
      </c>
      <c r="T764" s="825">
        <v>-40109</v>
      </c>
      <c r="U764" s="825">
        <f t="shared" si="381"/>
        <v>130430.89000000001</v>
      </c>
      <c r="V764" s="827">
        <f>STDEV(D$2:D764)*SQRT(252)</f>
        <v>0.13966043960093341</v>
      </c>
      <c r="W764" s="827">
        <f>STDEV(L$2:L764)*SQRT(252)</f>
        <v>0.25835956536901572</v>
      </c>
      <c r="X764" s="826">
        <f t="shared" si="382"/>
        <v>0.61684718429598739</v>
      </c>
      <c r="Y764" s="826">
        <f t="shared" si="383"/>
        <v>0.36379068916361729</v>
      </c>
      <c r="Z764" s="832">
        <f t="shared" si="384"/>
        <v>2.5112653887229497E-2</v>
      </c>
    </row>
    <row r="765" spans="1:26" ht="20.100000000000001" customHeight="1" x14ac:dyDescent="0.2">
      <c r="A765" s="801">
        <f t="shared" si="370"/>
        <v>1171</v>
      </c>
      <c r="B765" s="820">
        <v>43404</v>
      </c>
      <c r="C765" s="845">
        <v>2711.74</v>
      </c>
      <c r="D765" s="817">
        <f t="shared" si="371"/>
        <v>1.0851291456518294E-2</v>
      </c>
      <c r="E765" s="844">
        <f t="shared" si="372"/>
        <v>0.28980613002035716</v>
      </c>
      <c r="F765" s="841">
        <v>7305.89</v>
      </c>
      <c r="G765" s="817">
        <f t="shared" si="373"/>
        <v>2.0140610054945537E-2</v>
      </c>
      <c r="H765" s="822">
        <f t="shared" si="374"/>
        <v>0.43486261955731886</v>
      </c>
      <c r="I765" s="870">
        <v>392394.69</v>
      </c>
      <c r="J765" s="825">
        <v>300000</v>
      </c>
      <c r="K765" s="825">
        <f t="shared" si="375"/>
        <v>2072.7999999999884</v>
      </c>
      <c r="L765" s="817">
        <f t="shared" si="376"/>
        <v>5.310488735335823E-3</v>
      </c>
      <c r="M765" s="848">
        <f t="shared" si="377"/>
        <v>92394.69</v>
      </c>
      <c r="N765" s="827">
        <f t="shared" si="378"/>
        <v>0.30798229999999999</v>
      </c>
      <c r="O765" s="811">
        <f t="shared" si="388"/>
        <v>9.6063650789923141E-2</v>
      </c>
      <c r="P765" s="842" t="b">
        <f t="shared" si="380"/>
        <v>0</v>
      </c>
      <c r="Q765" s="827">
        <f>COUNTIF(P$2:P765, TRUE)/(COUNTIF(P$2:P765,FALSE) + COUNTIF(P$2:P765, TRUE))</f>
        <v>0.49214659685863876</v>
      </c>
      <c r="R765" s="869">
        <v>352107.55</v>
      </c>
      <c r="S765" s="871">
        <f t="shared" si="387"/>
        <v>40287.140000000014</v>
      </c>
      <c r="T765" s="825">
        <v>-40229</v>
      </c>
      <c r="U765" s="825">
        <f t="shared" si="381"/>
        <v>132623.69</v>
      </c>
      <c r="V765" s="827">
        <f>STDEV(D$2:D765)*SQRT(252)</f>
        <v>0.13969897542483761</v>
      </c>
      <c r="W765" s="827">
        <f>STDEV(L$2:L765)*SQRT(252)</f>
        <v>0.25820435870061342</v>
      </c>
      <c r="X765" s="826">
        <f t="shared" si="382"/>
        <v>0.64706465253135703</v>
      </c>
      <c r="Y765" s="826">
        <f t="shared" si="383"/>
        <v>0.37204503933765282</v>
      </c>
      <c r="Z765" s="832">
        <f t="shared" si="384"/>
        <v>1.8176169979642831E-2</v>
      </c>
    </row>
    <row r="766" spans="1:26" ht="20.100000000000001" customHeight="1" x14ac:dyDescent="0.2">
      <c r="A766" s="801">
        <f t="shared" si="370"/>
        <v>1172</v>
      </c>
      <c r="B766" s="820">
        <v>43405</v>
      </c>
      <c r="C766" s="845">
        <v>2740.37</v>
      </c>
      <c r="D766" s="817">
        <f t="shared" si="371"/>
        <v>1.0557796838930027E-2</v>
      </c>
      <c r="E766" s="844">
        <f t="shared" si="372"/>
        <v>0.30342364110271863</v>
      </c>
      <c r="F766" s="841">
        <v>7434.05</v>
      </c>
      <c r="G766" s="817">
        <f t="shared" si="373"/>
        <v>1.754201062430448E-2</v>
      </c>
      <c r="H766" s="822">
        <f t="shared" si="374"/>
        <v>0.46003299487401073</v>
      </c>
      <c r="I766" s="866">
        <v>401445.79</v>
      </c>
      <c r="J766" s="825">
        <v>300000</v>
      </c>
      <c r="K766" s="825">
        <f t="shared" si="375"/>
        <v>9051.0999999999767</v>
      </c>
      <c r="L766" s="817">
        <f t="shared" si="376"/>
        <v>2.306631621340232E-2</v>
      </c>
      <c r="M766" s="842">
        <f t="shared" si="377"/>
        <v>101445.78999999998</v>
      </c>
      <c r="N766" s="827">
        <f t="shared" si="378"/>
        <v>0.33815263333333329</v>
      </c>
      <c r="O766" s="811">
        <f t="shared" si="388"/>
        <v>0.10538417177901023</v>
      </c>
      <c r="P766" s="842" t="b">
        <f t="shared" si="380"/>
        <v>1</v>
      </c>
      <c r="Q766" s="827">
        <f>COUNTIF(P$2:P766, TRUE)/(COUNTIF(P$2:P766,FALSE) + COUNTIF(P$2:P766, TRUE))</f>
        <v>0.49281045751633989</v>
      </c>
      <c r="R766" s="869">
        <v>351624.4</v>
      </c>
      <c r="S766" s="871">
        <f t="shared" si="387"/>
        <v>49821.389999999956</v>
      </c>
      <c r="T766" s="825">
        <v>-39224</v>
      </c>
      <c r="U766" s="825">
        <f t="shared" si="381"/>
        <v>140669.78999999998</v>
      </c>
      <c r="V766" s="827">
        <f>STDEV(D$2:D766)*SQRT(252)</f>
        <v>0.13972990133605417</v>
      </c>
      <c r="W766" s="827">
        <f>STDEV(L$2:L766)*SQRT(252)</f>
        <v>0.2583581958790987</v>
      </c>
      <c r="X766" s="826">
        <f t="shared" si="382"/>
        <v>0.67674129194045574</v>
      </c>
      <c r="Y766" s="826">
        <f t="shared" si="383"/>
        <v>0.40789947236017166</v>
      </c>
      <c r="Z766" s="832">
        <f t="shared" si="384"/>
        <v>3.4728992230614653E-2</v>
      </c>
    </row>
    <row r="767" spans="1:26" ht="20.100000000000001" customHeight="1" x14ac:dyDescent="0.2">
      <c r="A767" s="801">
        <f t="shared" si="370"/>
        <v>1173</v>
      </c>
      <c r="B767" s="820">
        <v>43406</v>
      </c>
      <c r="C767" s="845">
        <v>2723.06</v>
      </c>
      <c r="D767" s="817">
        <f t="shared" si="371"/>
        <v>-6.3166652678287773E-3</v>
      </c>
      <c r="E767" s="844">
        <f t="shared" si="372"/>
        <v>0.2951903502596982</v>
      </c>
      <c r="F767" s="841">
        <v>7356.99</v>
      </c>
      <c r="G767" s="817">
        <f t="shared" si="373"/>
        <v>-1.0365816748609492E-2</v>
      </c>
      <c r="H767" s="822">
        <f t="shared" si="374"/>
        <v>0.44489856040222325</v>
      </c>
      <c r="I767" s="866">
        <v>400476</v>
      </c>
      <c r="J767" s="825">
        <v>300000</v>
      </c>
      <c r="K767" s="825">
        <f t="shared" si="375"/>
        <v>-969.78999999997905</v>
      </c>
      <c r="L767" s="817">
        <f t="shared" si="376"/>
        <v>-2.4157433560331497E-3</v>
      </c>
      <c r="M767" s="842">
        <f t="shared" si="377"/>
        <v>100476</v>
      </c>
      <c r="N767" s="827">
        <f t="shared" si="378"/>
        <v>0.33492</v>
      </c>
      <c r="O767" s="811">
        <f t="shared" si="388"/>
        <v>0.10428774936061382</v>
      </c>
      <c r="P767" s="842" t="b">
        <f t="shared" si="380"/>
        <v>1</v>
      </c>
      <c r="Q767" s="827">
        <f>COUNTIF(P$2:P767, TRUE)/(COUNTIF(P$2:P767,FALSE) + COUNTIF(P$2:P767, TRUE))</f>
        <v>0.49347258485639689</v>
      </c>
      <c r="R767" s="869">
        <v>350654.6</v>
      </c>
      <c r="S767" s="871">
        <f t="shared" si="387"/>
        <v>49821.400000000023</v>
      </c>
      <c r="T767" s="825">
        <v>-35564</v>
      </c>
      <c r="U767" s="825">
        <f t="shared" si="381"/>
        <v>136040</v>
      </c>
      <c r="V767" s="827">
        <f>STDEV(D$2:D767)*SQRT(252)</f>
        <v>0.13969139995219287</v>
      </c>
      <c r="W767" s="827">
        <f>STDEV(L$2:L767)*SQRT(252)</f>
        <v>0.25819487917742606</v>
      </c>
      <c r="X767" s="826">
        <f t="shared" si="382"/>
        <v>0.65799819015047123</v>
      </c>
      <c r="Y767" s="826">
        <f t="shared" si="383"/>
        <v>0.40391099038393197</v>
      </c>
      <c r="Z767" s="832">
        <f t="shared" si="384"/>
        <v>3.9729649740301798E-2</v>
      </c>
    </row>
    <row r="768" spans="1:26" ht="20.100000000000001" customHeight="1" x14ac:dyDescent="0.2">
      <c r="A768" s="801">
        <f t="shared" si="370"/>
        <v>1176</v>
      </c>
      <c r="B768" s="820">
        <v>43409</v>
      </c>
      <c r="C768" s="845">
        <v>2738.31</v>
      </c>
      <c r="D768" s="817">
        <f t="shared" si="371"/>
        <v>5.6003172901074524E-3</v>
      </c>
      <c r="E768" s="844">
        <f t="shared" si="372"/>
        <v>0.30244382717223789</v>
      </c>
      <c r="F768" s="841">
        <v>7328.85</v>
      </c>
      <c r="G768" s="817">
        <f t="shared" si="373"/>
        <v>-3.824933838431127E-3</v>
      </c>
      <c r="H768" s="822">
        <f t="shared" si="374"/>
        <v>0.43937191900544037</v>
      </c>
      <c r="I768" s="866">
        <v>405572.13</v>
      </c>
      <c r="J768" s="825">
        <v>300000</v>
      </c>
      <c r="K768" s="825">
        <f t="shared" si="375"/>
        <v>5096.1300000000047</v>
      </c>
      <c r="L768" s="817">
        <f t="shared" si="376"/>
        <v>1.272518203338029E-2</v>
      </c>
      <c r="M768" s="842">
        <f t="shared" si="377"/>
        <v>105572.13</v>
      </c>
      <c r="N768" s="827">
        <f t="shared" si="378"/>
        <v>0.35190710000000003</v>
      </c>
      <c r="O768" s="811">
        <f t="shared" si="388"/>
        <v>0.10929767710459184</v>
      </c>
      <c r="P768" s="842" t="b">
        <f t="shared" si="380"/>
        <v>1</v>
      </c>
      <c r="Q768" s="827">
        <f>COUNTIF(P$2:P768, TRUE)/(COUNTIF(P$2:P768,FALSE) + COUNTIF(P$2:P768, TRUE))</f>
        <v>0.49413298565840941</v>
      </c>
      <c r="R768" s="869">
        <v>348434.83</v>
      </c>
      <c r="S768" s="871">
        <f t="shared" si="387"/>
        <v>57137.299999999988</v>
      </c>
      <c r="T768" s="825">
        <v>-34094</v>
      </c>
      <c r="U768" s="825">
        <f t="shared" si="381"/>
        <v>139666.13</v>
      </c>
      <c r="V768" s="827">
        <f>STDEV(D$2:D768)*SQRT(252)</f>
        <v>0.13963221400780843</v>
      </c>
      <c r="W768" s="827">
        <f>STDEV(L$2:L768)*SQRT(252)</f>
        <v>0.25811975955253785</v>
      </c>
      <c r="X768" s="826">
        <f t="shared" si="382"/>
        <v>0.67273187191955452</v>
      </c>
      <c r="Y768" s="826">
        <f t="shared" si="383"/>
        <v>0.42343785417305618</v>
      </c>
      <c r="Z768" s="832">
        <f t="shared" si="384"/>
        <v>4.9463272827762139E-2</v>
      </c>
    </row>
    <row r="769" spans="1:26" ht="20.100000000000001" customHeight="1" x14ac:dyDescent="0.2">
      <c r="A769" s="801">
        <f t="shared" si="370"/>
        <v>1177</v>
      </c>
      <c r="B769" s="820">
        <v>43410</v>
      </c>
      <c r="C769" s="845">
        <v>2755.45</v>
      </c>
      <c r="D769" s="817">
        <f t="shared" si="371"/>
        <v>6.2593351373657008E-3</v>
      </c>
      <c r="E769" s="844">
        <f t="shared" si="372"/>
        <v>0.31059625958410214</v>
      </c>
      <c r="F769" s="841">
        <v>7375.96</v>
      </c>
      <c r="G769" s="817">
        <f t="shared" si="373"/>
        <v>6.4280207672417463E-3</v>
      </c>
      <c r="H769" s="822">
        <f t="shared" si="374"/>
        <v>0.4486242315925919</v>
      </c>
      <c r="I769" s="866">
        <v>410029.68</v>
      </c>
      <c r="J769" s="825">
        <v>300000</v>
      </c>
      <c r="K769" s="825">
        <f t="shared" si="375"/>
        <v>4457.5499999999884</v>
      </c>
      <c r="L769" s="817">
        <f t="shared" si="376"/>
        <v>1.0990770001873621E-2</v>
      </c>
      <c r="M769" s="842">
        <f t="shared" si="377"/>
        <v>110029.68</v>
      </c>
      <c r="N769" s="827">
        <f t="shared" si="378"/>
        <v>0.36676559999999997</v>
      </c>
      <c r="O769" s="811">
        <f t="shared" si="388"/>
        <v>0.11381574800339846</v>
      </c>
      <c r="P769" s="842" t="b">
        <f t="shared" si="380"/>
        <v>1</v>
      </c>
      <c r="Q769" s="827">
        <f>COUNTIF(P$2:P769, TRUE)/(COUNTIF(P$2:P769,FALSE) + COUNTIF(P$2:P769, TRUE))</f>
        <v>0.49479166666666669</v>
      </c>
      <c r="R769" s="869">
        <v>349807.43</v>
      </c>
      <c r="S769" s="871">
        <f t="shared" si="387"/>
        <v>60222.25</v>
      </c>
      <c r="T769" s="825">
        <v>-34178</v>
      </c>
      <c r="U769" s="825">
        <f t="shared" si="381"/>
        <v>144207.67999999999</v>
      </c>
      <c r="V769" s="827">
        <f>STDEV(D$2:D769)*SQRT(252)</f>
        <v>0.13958167740728689</v>
      </c>
      <c r="W769" s="827">
        <f>STDEV(L$2:L769)*SQRT(252)</f>
        <v>0.25801974526519544</v>
      </c>
      <c r="X769" s="826">
        <f t="shared" si="382"/>
        <v>0.69052843989554591</v>
      </c>
      <c r="Y769" s="826">
        <f t="shared" si="383"/>
        <v>0.44111255084922829</v>
      </c>
      <c r="Z769" s="832">
        <f t="shared" si="384"/>
        <v>5.6169340415897828E-2</v>
      </c>
    </row>
    <row r="770" spans="1:26" ht="20.100000000000001" customHeight="1" x14ac:dyDescent="0.2">
      <c r="A770" s="801">
        <f t="shared" si="370"/>
        <v>1178</v>
      </c>
      <c r="B770" s="820">
        <v>43411</v>
      </c>
      <c r="C770" s="845">
        <v>2813.89</v>
      </c>
      <c r="D770" s="817">
        <f t="shared" si="371"/>
        <v>2.1208876952947816E-2</v>
      </c>
      <c r="E770" s="844">
        <f t="shared" si="372"/>
        <v>0.33839253438861505</v>
      </c>
      <c r="F770" s="841">
        <v>7570.75</v>
      </c>
      <c r="G770" s="817">
        <f t="shared" si="373"/>
        <v>2.6408765774217861E-2</v>
      </c>
      <c r="H770" s="822">
        <f t="shared" si="374"/>
        <v>0.48688060961957702</v>
      </c>
      <c r="I770" s="866">
        <v>413975.81</v>
      </c>
      <c r="J770" s="825">
        <v>300000</v>
      </c>
      <c r="K770" s="825">
        <f t="shared" si="375"/>
        <v>3946.1300000000047</v>
      </c>
      <c r="L770" s="817">
        <f t="shared" si="376"/>
        <v>9.6240106325961687E-3</v>
      </c>
      <c r="M770" s="842">
        <f t="shared" si="377"/>
        <v>113975.81</v>
      </c>
      <c r="N770" s="827">
        <f t="shared" si="378"/>
        <v>0.37991936666666665</v>
      </c>
      <c r="O770" s="811">
        <f t="shared" si="388"/>
        <v>0.11779757952037351</v>
      </c>
      <c r="P770" s="842" t="b">
        <f t="shared" si="380"/>
        <v>0</v>
      </c>
      <c r="Q770" s="827">
        <f>COUNTIF(P$2:P770, TRUE)/(COUNTIF(P$2:P770,FALSE) + COUNTIF(P$2:P770, TRUE))</f>
        <v>0.49414824447334199</v>
      </c>
      <c r="R770" s="869">
        <v>343603.51</v>
      </c>
      <c r="S770" s="871">
        <f t="shared" si="387"/>
        <v>70372.299999999988</v>
      </c>
      <c r="T770" s="825">
        <v>-33892</v>
      </c>
      <c r="U770" s="825">
        <f t="shared" si="381"/>
        <v>147867.81</v>
      </c>
      <c r="V770" s="827">
        <f>STDEV(D$2:D770)*SQRT(252)</f>
        <v>0.13999943692669356</v>
      </c>
      <c r="W770" s="827">
        <f>STDEV(L$2:L770)*SQRT(252)</f>
        <v>0.25790294822831933</v>
      </c>
      <c r="X770" s="826">
        <f t="shared" si="382"/>
        <v>0.74944439905516358</v>
      </c>
      <c r="Y770" s="826">
        <f t="shared" si="383"/>
        <v>0.4567515816689629</v>
      </c>
      <c r="Z770" s="832">
        <f t="shared" si="384"/>
        <v>4.1526832278051595E-2</v>
      </c>
    </row>
    <row r="771" spans="1:26" ht="20.100000000000001" customHeight="1" x14ac:dyDescent="0.2">
      <c r="A771" s="801">
        <f t="shared" si="370"/>
        <v>1180</v>
      </c>
      <c r="B771" s="820">
        <v>43413</v>
      </c>
      <c r="C771" s="845">
        <v>2781.01</v>
      </c>
      <c r="D771" s="817">
        <f t="shared" si="371"/>
        <v>-1.1684891733507584E-2</v>
      </c>
      <c r="E771" s="844">
        <f t="shared" ref="E771" si="389">(C771-$C$2)/$C$2</f>
        <v>0.32275356252734927</v>
      </c>
      <c r="F771" s="841">
        <v>7406.9</v>
      </c>
      <c r="G771" s="817">
        <f t="shared" si="373"/>
        <v>-2.1642505696265281E-2</v>
      </c>
      <c r="H771" s="822">
        <f t="shared" ref="H771" si="390">(F771-F$2)/F$2</f>
        <v>0.4547007875562189</v>
      </c>
      <c r="I771" s="866">
        <v>409057.68</v>
      </c>
      <c r="J771" s="825">
        <v>300000</v>
      </c>
      <c r="K771" s="825">
        <f t="shared" ref="K771" si="391">I771-I770-J771+J770</f>
        <v>-4918.1300000000047</v>
      </c>
      <c r="L771" s="817">
        <f t="shared" ref="L771" si="392">K771/I770</f>
        <v>-1.188023522437218E-2</v>
      </c>
      <c r="M771" s="842">
        <f t="shared" ref="M771" si="393">I771-J771</f>
        <v>109057.68</v>
      </c>
      <c r="N771" s="827">
        <f t="shared" ref="N771" si="394">M771/J771</f>
        <v>0.3635256</v>
      </c>
      <c r="O771" s="811">
        <f t="shared" ref="O771" si="395">N771/(A771/365.25)</f>
        <v>0.11252349610169492</v>
      </c>
      <c r="P771" s="842" t="b">
        <f t="shared" ref="P771" si="396">L771&gt;D771</f>
        <v>0</v>
      </c>
      <c r="Q771" s="827">
        <f>COUNTIF(P$2:P771, TRUE)/(COUNTIF(P$2:P771,FALSE) + COUNTIF(P$2:P771, TRUE))</f>
        <v>0.4935064935064935</v>
      </c>
      <c r="R771" s="869">
        <v>332951.45</v>
      </c>
      <c r="S771" s="871">
        <f t="shared" ref="S771" si="397">I771-R771</f>
        <v>76106.229999999981</v>
      </c>
      <c r="T771" s="825">
        <v>-34243</v>
      </c>
      <c r="U771" s="825">
        <f t="shared" ref="U771" si="398">M771-T771</f>
        <v>143300.68</v>
      </c>
      <c r="V771" s="827">
        <f>STDEV(D$2:D771)*SQRT(252)</f>
        <v>0.14007971517341553</v>
      </c>
      <c r="W771" s="827">
        <f>STDEV(L$2:L771)*SQRT(252)</f>
        <v>0.25783465784296999</v>
      </c>
      <c r="X771" s="826">
        <f t="shared" ref="X771" si="399">E771/(A771/365.25)/V771</f>
        <v>0.71318797498457553</v>
      </c>
      <c r="Y771" s="826">
        <f t="shared" ref="Y771" si="400">O771/W771</f>
        <v>0.4364172646263309</v>
      </c>
      <c r="Z771" s="832">
        <f t="shared" ref="Z771" si="401">-(E771-N771)</f>
        <v>4.0772037472650735E-2</v>
      </c>
    </row>
    <row r="772" spans="1:26" ht="20.100000000000001" customHeight="1" x14ac:dyDescent="0.2">
      <c r="A772" s="801">
        <f t="shared" ref="A772" si="402">B772-$B$2</f>
        <v>1183</v>
      </c>
      <c r="B772" s="820">
        <v>43416</v>
      </c>
      <c r="C772" s="845">
        <v>2726.22</v>
      </c>
      <c r="D772" s="817">
        <f t="shared" ref="D772" si="403">(C772-C771)/C771</f>
        <v>-1.970147536326745E-2</v>
      </c>
      <c r="E772" s="844">
        <f t="shared" ref="E772" si="404">(C772-$C$2)/$C$2</f>
        <v>0.29669336580354244</v>
      </c>
      <c r="F772" s="841">
        <v>7200.86</v>
      </c>
      <c r="G772" s="817">
        <f t="shared" ref="G772" si="405">(F772-F771)/F771</f>
        <v>-2.7817305485425749E-2</v>
      </c>
      <c r="H772" s="822">
        <f t="shared" ref="H772" si="406">(F772-F$2)/F$2</f>
        <v>0.41423493135887818</v>
      </c>
      <c r="I772" s="866">
        <v>406425.49</v>
      </c>
      <c r="J772" s="825">
        <v>300000</v>
      </c>
      <c r="K772" s="825">
        <f t="shared" ref="K772" si="407">I772-I771-J772+J771</f>
        <v>-2632.1900000000023</v>
      </c>
      <c r="L772" s="817">
        <f t="shared" ref="L772" si="408">K772/I771</f>
        <v>-6.4347648967255731E-3</v>
      </c>
      <c r="M772" s="842">
        <f t="shared" ref="M772" si="409">I772-J772</f>
        <v>106425.48999999999</v>
      </c>
      <c r="N772" s="827">
        <f t="shared" ref="N772" si="410">M772/J772</f>
        <v>0.35475163333333332</v>
      </c>
      <c r="O772" s="811">
        <f t="shared" ref="O772" si="411">N772/(A772/365.25)</f>
        <v>0.10952919194843617</v>
      </c>
      <c r="P772" s="842" t="b">
        <f t="shared" ref="P772" si="412">L772&gt;D772</f>
        <v>1</v>
      </c>
      <c r="Q772" s="827">
        <f>COUNTIF(P$2:P772, TRUE)/(COUNTIF(P$2:P772,FALSE) + COUNTIF(P$2:P772, TRUE))</f>
        <v>0.49416342412451364</v>
      </c>
      <c r="R772" s="869">
        <v>343162.34</v>
      </c>
      <c r="S772" s="871">
        <f t="shared" ref="S772" si="413">I772-R772</f>
        <v>63263.149999999965</v>
      </c>
      <c r="T772" s="825">
        <v>-33801</v>
      </c>
      <c r="U772" s="825">
        <f t="shared" ref="U772" si="414">M772-T772</f>
        <v>140226.49</v>
      </c>
      <c r="V772" s="827">
        <f>STDEV(D$2:D772)*SQRT(252)</f>
        <v>0.14046026693746491</v>
      </c>
      <c r="W772" s="827">
        <f>STDEV(L$2:L772)*SQRT(252)</f>
        <v>0.25769861871465011</v>
      </c>
      <c r="X772" s="826">
        <f t="shared" ref="X772" si="415">E772/(A772/365.25)/V772</f>
        <v>0.65216851136865051</v>
      </c>
      <c r="Y772" s="826">
        <f t="shared" ref="Y772" si="416">O772/W772</f>
        <v>0.42502824615337942</v>
      </c>
      <c r="Z772" s="832">
        <f t="shared" ref="Z772" si="417">-(E772-N772)</f>
        <v>5.8058267529790875E-2</v>
      </c>
    </row>
    <row r="773" spans="1:26" ht="20.100000000000001" customHeight="1" x14ac:dyDescent="0.2">
      <c r="A773" s="801">
        <f t="shared" ref="A773" si="418">B773-$B$2</f>
        <v>1184</v>
      </c>
      <c r="B773" s="820">
        <v>43417</v>
      </c>
      <c r="C773" s="845">
        <v>2722.18</v>
      </c>
      <c r="D773" s="817">
        <f t="shared" ref="D773" si="419">(C773-C772)/C772</f>
        <v>-1.4819053487979562E-3</v>
      </c>
      <c r="E773" s="844">
        <f t="shared" ref="E773" si="420">(C773-$C$2)/$C$2</f>
        <v>0.29477178896900735</v>
      </c>
      <c r="F773" s="841">
        <v>7200.87</v>
      </c>
      <c r="G773" s="817">
        <f t="shared" ref="G773" si="421">(F773-F772)/F772</f>
        <v>1.3887230136703504E-6</v>
      </c>
      <c r="H773" s="822">
        <f t="shared" ref="H773" si="422">(F773-F$2)/F$2</f>
        <v>0.41423689533947405</v>
      </c>
      <c r="I773" s="866">
        <v>406411.58</v>
      </c>
      <c r="J773" s="825">
        <v>300000</v>
      </c>
      <c r="K773" s="825">
        <f t="shared" ref="K773" si="423">I773-I772-J773+J772</f>
        <v>-13.909999999974389</v>
      </c>
      <c r="L773" s="817">
        <f t="shared" ref="L773" si="424">K773/I772</f>
        <v>-3.4225215549286507E-5</v>
      </c>
      <c r="M773" s="842">
        <f t="shared" ref="M773" si="425">I773-J773</f>
        <v>106411.58000000002</v>
      </c>
      <c r="N773" s="827">
        <f t="shared" ref="N773" si="426">M773/J773</f>
        <v>0.35470526666666674</v>
      </c>
      <c r="O773" s="811">
        <f t="shared" ref="O773" si="427">N773/(A773/365.25)</f>
        <v>0.10942238061655409</v>
      </c>
      <c r="P773" s="842" t="b">
        <f t="shared" ref="P773" si="428">L773&gt;D773</f>
        <v>1</v>
      </c>
      <c r="Q773" s="827">
        <f>COUNTIF(P$2:P773, TRUE)/(COUNTIF(P$2:P773,FALSE) + COUNTIF(P$2:P773, TRUE))</f>
        <v>0.49481865284974091</v>
      </c>
      <c r="R773" s="869">
        <v>337244.45</v>
      </c>
      <c r="S773" s="871">
        <f t="shared" ref="S773" si="429">I773-R773</f>
        <v>69167.13</v>
      </c>
      <c r="T773" s="825">
        <v>-33424</v>
      </c>
      <c r="U773" s="825">
        <f t="shared" ref="U773" si="430">M773-T773</f>
        <v>139835.58000000002</v>
      </c>
      <c r="V773" s="827">
        <f>STDEV(D$2:D773)*SQRT(252)</f>
        <v>0.14037305068685352</v>
      </c>
      <c r="W773" s="827">
        <f>STDEV(L$2:L773)*SQRT(252)</f>
        <v>0.25753149648917045</v>
      </c>
      <c r="X773" s="826">
        <f t="shared" ref="X773" si="431">E773/(A773/365.25)/V773</f>
        <v>0.64779963799861073</v>
      </c>
      <c r="Y773" s="826">
        <f t="shared" ref="Y773" si="432">O773/W773</f>
        <v>0.42488931298993732</v>
      </c>
      <c r="Z773" s="832">
        <f t="shared" ref="Z773" si="433">-(E773-N773)</f>
        <v>5.9933477697659387E-2</v>
      </c>
    </row>
    <row r="774" spans="1:26" ht="20.100000000000001" customHeight="1" x14ac:dyDescent="0.2">
      <c r="A774" s="801">
        <f t="shared" ref="A774" si="434">B774-$B$2</f>
        <v>1185</v>
      </c>
      <c r="B774" s="820">
        <v>43418</v>
      </c>
      <c r="C774" s="845">
        <v>2701.58</v>
      </c>
      <c r="D774" s="817">
        <f t="shared" ref="D774" si="435">(C774-C773)/C773</f>
        <v>-7.5674643116913319E-3</v>
      </c>
      <c r="E774" s="844">
        <f t="shared" ref="E774" si="436">(C774-$C$2)/$C$2</f>
        <v>0.28497364966419964</v>
      </c>
      <c r="F774" s="841">
        <v>7136.39</v>
      </c>
      <c r="G774" s="817">
        <f t="shared" ref="G774" si="437">(F774-F773)/F773</f>
        <v>-8.9544735566673972E-3</v>
      </c>
      <c r="H774" s="822">
        <f t="shared" ref="H774" si="438">(F774-F$2)/F$2</f>
        <v>0.40157314845729336</v>
      </c>
      <c r="I774" s="866">
        <v>407328.9</v>
      </c>
      <c r="J774" s="825">
        <v>300000</v>
      </c>
      <c r="K774" s="825">
        <f t="shared" ref="K774" si="439">I774-I773-J774+J773</f>
        <v>917.32000000000698</v>
      </c>
      <c r="L774" s="817">
        <f t="shared" ref="L774" si="440">K774/I773</f>
        <v>2.2571207247588931E-3</v>
      </c>
      <c r="M774" s="842">
        <f t="shared" ref="M774" si="441">I774-J774</f>
        <v>107328.90000000002</v>
      </c>
      <c r="N774" s="827">
        <f t="shared" ref="N774" si="442">M774/J774</f>
        <v>0.35776300000000005</v>
      </c>
      <c r="O774" s="811">
        <f t="shared" ref="O774" si="443">N774/(A774/365.25)</f>
        <v>0.11027251962025318</v>
      </c>
      <c r="P774" s="842" t="b">
        <f t="shared" ref="P774" si="444">L774&gt;D774</f>
        <v>1</v>
      </c>
      <c r="Q774" s="827">
        <f>COUNTIF(P$2:P774, TRUE)/(COUNTIF(P$2:P774,FALSE) + COUNTIF(P$2:P774, TRUE))</f>
        <v>0.49547218628719275</v>
      </c>
      <c r="R774" s="869">
        <v>323932.96000000002</v>
      </c>
      <c r="S774" s="871">
        <f t="shared" ref="S774" si="445">I774-R774</f>
        <v>83395.94</v>
      </c>
      <c r="T774" s="825">
        <v>-33320</v>
      </c>
      <c r="U774" s="825">
        <f t="shared" ref="U774:U776" si="446">M774-T774</f>
        <v>140648.90000000002</v>
      </c>
      <c r="V774" s="827">
        <f>STDEV(D$2:D774)*SQRT(252)</f>
        <v>0.14035534831421267</v>
      </c>
      <c r="W774" s="827">
        <f>STDEV(L$2:L774)*SQRT(252)</f>
        <v>0.25736613915990925</v>
      </c>
      <c r="X774" s="826">
        <f t="shared" ref="X774" si="447">E774/(A774/365.25)/V774</f>
        <v>0.62581736896067919</v>
      </c>
      <c r="Y774" s="826">
        <f t="shared" ref="Y774" si="448">O774/W774</f>
        <v>0.4284655315582816</v>
      </c>
      <c r="Z774" s="832">
        <f t="shared" ref="Z774" si="449">-(E774-N774)</f>
        <v>7.2789350335800418E-2</v>
      </c>
    </row>
    <row r="775" spans="1:26" ht="20.100000000000001" customHeight="1" x14ac:dyDescent="0.2">
      <c r="A775" s="801">
        <f t="shared" ref="A775" si="450">B775-$B$2</f>
        <v>1186</v>
      </c>
      <c r="B775" s="820">
        <v>43419</v>
      </c>
      <c r="C775" s="845">
        <v>2730.2</v>
      </c>
      <c r="D775" s="817">
        <f t="shared" ref="D775" si="451">(C775-C774)/C774</f>
        <v>1.0593800664796116E-2</v>
      </c>
      <c r="E775" s="844">
        <f t="shared" ref="E775" si="452">(C775-$C$2)/$C$2</f>
        <v>0.29858640436825773</v>
      </c>
      <c r="F775" s="841">
        <v>7259.03</v>
      </c>
      <c r="G775" s="817">
        <f t="shared" ref="G775" si="453">(F775-F774)/F774</f>
        <v>1.7185159443359938E-2</v>
      </c>
      <c r="H775" s="822">
        <f t="shared" ref="H775" si="454">(F775-F$2)/F$2</f>
        <v>0.42565940648506395</v>
      </c>
      <c r="I775" s="866">
        <v>410478.11</v>
      </c>
      <c r="J775" s="825">
        <v>300000</v>
      </c>
      <c r="K775" s="825">
        <f t="shared" ref="K775" si="455">I775-I774-J775+J774</f>
        <v>3149.2099999999627</v>
      </c>
      <c r="L775" s="817">
        <f t="shared" ref="L775" si="456">K775/I774</f>
        <v>7.7313689257009818E-3</v>
      </c>
      <c r="M775" s="842">
        <f t="shared" ref="M775" si="457">I775-J775</f>
        <v>110478.10999999999</v>
      </c>
      <c r="N775" s="827">
        <f t="shared" ref="N775" si="458">M775/J775</f>
        <v>0.36826036666666662</v>
      </c>
      <c r="O775" s="811">
        <f t="shared" ref="O775" si="459">N775/(A775/365.25)</f>
        <v>0.11341239369730184</v>
      </c>
      <c r="P775" s="842" t="b">
        <f t="shared" ref="P775" si="460">L775&gt;D775</f>
        <v>0</v>
      </c>
      <c r="Q775" s="827">
        <f>COUNTIF(P$2:P775, TRUE)/(COUNTIF(P$2:P775,FALSE) + COUNTIF(P$2:P775, TRUE))</f>
        <v>0.49483204134366926</v>
      </c>
      <c r="R775" s="869">
        <v>316375.09000000003</v>
      </c>
      <c r="S775" s="871">
        <f t="shared" ref="S775" si="461">I775-R775</f>
        <v>94103.01999999996</v>
      </c>
      <c r="T775" s="825">
        <v>-33321</v>
      </c>
      <c r="U775" s="825">
        <f t="shared" si="446"/>
        <v>143799.10999999999</v>
      </c>
      <c r="V775" s="827">
        <f>STDEV(D$2:D775)*SQRT(252)</f>
        <v>0.14038597691913626</v>
      </c>
      <c r="W775" s="827">
        <f>STDEV(L$2:L775)*SQRT(252)</f>
        <v>0.25723146304485106</v>
      </c>
      <c r="X775" s="826">
        <f t="shared" ref="X775" si="462">E775/(A775/365.25)/V775</f>
        <v>0.65501589057580378</v>
      </c>
      <c r="Y775" s="826">
        <f t="shared" ref="Y775" si="463">O775/W775</f>
        <v>0.4408962743314459</v>
      </c>
      <c r="Z775" s="832">
        <f t="shared" ref="Z775" si="464">-(E775-N775)</f>
        <v>6.9673962298408887E-2</v>
      </c>
    </row>
    <row r="776" spans="1:26" ht="20.100000000000001" customHeight="1" x14ac:dyDescent="0.2">
      <c r="A776" s="801">
        <f t="shared" ref="A776" si="465">B776-$B$2</f>
        <v>1187</v>
      </c>
      <c r="B776" s="820">
        <v>43420</v>
      </c>
      <c r="C776" s="845">
        <v>2736.27</v>
      </c>
      <c r="D776" s="817">
        <f t="shared" ref="D776" si="466">(C776-C775)/C775</f>
        <v>2.2232803457622754E-3</v>
      </c>
      <c r="E776" s="844">
        <f t="shared" ref="E776" si="467">(C776-$C$2)/$C$2</f>
        <v>0.30147352599836374</v>
      </c>
      <c r="F776" s="841">
        <v>7247.87</v>
      </c>
      <c r="G776" s="817">
        <f t="shared" ref="G776" si="468">(F776-F775)/F775</f>
        <v>-1.5373954922351684E-3</v>
      </c>
      <c r="H776" s="822">
        <f t="shared" ref="H776" si="469">(F776-F$2)/F$2</f>
        <v>0.42346760414007112</v>
      </c>
      <c r="I776" s="866">
        <v>411834.34</v>
      </c>
      <c r="J776" s="825">
        <v>300000</v>
      </c>
      <c r="K776" s="825">
        <f t="shared" ref="K776" si="470">I776-I775-J776+J775</f>
        <v>1356.2300000000396</v>
      </c>
      <c r="L776" s="817">
        <f t="shared" ref="L776" si="471">K776/I775</f>
        <v>3.3040251525228463E-3</v>
      </c>
      <c r="M776" s="842">
        <f t="shared" ref="M776" si="472">I776-J776</f>
        <v>111834.34000000003</v>
      </c>
      <c r="N776" s="827">
        <f t="shared" ref="N776" si="473">M776/J776</f>
        <v>0.3727811333333334</v>
      </c>
      <c r="O776" s="811">
        <f t="shared" ref="O776" si="474">N776/(A776/365.25)</f>
        <v>0.1147079266638585</v>
      </c>
      <c r="P776" s="842" t="b">
        <f t="shared" ref="P776" si="475">L776&gt;D776</f>
        <v>1</v>
      </c>
      <c r="Q776" s="827">
        <f>COUNTIF(P$2:P776, TRUE)/(COUNTIF(P$2:P776,FALSE) + COUNTIF(P$2:P776, TRUE))</f>
        <v>0.49548387096774194</v>
      </c>
      <c r="R776" s="869">
        <v>306960.53999999998</v>
      </c>
      <c r="S776" s="871">
        <f t="shared" ref="S776" si="476">I776-R776</f>
        <v>104873.80000000005</v>
      </c>
      <c r="T776" s="825">
        <v>-32054</v>
      </c>
      <c r="U776" s="825">
        <f t="shared" si="446"/>
        <v>143888.34000000003</v>
      </c>
      <c r="V776" s="827">
        <f>STDEV(D$2:D776)*SQRT(252)</f>
        <v>0.14029909623346137</v>
      </c>
      <c r="W776" s="827">
        <f>STDEV(L$2:L776)*SQRT(252)</f>
        <v>0.25706956152341037</v>
      </c>
      <c r="X776" s="826">
        <f t="shared" ref="X776" si="477">E776/(A776/365.25)/V776</f>
        <v>0.66120147336577295</v>
      </c>
      <c r="Y776" s="826">
        <f t="shared" ref="Y776" si="478">O776/W776</f>
        <v>0.44621356952605401</v>
      </c>
      <c r="Z776" s="832">
        <f t="shared" ref="Z776" si="479">-(E776-N776)</f>
        <v>7.1307607334969658E-2</v>
      </c>
    </row>
    <row r="777" spans="1:26" ht="20.100000000000001" customHeight="1" x14ac:dyDescent="0.2">
      <c r="A777" s="801">
        <f t="shared" ref="A777" si="480">B777-$B$2</f>
        <v>1190</v>
      </c>
      <c r="B777" s="820">
        <v>43423</v>
      </c>
      <c r="C777" s="845">
        <v>2690.73</v>
      </c>
      <c r="D777" s="817">
        <f t="shared" ref="D777" si="481">(C777-C776)/C776</f>
        <v>-1.6643094431470565E-2</v>
      </c>
      <c r="E777" s="844">
        <f t="shared" ref="E777" si="482">(C777-$C$2)/$C$2</f>
        <v>0.27981297920511405</v>
      </c>
      <c r="F777" s="841">
        <v>7028.47</v>
      </c>
      <c r="G777" s="817">
        <f t="shared" ref="G777" si="483">(F777-F776)/F776</f>
        <v>-3.0270962365494918E-2</v>
      </c>
      <c r="H777" s="822">
        <f t="shared" ref="H777" si="484">(F777-F$2)/F$2</f>
        <v>0.38037786986664579</v>
      </c>
      <c r="I777" s="866">
        <v>409587.48</v>
      </c>
      <c r="J777" s="825">
        <v>300000</v>
      </c>
      <c r="K777" s="825">
        <f t="shared" ref="K777" si="485">I777-I776-J777+J776</f>
        <v>-2246.8600000000442</v>
      </c>
      <c r="L777" s="817">
        <f t="shared" ref="L777" si="486">K777/I776</f>
        <v>-5.4557373724591404E-3</v>
      </c>
      <c r="M777" s="842">
        <f t="shared" ref="M777" si="487">I777-J777</f>
        <v>109587.47999999998</v>
      </c>
      <c r="N777" s="827">
        <f t="shared" ref="N777" si="488">M777/J777</f>
        <v>0.36529159999999994</v>
      </c>
      <c r="O777" s="811">
        <f t="shared" ref="O777" si="489">N777/(A777/365.25)</f>
        <v>0.11211996378151258</v>
      </c>
      <c r="P777" s="842" t="b">
        <f t="shared" ref="P777" si="490">L777&gt;D777</f>
        <v>1</v>
      </c>
      <c r="Q777" s="827">
        <f>COUNTIF(P$2:P777, TRUE)/(COUNTIF(P$2:P777,FALSE) + COUNTIF(P$2:P777, TRUE))</f>
        <v>0.49613402061855671</v>
      </c>
      <c r="R777" s="869">
        <v>317672.28000000003</v>
      </c>
      <c r="S777" s="871">
        <f t="shared" ref="S777" si="491">I777-R777</f>
        <v>91915.199999999953</v>
      </c>
      <c r="T777" s="825">
        <v>-32184</v>
      </c>
      <c r="U777" s="825">
        <f t="shared" ref="U777" si="492">M777-T777</f>
        <v>141771.47999999998</v>
      </c>
      <c r="V777" s="827">
        <f>STDEV(D$2:D777)*SQRT(252)</f>
        <v>0.14054403945239702</v>
      </c>
      <c r="W777" s="827">
        <f>STDEV(L$2:L777)*SQRT(252)</f>
        <v>0.25692688467355634</v>
      </c>
      <c r="X777" s="826">
        <f t="shared" ref="X777" si="493">E777/(A777/365.25)/V777</f>
        <v>0.6110808682745601</v>
      </c>
      <c r="Y777" s="826">
        <f t="shared" ref="Y777" si="494">O777/W777</f>
        <v>0.43638860107601768</v>
      </c>
      <c r="Z777" s="832">
        <f t="shared" ref="Z777" si="495">-(E777-N777)</f>
        <v>8.5478620794885884E-2</v>
      </c>
    </row>
    <row r="778" spans="1:26" ht="20.100000000000001" customHeight="1" x14ac:dyDescent="0.2">
      <c r="A778" s="801">
        <f t="shared" ref="A778" si="496">B778-$B$2</f>
        <v>1191</v>
      </c>
      <c r="B778" s="820">
        <v>43424</v>
      </c>
      <c r="C778" s="845">
        <v>2641.89</v>
      </c>
      <c r="D778" s="817">
        <f t="shared" ref="D778" si="497">(C778-C777)/C777</f>
        <v>-1.8151208036480862E-2</v>
      </c>
      <c r="E778" s="844">
        <f t="shared" ref="E778" si="498">(C778-$C$2)/$C$2</f>
        <v>0.25658282757177364</v>
      </c>
      <c r="F778" s="841">
        <v>6908.82</v>
      </c>
      <c r="G778" s="817">
        <f t="shared" ref="G778" si="499">(F778-F777)/F777</f>
        <v>-1.7023619649795835E-2</v>
      </c>
      <c r="H778" s="822">
        <f t="shared" ref="H778" si="500">(F778-F$2)/F$2</f>
        <v>0.35687884203704068</v>
      </c>
      <c r="I778" s="866">
        <v>402621.49</v>
      </c>
      <c r="J778" s="825">
        <v>300000</v>
      </c>
      <c r="K778" s="825">
        <f t="shared" ref="K778" si="501">I778-I777-J778+J777</f>
        <v>-6965.9899999999907</v>
      </c>
      <c r="L778" s="817">
        <f t="shared" ref="L778" si="502">K778/I777</f>
        <v>-1.7007331376437559E-2</v>
      </c>
      <c r="M778" s="842">
        <f t="shared" ref="M778" si="503">I778-J778</f>
        <v>102621.48999999999</v>
      </c>
      <c r="N778" s="827">
        <f t="shared" ref="N778" si="504">M778/J778</f>
        <v>0.34207163333333329</v>
      </c>
      <c r="O778" s="811">
        <f t="shared" ref="O778" si="505">N778/(A778/365.25)</f>
        <v>0.10490483969353483</v>
      </c>
      <c r="P778" s="842" t="b">
        <f t="shared" ref="P778" si="506">L778&gt;D778</f>
        <v>1</v>
      </c>
      <c r="Q778" s="827">
        <f>COUNTIF(P$2:P778, TRUE)/(COUNTIF(P$2:P778,FALSE) + COUNTIF(P$2:P778, TRUE))</f>
        <v>0.49678249678249681</v>
      </c>
      <c r="R778" s="869">
        <v>335553.9</v>
      </c>
      <c r="S778" s="871">
        <f t="shared" ref="S778" si="507">I778-R778</f>
        <v>67067.589999999967</v>
      </c>
      <c r="T778" s="825">
        <v>-32094</v>
      </c>
      <c r="U778" s="825">
        <f t="shared" ref="U778" si="508">M778-T778</f>
        <v>134715.49</v>
      </c>
      <c r="V778" s="827">
        <f>STDEV(D$2:D778)*SQRT(252)</f>
        <v>0.14084881356005374</v>
      </c>
      <c r="W778" s="827">
        <f>STDEV(L$2:L778)*SQRT(252)</f>
        <v>0.25695755532405573</v>
      </c>
      <c r="X778" s="826">
        <f t="shared" ref="X778" si="509">E778/(A778/365.25)/V778</f>
        <v>0.55866679181953094</v>
      </c>
      <c r="Y778" s="826">
        <f t="shared" ref="Y778" si="510">O778/W778</f>
        <v>0.40825746322670547</v>
      </c>
      <c r="Z778" s="832">
        <f>-(E778-N778)</f>
        <v>8.548880576155965E-2</v>
      </c>
    </row>
    <row r="779" spans="1:26" ht="20.100000000000001" customHeight="1" x14ac:dyDescent="0.2">
      <c r="A779" s="801">
        <f t="shared" ref="A779" si="511">B779-$B$2</f>
        <v>1192</v>
      </c>
      <c r="B779" s="820">
        <v>43425</v>
      </c>
      <c r="C779" s="845">
        <v>2649.93</v>
      </c>
      <c r="D779" s="817">
        <f t="shared" ref="D779" si="512">(C779-C778)/C778</f>
        <v>3.0432758366169539E-3</v>
      </c>
      <c r="E779" s="844">
        <f t="shared" ref="E779" si="513">(C779-$C$2)/$C$2</f>
        <v>0.26040695572763062</v>
      </c>
      <c r="F779" s="841">
        <v>6972.25</v>
      </c>
      <c r="G779" s="817">
        <f t="shared" ref="G779" si="514">(F779-F778)/F778</f>
        <v>9.1810178872803599E-3</v>
      </c>
      <c r="H779" s="822">
        <f t="shared" ref="H779" si="515">(F779-F$2)/F$2</f>
        <v>0.369336370956655</v>
      </c>
      <c r="I779" s="866">
        <v>406305.97</v>
      </c>
      <c r="J779" s="825">
        <v>300000</v>
      </c>
      <c r="K779" s="825">
        <f t="shared" ref="K779" si="516">I779-I778-J779+J778</f>
        <v>3684.4799999999814</v>
      </c>
      <c r="L779" s="817">
        <f t="shared" ref="L779" si="517">K779/I778</f>
        <v>9.1512253854109521E-3</v>
      </c>
      <c r="M779" s="842">
        <f t="shared" ref="M779" si="518">I779-J779</f>
        <v>106305.96999999997</v>
      </c>
      <c r="N779" s="827">
        <f t="shared" ref="N779" si="519">M779/J779</f>
        <v>0.35435323333333324</v>
      </c>
      <c r="O779" s="811">
        <f t="shared" ref="O779" si="520">N779/(A779/365.25)</f>
        <v>0.10858013294882547</v>
      </c>
      <c r="P779" s="842" t="b">
        <f t="shared" ref="P779" si="521">L779&gt;D779</f>
        <v>1</v>
      </c>
      <c r="Q779" s="827">
        <f>COUNTIF(P$2:P779, TRUE)/(COUNTIF(P$2:P779,FALSE) + COUNTIF(P$2:P779, TRUE))</f>
        <v>0.49742930591259638</v>
      </c>
      <c r="R779" s="869">
        <v>339238.40000000002</v>
      </c>
      <c r="S779" s="871">
        <f t="shared" ref="S779" si="522">I779-R779</f>
        <v>67067.569999999949</v>
      </c>
      <c r="T779" s="825">
        <v>-32009</v>
      </c>
      <c r="U779" s="825">
        <f t="shared" ref="U779" si="523">M779-T779</f>
        <v>138314.96999999997</v>
      </c>
      <c r="V779" s="827">
        <f>STDEV(D$2:D779)*SQRT(252)</f>
        <v>0.14076648906391917</v>
      </c>
      <c r="W779" s="827">
        <f>STDEV(L$2:L779)*SQRT(252)</f>
        <v>0.25683810810658303</v>
      </c>
      <c r="X779" s="826">
        <f t="shared" ref="X779" si="524">E779/(A779/365.25)/V779</f>
        <v>0.56684885134551122</v>
      </c>
      <c r="Y779" s="826">
        <f t="shared" ref="Y779" si="525">O779/W779</f>
        <v>0.42275709687040186</v>
      </c>
      <c r="Z779" s="832">
        <f>-(E779-N779)</f>
        <v>9.3946277605702622E-2</v>
      </c>
    </row>
    <row r="780" spans="1:26" ht="20.100000000000001" customHeight="1" x14ac:dyDescent="0.2">
      <c r="A780" s="801">
        <f t="shared" ref="A780" si="526">B780-$B$2</f>
        <v>1194</v>
      </c>
      <c r="B780" s="820">
        <v>43427</v>
      </c>
      <c r="C780" s="845">
        <v>2632.56</v>
      </c>
      <c r="D780" s="817">
        <f t="shared" ref="D780" si="527">(C780-C779)/C779</f>
        <v>-6.5548901291731824E-3</v>
      </c>
      <c r="E780" s="844">
        <f t="shared" ref="E780" si="528">(C780-$C$2)/$C$2</f>
        <v>0.25214512661479038</v>
      </c>
      <c r="F780" s="841">
        <v>6938.98</v>
      </c>
      <c r="G780" s="817">
        <f t="shared" ref="G780" si="529">(F780-F779)/F779</f>
        <v>-4.7717738176342554E-3</v>
      </c>
      <c r="H780" s="822">
        <f t="shared" ref="H780" si="530">(F780-F$2)/F$2</f>
        <v>0.36280220751418973</v>
      </c>
      <c r="I780" s="866">
        <v>403083.15</v>
      </c>
      <c r="J780" s="825">
        <v>300000</v>
      </c>
      <c r="K780" s="825">
        <f t="shared" ref="K780" si="531">I780-I779-J780+J779</f>
        <v>-3222.8199999999488</v>
      </c>
      <c r="L780" s="817">
        <f t="shared" ref="L780" si="532">K780/I779</f>
        <v>-7.9320025743159737E-3</v>
      </c>
      <c r="M780" s="842">
        <f t="shared" ref="M780" si="533">I780-J780</f>
        <v>103083.15000000002</v>
      </c>
      <c r="N780" s="827">
        <f t="shared" ref="N780" si="534">M780/J780</f>
        <v>0.3436105000000001</v>
      </c>
      <c r="O780" s="811">
        <f t="shared" ref="O780" si="535">N780/(A780/365.25)</f>
        <v>0.10511200596733671</v>
      </c>
      <c r="P780" s="842" t="b">
        <f t="shared" ref="P780" si="536">L780&gt;D780</f>
        <v>0</v>
      </c>
      <c r="Q780" s="827">
        <f>COUNTIF(P$2:P780, TRUE)/(COUNTIF(P$2:P780,FALSE) + COUNTIF(P$2:P780, TRUE))</f>
        <v>0.496790757381258</v>
      </c>
      <c r="R780" s="869">
        <v>340042.77</v>
      </c>
      <c r="S780" s="871">
        <f t="shared" ref="S780" si="537">I780-R780</f>
        <v>63040.380000000005</v>
      </c>
      <c r="T780" s="825">
        <v>-32024</v>
      </c>
      <c r="U780" s="825">
        <f t="shared" ref="U780" si="538">M780-T780</f>
        <v>135107.15000000002</v>
      </c>
      <c r="V780" s="827">
        <f>STDEV(D$2:D780)*SQRT(252)</f>
        <v>0.14073055163912401</v>
      </c>
      <c r="W780" s="827">
        <f>STDEV(L$2:L780)*SQRT(252)</f>
        <v>0.25671882677048874</v>
      </c>
      <c r="X780" s="826">
        <f t="shared" ref="X780" si="539">E780/(A780/365.25)/V780</f>
        <v>0.5480852145318037</v>
      </c>
      <c r="Y780" s="826">
        <f t="shared" ref="Y780" si="540">O780/W780</f>
        <v>0.4094440882643513</v>
      </c>
      <c r="Z780" s="832">
        <f>-(E780-N780)</f>
        <v>9.1465373385209714E-2</v>
      </c>
    </row>
  </sheetData>
  <conditionalFormatting sqref="L781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80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80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80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G281" sqref="G281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8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8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8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8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8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8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16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16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16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16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16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16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16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16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16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16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16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16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</row>
    <row r="207" spans="1:16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</row>
    <row r="208" spans="1:16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</row>
    <row r="209" spans="1:16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</row>
    <row r="210" spans="1:16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</row>
    <row r="211" spans="1:16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</row>
    <row r="212" spans="1:16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</row>
    <row r="213" spans="1:16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</row>
    <row r="214" spans="1:16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</row>
    <row r="215" spans="1:16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</row>
    <row r="216" spans="1:16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</row>
    <row r="217" spans="1:16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</row>
    <row r="218" spans="1:16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</row>
    <row r="219" spans="1:16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</row>
    <row r="220" spans="1:16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</row>
    <row r="221" spans="1:16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</row>
    <row r="222" spans="1:16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</row>
    <row r="223" spans="1:16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</row>
    <row r="224" spans="1:16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</row>
    <row r="225" spans="1:16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</row>
    <row r="226" spans="1:16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</row>
    <row r="227" spans="1:16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</row>
    <row r="228" spans="1:16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</row>
    <row r="229" spans="1:16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</row>
    <row r="230" spans="1:16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</row>
    <row r="231" spans="1:16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</row>
    <row r="232" spans="1:16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</row>
    <row r="233" spans="1:16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</row>
    <row r="234" spans="1:16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</row>
    <row r="235" spans="1:16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</row>
    <row r="236" spans="1:16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</row>
    <row r="237" spans="1:16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</row>
    <row r="238" spans="1:16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</row>
    <row r="239" spans="1:16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</row>
    <row r="240" spans="1:16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364" t="s">
        <v>217</v>
      </c>
      <c r="R251" s="363"/>
      <c r="S251" s="344" t="s">
        <v>212</v>
      </c>
      <c r="T251" s="342"/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4"/>
      <c r="R252" s="363"/>
      <c r="S252" s="342">
        <v>2015</v>
      </c>
      <c r="T252" s="342">
        <v>1003.28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4"/>
      <c r="R253" s="363">
        <v>1.5</v>
      </c>
      <c r="S253" s="382">
        <v>42278</v>
      </c>
      <c r="T253" s="342">
        <v>0.19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4"/>
      <c r="R254" s="363"/>
      <c r="S254" s="382">
        <v>42309</v>
      </c>
      <c r="T254" s="342">
        <v>0.26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4"/>
      <c r="R255" s="363"/>
      <c r="S255" s="382">
        <v>42339</v>
      </c>
      <c r="T255" s="342">
        <v>0.23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42370</v>
      </c>
      <c r="T256" s="342">
        <v>0.08</v>
      </c>
    </row>
    <row r="257" spans="1:21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42401</v>
      </c>
      <c r="T257" s="342">
        <v>0.57999999999999996</v>
      </c>
    </row>
    <row r="258" spans="1:21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42430</v>
      </c>
      <c r="T258" s="342">
        <v>0.68</v>
      </c>
    </row>
    <row r="259" spans="1:21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42461</v>
      </c>
      <c r="T259" s="342">
        <v>0.37</v>
      </c>
    </row>
    <row r="260" spans="1:21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42491</v>
      </c>
      <c r="T260" s="342">
        <v>0.13</v>
      </c>
    </row>
    <row r="261" spans="1:21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42552</v>
      </c>
      <c r="T261" s="342">
        <v>0.64</v>
      </c>
    </row>
    <row r="262" spans="1:21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42580</v>
      </c>
      <c r="T262" s="342">
        <v>-0.66</v>
      </c>
      <c r="U262" s="24" t="s">
        <v>248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42582</v>
      </c>
      <c r="T263" s="342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>
        <v>42608</v>
      </c>
      <c r="T264" s="342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283"/>
      <c r="R265" s="363"/>
      <c r="S265" s="382">
        <v>42614</v>
      </c>
      <c r="T265" s="342">
        <v>0.23</v>
      </c>
    </row>
    <row r="266" spans="1:21" ht="18" customHeight="1" x14ac:dyDescent="0.25">
      <c r="M266" s="25" t="s">
        <v>151</v>
      </c>
      <c r="N266" s="435">
        <f>T310</f>
        <v>1174.8400000000004</v>
      </c>
      <c r="Q266" s="283"/>
      <c r="R266" s="363"/>
      <c r="S266" s="382">
        <v>42639</v>
      </c>
      <c r="T266" s="342">
        <v>0.56999999999999995</v>
      </c>
    </row>
    <row r="267" spans="1:21" ht="18" customHeight="1" x14ac:dyDescent="0.25">
      <c r="M267" s="25" t="s">
        <v>129</v>
      </c>
      <c r="N267" s="141">
        <f>SUM(ACTIVE!M:M)</f>
        <v>104222.00646666827</v>
      </c>
      <c r="Q267" s="283"/>
      <c r="R267" s="363"/>
      <c r="S267" s="382">
        <v>42644</v>
      </c>
      <c r="T267" s="342">
        <v>0.14000000000000001</v>
      </c>
    </row>
    <row r="268" spans="1:21" ht="18" customHeight="1" x14ac:dyDescent="0.25">
      <c r="Q268" s="283"/>
      <c r="R268" s="363"/>
      <c r="S268" s="382">
        <v>42674</v>
      </c>
      <c r="T268" s="342">
        <v>0.45</v>
      </c>
    </row>
    <row r="269" spans="1:21" ht="18" customHeight="1" x14ac:dyDescent="0.25">
      <c r="M269" s="25" t="s">
        <v>142</v>
      </c>
      <c r="N269" s="141">
        <f>SUM(N264:N267) -R310</f>
        <v>103083.16646666834</v>
      </c>
      <c r="Q269" s="283"/>
      <c r="R269" s="363"/>
      <c r="S269" s="382">
        <v>42704</v>
      </c>
      <c r="T269" s="342">
        <v>0.43</v>
      </c>
    </row>
    <row r="270" spans="1:21" ht="18" customHeight="1" x14ac:dyDescent="0.25">
      <c r="M270" s="25" t="s">
        <v>143</v>
      </c>
      <c r="N270" s="141">
        <f>Balance!AA2</f>
        <v>103083.15000000002</v>
      </c>
      <c r="Q270" s="283"/>
      <c r="R270" s="363"/>
      <c r="S270" s="382">
        <v>43099</v>
      </c>
      <c r="T270" s="342">
        <v>0.64</v>
      </c>
    </row>
    <row r="271" spans="1:21" ht="18" customHeight="1" x14ac:dyDescent="0.25">
      <c r="M271" s="25"/>
      <c r="N271" s="26"/>
      <c r="O271" s="274"/>
      <c r="Q271" s="283"/>
      <c r="R271" s="363"/>
      <c r="S271" s="382">
        <v>42760</v>
      </c>
      <c r="T271" s="342">
        <v>0.56999999999999995</v>
      </c>
    </row>
    <row r="272" spans="1:21" ht="18" customHeight="1" x14ac:dyDescent="0.25">
      <c r="Q272" s="283"/>
      <c r="R272" s="363"/>
      <c r="S272" s="382">
        <v>42767</v>
      </c>
      <c r="T272" s="342">
        <v>0.12</v>
      </c>
    </row>
    <row r="273" spans="13:20" ht="18" customHeight="1" x14ac:dyDescent="0.25">
      <c r="M273" s="25" t="s">
        <v>131</v>
      </c>
      <c r="N273" s="436">
        <f>N269-N271-N270</f>
        <v>1.6466668312205002E-2</v>
      </c>
      <c r="Q273" s="283"/>
      <c r="R273" s="363"/>
      <c r="S273" s="382">
        <v>42794</v>
      </c>
      <c r="T273" s="342">
        <v>0.28000000000000003</v>
      </c>
    </row>
    <row r="274" spans="13:20" ht="18" customHeight="1" x14ac:dyDescent="0.25">
      <c r="Q274" s="283"/>
      <c r="R274" s="363"/>
      <c r="S274" s="382">
        <v>42824</v>
      </c>
      <c r="T274" s="342">
        <v>0.81</v>
      </c>
    </row>
    <row r="275" spans="13:20" ht="18" customHeight="1" x14ac:dyDescent="0.25">
      <c r="Q275" s="283"/>
      <c r="R275" s="363"/>
      <c r="S275" s="382">
        <v>42851</v>
      </c>
      <c r="T275" s="342">
        <v>0.93</v>
      </c>
    </row>
    <row r="276" spans="13:20" ht="18" customHeight="1" x14ac:dyDescent="0.25">
      <c r="Q276" s="283"/>
      <c r="R276" s="363"/>
      <c r="S276" s="382">
        <v>42853</v>
      </c>
      <c r="T276" s="342">
        <v>7.0000000000000007E-2</v>
      </c>
    </row>
    <row r="277" spans="13:20" ht="18" customHeight="1" x14ac:dyDescent="0.25">
      <c r="Q277" s="283"/>
      <c r="R277" s="363"/>
      <c r="S277" s="382">
        <v>42877</v>
      </c>
      <c r="T277" s="342">
        <v>0.56000000000000005</v>
      </c>
    </row>
    <row r="278" spans="13:20" ht="18" customHeight="1" x14ac:dyDescent="0.25">
      <c r="Q278" s="283"/>
      <c r="R278" s="363"/>
      <c r="S278" s="382">
        <v>42887</v>
      </c>
      <c r="T278" s="342">
        <v>0.24</v>
      </c>
    </row>
    <row r="279" spans="13:20" ht="18" customHeight="1" x14ac:dyDescent="0.25">
      <c r="Q279" s="283"/>
      <c r="R279" s="363"/>
      <c r="S279" s="382">
        <v>42908</v>
      </c>
      <c r="T279" s="342">
        <v>0.42</v>
      </c>
    </row>
    <row r="280" spans="13:20" ht="18" customHeight="1" x14ac:dyDescent="0.25">
      <c r="Q280" s="283"/>
      <c r="R280" s="363"/>
      <c r="S280" s="382">
        <v>42916</v>
      </c>
      <c r="T280" s="342">
        <v>1.02</v>
      </c>
    </row>
    <row r="281" spans="13:20" ht="18" customHeight="1" x14ac:dyDescent="0.25">
      <c r="Q281" s="283"/>
      <c r="R281" s="363"/>
      <c r="S281" s="382">
        <v>42947</v>
      </c>
      <c r="T281" s="342">
        <v>7.97</v>
      </c>
    </row>
    <row r="282" spans="13:20" ht="18" customHeight="1" x14ac:dyDescent="0.25">
      <c r="Q282" s="283"/>
      <c r="R282" s="363"/>
      <c r="S282" s="382">
        <v>42965</v>
      </c>
      <c r="T282" s="342">
        <v>3.88</v>
      </c>
    </row>
    <row r="283" spans="13:20" ht="18" customHeight="1" x14ac:dyDescent="0.25">
      <c r="Q283" s="283"/>
      <c r="R283" s="363"/>
      <c r="S283" s="382">
        <v>42978</v>
      </c>
      <c r="T283" s="342">
        <v>2.72</v>
      </c>
    </row>
    <row r="284" spans="13:20" ht="18" customHeight="1" x14ac:dyDescent="0.25">
      <c r="Q284" s="283"/>
      <c r="R284" s="363"/>
      <c r="S284" s="382">
        <v>43007</v>
      </c>
      <c r="T284" s="342">
        <v>7.89</v>
      </c>
    </row>
    <row r="285" spans="13:20" ht="18" customHeight="1" x14ac:dyDescent="0.25">
      <c r="Q285" s="283"/>
      <c r="R285" s="363"/>
      <c r="S285" s="382">
        <v>43035</v>
      </c>
      <c r="T285" s="342">
        <v>10.63</v>
      </c>
    </row>
    <row r="286" spans="13:20" ht="18" customHeight="1" x14ac:dyDescent="0.25">
      <c r="Q286" s="283"/>
      <c r="R286" s="363"/>
      <c r="S286" s="382">
        <v>43039</v>
      </c>
      <c r="T286" s="342">
        <v>0.96</v>
      </c>
    </row>
    <row r="287" spans="13:20" ht="18" customHeight="1" x14ac:dyDescent="0.25">
      <c r="Q287" s="283"/>
      <c r="R287" s="363"/>
      <c r="S287" s="382">
        <v>11628</v>
      </c>
      <c r="T287" s="342">
        <v>5.66</v>
      </c>
    </row>
    <row r="288" spans="13:20" ht="18" customHeight="1" x14ac:dyDescent="0.25">
      <c r="Q288" s="283"/>
      <c r="R288" s="363"/>
      <c r="S288" s="382">
        <v>43098</v>
      </c>
      <c r="T288" s="342">
        <v>9.77</v>
      </c>
    </row>
    <row r="289" spans="1:20" ht="18" customHeight="1" x14ac:dyDescent="0.25">
      <c r="Q289" s="283"/>
      <c r="R289" s="363"/>
      <c r="S289" s="382">
        <v>43132</v>
      </c>
      <c r="T289" s="342">
        <v>16.059999999999999</v>
      </c>
    </row>
    <row r="290" spans="1:20" ht="18" customHeight="1" x14ac:dyDescent="0.25">
      <c r="Q290" s="283"/>
      <c r="R290" s="363"/>
      <c r="S290" s="382">
        <v>43139</v>
      </c>
      <c r="T290" s="342">
        <v>4.05</v>
      </c>
    </row>
    <row r="291" spans="1:20" ht="18" customHeight="1" x14ac:dyDescent="0.25">
      <c r="Q291" s="283"/>
      <c r="R291" s="363"/>
      <c r="S291" s="382">
        <v>43149</v>
      </c>
      <c r="T291" s="342">
        <v>10.16</v>
      </c>
    </row>
    <row r="292" spans="1:20" ht="18" customHeight="1" x14ac:dyDescent="0.25">
      <c r="Q292" s="283"/>
      <c r="R292" s="363"/>
      <c r="S292" s="382">
        <v>43171</v>
      </c>
      <c r="T292" s="342">
        <v>4.3600000000000003</v>
      </c>
    </row>
    <row r="293" spans="1:20" ht="18" customHeight="1" x14ac:dyDescent="0.25">
      <c r="Q293" s="283"/>
      <c r="R293" s="363"/>
      <c r="S293" s="382">
        <v>43191</v>
      </c>
      <c r="T293" s="342">
        <v>2.91</v>
      </c>
    </row>
    <row r="294" spans="1:20" ht="18" customHeight="1" x14ac:dyDescent="0.25">
      <c r="Q294" s="283"/>
      <c r="R294" s="363"/>
      <c r="S294" s="382">
        <v>43220</v>
      </c>
      <c r="T294" s="342">
        <v>6.24</v>
      </c>
    </row>
    <row r="295" spans="1:20" ht="18" customHeight="1" x14ac:dyDescent="0.25">
      <c r="Q295" s="283"/>
      <c r="R295" s="363"/>
      <c r="S295" s="382">
        <v>43252</v>
      </c>
      <c r="T295" s="342">
        <v>11.14</v>
      </c>
    </row>
    <row r="296" spans="1:20" ht="18" customHeight="1" x14ac:dyDescent="0.25">
      <c r="A296" s="412"/>
      <c r="Q296" s="283"/>
      <c r="R296" s="363"/>
      <c r="S296" s="382">
        <v>43281</v>
      </c>
      <c r="T296" s="342">
        <v>7.58</v>
      </c>
    </row>
    <row r="297" spans="1:20" ht="18" customHeight="1" x14ac:dyDescent="0.25">
      <c r="A297" s="413"/>
      <c r="Q297" s="283"/>
      <c r="R297" s="363"/>
      <c r="S297" s="382">
        <v>43305</v>
      </c>
      <c r="T297" s="342">
        <v>12.01</v>
      </c>
    </row>
    <row r="298" spans="1:20" ht="18" customHeight="1" x14ac:dyDescent="0.25">
      <c r="A298" s="413"/>
      <c r="Q298" s="283"/>
      <c r="R298" s="363"/>
      <c r="S298" s="382">
        <v>43312</v>
      </c>
      <c r="T298" s="342">
        <v>3.04</v>
      </c>
    </row>
    <row r="299" spans="1:20" ht="18" customHeight="1" x14ac:dyDescent="0.25">
      <c r="A299" s="412"/>
      <c r="Q299" s="283"/>
      <c r="R299" s="363"/>
      <c r="S299" s="382">
        <v>43340</v>
      </c>
      <c r="T299" s="342">
        <v>9.67</v>
      </c>
    </row>
    <row r="300" spans="1:20" ht="18" customHeight="1" x14ac:dyDescent="0.25">
      <c r="A300" s="413"/>
      <c r="Q300" s="283"/>
      <c r="R300" s="363"/>
      <c r="S300" s="382">
        <v>43343</v>
      </c>
      <c r="T300" s="342">
        <v>1.9</v>
      </c>
    </row>
    <row r="301" spans="1:20" ht="18" customHeight="1" x14ac:dyDescent="0.25">
      <c r="A301" s="413"/>
      <c r="Q301" s="283"/>
      <c r="R301" s="363"/>
      <c r="S301" s="382">
        <v>43371</v>
      </c>
      <c r="T301" s="342">
        <v>11.84</v>
      </c>
    </row>
    <row r="302" spans="1:20" ht="18" customHeight="1" x14ac:dyDescent="0.25">
      <c r="A302" s="412"/>
      <c r="Q302" s="283"/>
      <c r="R302" s="363"/>
      <c r="S302" s="382">
        <v>43399</v>
      </c>
      <c r="T302" s="342">
        <v>9.8699999999999992</v>
      </c>
    </row>
    <row r="303" spans="1:20" ht="18" customHeight="1" x14ac:dyDescent="0.25">
      <c r="A303" s="413"/>
      <c r="Q303" s="283"/>
      <c r="R303" s="363"/>
      <c r="S303" s="382">
        <v>43404</v>
      </c>
      <c r="T303" s="342">
        <v>0.56999999999999995</v>
      </c>
    </row>
    <row r="304" spans="1:20" ht="18" customHeight="1" x14ac:dyDescent="0.25">
      <c r="A304" s="413"/>
      <c r="Q304" s="283"/>
      <c r="R304" s="363"/>
      <c r="S304" s="382"/>
      <c r="T304" s="342"/>
    </row>
    <row r="305" spans="1:20" ht="18" customHeight="1" x14ac:dyDescent="0.25">
      <c r="A305" s="413"/>
      <c r="Q305" s="283"/>
      <c r="R305" s="363"/>
      <c r="S305" s="382"/>
      <c r="T305" s="342"/>
    </row>
    <row r="306" spans="1:20" ht="18" customHeight="1" x14ac:dyDescent="0.25">
      <c r="Q306" s="283"/>
      <c r="R306" s="363"/>
      <c r="S306" s="382"/>
      <c r="T306" s="342"/>
    </row>
    <row r="307" spans="1:20" ht="18" customHeight="1" x14ac:dyDescent="0.25">
      <c r="Q307" s="283"/>
      <c r="R307" s="363"/>
      <c r="S307" s="382"/>
      <c r="T307" s="342"/>
    </row>
    <row r="308" spans="1:20" ht="18" customHeight="1" x14ac:dyDescent="0.25">
      <c r="Q308" s="283"/>
      <c r="R308" s="363"/>
      <c r="S308" s="382"/>
      <c r="T308" s="342"/>
    </row>
    <row r="309" spans="1:20" ht="18" customHeight="1" x14ac:dyDescent="0.25">
      <c r="Q309" s="283"/>
      <c r="R309" s="363"/>
      <c r="S309" s="382"/>
      <c r="T309" s="342"/>
    </row>
    <row r="310" spans="1:20" ht="18" customHeight="1" x14ac:dyDescent="0.25">
      <c r="Q310" s="283" t="s">
        <v>81</v>
      </c>
      <c r="R310" s="363">
        <f>SUM(R252:R271)</f>
        <v>1.5</v>
      </c>
      <c r="S310" s="343" t="s">
        <v>81</v>
      </c>
      <c r="T310" s="342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3180" priority="7">
      <formula>#REF!&gt;0</formula>
    </cfRule>
    <cfRule type="expression" dxfId="317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9" t="s">
        <v>78</v>
      </c>
      <c r="P42" s="879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178" priority="58">
      <formula>F19&gt;0</formula>
    </cfRule>
    <cfRule type="expression" dxfId="317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176" priority="47">
      <formula>H25&gt;0</formula>
    </cfRule>
    <cfRule type="expression" dxfId="3175" priority="48">
      <formula>H25&lt;0</formula>
    </cfRule>
  </conditionalFormatting>
  <conditionalFormatting sqref="M39">
    <cfRule type="expression" dxfId="3174" priority="45">
      <formula>M39&gt;0</formula>
    </cfRule>
    <cfRule type="expression" dxfId="3173" priority="46">
      <formula>M39&lt;0</formula>
    </cfRule>
  </conditionalFormatting>
  <conditionalFormatting sqref="F61:F67">
    <cfRule type="expression" dxfId="3172" priority="43">
      <formula>F61&gt;0</formula>
    </cfRule>
    <cfRule type="expression" dxfId="3171" priority="44">
      <formula>F61&lt;0</formula>
    </cfRule>
  </conditionalFormatting>
  <conditionalFormatting sqref="H61:H67">
    <cfRule type="expression" dxfId="3170" priority="41">
      <formula>H61&gt;0</formula>
    </cfRule>
    <cfRule type="expression" dxfId="3169" priority="42">
      <formula>H61&lt;0</formula>
    </cfRule>
  </conditionalFormatting>
  <conditionalFormatting sqref="F21:F24">
    <cfRule type="expression" dxfId="3168" priority="39">
      <formula>F21&gt;0</formula>
    </cfRule>
    <cfRule type="expression" dxfId="3167" priority="40">
      <formula>F21&lt;0</formula>
    </cfRule>
  </conditionalFormatting>
  <conditionalFormatting sqref="H21:H24">
    <cfRule type="expression" dxfId="3166" priority="37">
      <formula>H21&gt;0</formula>
    </cfRule>
    <cfRule type="expression" dxfId="3165" priority="38">
      <formula>H21&lt;0</formula>
    </cfRule>
  </conditionalFormatting>
  <conditionalFormatting sqref="I25:I28">
    <cfRule type="expression" dxfId="3164" priority="31">
      <formula>I25&gt;0</formula>
    </cfRule>
    <cfRule type="expression" dxfId="3163" priority="32">
      <formula>I25&lt;0</formula>
    </cfRule>
  </conditionalFormatting>
  <conditionalFormatting sqref="I21:I24">
    <cfRule type="expression" dxfId="3162" priority="29">
      <formula>I21&gt;0</formula>
    </cfRule>
    <cfRule type="expression" dxfId="3161" priority="30">
      <formula>I21&lt;0</formula>
    </cfRule>
  </conditionalFormatting>
  <conditionalFormatting sqref="H29">
    <cfRule type="expression" dxfId="3160" priority="27">
      <formula>H29&gt;0</formula>
    </cfRule>
    <cfRule type="expression" dxfId="3159" priority="28">
      <formula>H29&lt;0</formula>
    </cfRule>
  </conditionalFormatting>
  <conditionalFormatting sqref="H30">
    <cfRule type="expression" dxfId="3158" priority="25">
      <formula>H30&gt;0</formula>
    </cfRule>
    <cfRule type="expression" dxfId="3157" priority="26">
      <formula>H30&lt;0</formula>
    </cfRule>
  </conditionalFormatting>
  <conditionalFormatting sqref="H31">
    <cfRule type="expression" dxfId="3156" priority="23">
      <formula>H31&gt;0</formula>
    </cfRule>
    <cfRule type="expression" dxfId="3155" priority="24">
      <formula>H31&lt;0</formula>
    </cfRule>
  </conditionalFormatting>
  <conditionalFormatting sqref="Q7">
    <cfRule type="expression" dxfId="3154" priority="21">
      <formula>Q7&gt;0</formula>
    </cfRule>
    <cfRule type="expression" dxfId="3153" priority="22">
      <formula>Q7&lt;0</formula>
    </cfRule>
  </conditionalFormatting>
  <conditionalFormatting sqref="Q8">
    <cfRule type="expression" dxfId="3152" priority="19">
      <formula>Q8&gt;0</formula>
    </cfRule>
    <cfRule type="expression" dxfId="3151" priority="20">
      <formula>Q8&lt;0</formula>
    </cfRule>
  </conditionalFormatting>
  <conditionalFormatting sqref="F73:F82">
    <cfRule type="expression" dxfId="3150" priority="17">
      <formula>F73&gt;0</formula>
    </cfRule>
    <cfRule type="expression" dxfId="3149" priority="18">
      <formula>F73&lt;0</formula>
    </cfRule>
  </conditionalFormatting>
  <conditionalFormatting sqref="H73:H76">
    <cfRule type="expression" dxfId="3148" priority="15">
      <formula>H73&gt;0</formula>
    </cfRule>
    <cfRule type="expression" dxfId="3147" priority="16">
      <formula>H73&lt;0</formula>
    </cfRule>
  </conditionalFormatting>
  <conditionalFormatting sqref="F69:F72">
    <cfRule type="expression" dxfId="3146" priority="13">
      <formula>F69&gt;0</formula>
    </cfRule>
    <cfRule type="expression" dxfId="3145" priority="14">
      <formula>F69&lt;0</formula>
    </cfRule>
  </conditionalFormatting>
  <conditionalFormatting sqref="H69:H72">
    <cfRule type="expression" dxfId="3144" priority="11">
      <formula>H69&gt;0</formula>
    </cfRule>
    <cfRule type="expression" dxfId="3143" priority="12">
      <formula>H69&lt;0</formula>
    </cfRule>
  </conditionalFormatting>
  <conditionalFormatting sqref="I73:I76">
    <cfRule type="expression" dxfId="3142" priority="9">
      <formula>I73&gt;0</formula>
    </cfRule>
    <cfRule type="expression" dxfId="3141" priority="10">
      <formula>I73&lt;0</formula>
    </cfRule>
  </conditionalFormatting>
  <conditionalFormatting sqref="I69:I72">
    <cfRule type="expression" dxfId="3140" priority="7">
      <formula>I69&gt;0</formula>
    </cfRule>
    <cfRule type="expression" dxfId="3139" priority="8">
      <formula>I69&lt;0</formula>
    </cfRule>
  </conditionalFormatting>
  <conditionalFormatting sqref="H77">
    <cfRule type="expression" dxfId="3138" priority="5">
      <formula>H77&gt;0</formula>
    </cfRule>
    <cfRule type="expression" dxfId="3137" priority="6">
      <formula>H77&lt;0</formula>
    </cfRule>
  </conditionalFormatting>
  <conditionalFormatting sqref="H78">
    <cfRule type="expression" dxfId="3136" priority="3">
      <formula>H78&gt;0</formula>
    </cfRule>
    <cfRule type="expression" dxfId="3135" priority="4">
      <formula>H78&lt;0</formula>
    </cfRule>
  </conditionalFormatting>
  <conditionalFormatting sqref="H79">
    <cfRule type="expression" dxfId="3134" priority="1">
      <formula>H79&gt;0</formula>
    </cfRule>
    <cfRule type="expression" dxfId="313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132" priority="29">
      <formula>N19&gt;0</formula>
    </cfRule>
    <cfRule type="expression" dxfId="313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130" priority="23">
      <formula>F22&gt;0</formula>
    </cfRule>
    <cfRule type="expression" dxfId="3129" priority="24">
      <formula>F22&lt;0</formula>
    </cfRule>
  </conditionalFormatting>
  <conditionalFormatting sqref="H22:H31">
    <cfRule type="expression" dxfId="3128" priority="21">
      <formula>H22&gt;0</formula>
    </cfRule>
    <cfRule type="expression" dxfId="3127" priority="22">
      <formula>H22&lt;0</formula>
    </cfRule>
  </conditionalFormatting>
  <conditionalFormatting sqref="I21:J31">
    <cfRule type="expression" dxfId="3126" priority="19">
      <formula>I21&gt;0</formula>
    </cfRule>
    <cfRule type="expression" dxfId="3125" priority="20">
      <formula>I21&lt;0</formula>
    </cfRule>
  </conditionalFormatting>
  <conditionalFormatting sqref="Q8">
    <cfRule type="expression" dxfId="3124" priority="11">
      <formula>Q8&gt;0</formula>
    </cfRule>
    <cfRule type="expression" dxfId="3123" priority="12">
      <formula>Q8&lt;0</formula>
    </cfRule>
  </conditionalFormatting>
  <conditionalFormatting sqref="Q7">
    <cfRule type="expression" dxfId="3122" priority="13">
      <formula>Q7&gt;0</formula>
    </cfRule>
    <cfRule type="expression" dxfId="3121" priority="14">
      <formula>Q7&lt;0</formula>
    </cfRule>
  </conditionalFormatting>
  <conditionalFormatting sqref="F56:F66">
    <cfRule type="expression" dxfId="3120" priority="9">
      <formula>F56&gt;0</formula>
    </cfRule>
    <cfRule type="expression" dxfId="3119" priority="10">
      <formula>F56&lt;0</formula>
    </cfRule>
  </conditionalFormatting>
  <conditionalFormatting sqref="H56:H66">
    <cfRule type="expression" dxfId="3118" priority="7">
      <formula>H56&gt;0</formula>
    </cfRule>
    <cfRule type="expression" dxfId="3117" priority="8">
      <formula>H56&lt;0</formula>
    </cfRule>
  </conditionalFormatting>
  <conditionalFormatting sqref="I56:I66">
    <cfRule type="expression" dxfId="3116" priority="5">
      <formula>I56&gt;0</formula>
    </cfRule>
    <cfRule type="expression" dxfId="3115" priority="6">
      <formula>I56&lt;0</formula>
    </cfRule>
  </conditionalFormatting>
  <conditionalFormatting sqref="F21">
    <cfRule type="expression" dxfId="3114" priority="3">
      <formula>F21&gt;0</formula>
    </cfRule>
    <cfRule type="expression" dxfId="3113" priority="4">
      <formula>F21&lt;0</formula>
    </cfRule>
  </conditionalFormatting>
  <conditionalFormatting sqref="H21">
    <cfRule type="expression" dxfId="3112" priority="1">
      <formula>H21&gt;0</formula>
    </cfRule>
    <cfRule type="expression" dxfId="311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110" priority="64">
      <formula>N23&gt;0</formula>
    </cfRule>
    <cfRule type="expression" dxfId="310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108" priority="58">
      <formula>F79&gt;0</formula>
    </cfRule>
    <cfRule type="expression" dxfId="3107" priority="59">
      <formula>F79&lt;0</formula>
    </cfRule>
  </conditionalFormatting>
  <conditionalFormatting sqref="H79:H97 H101:H118">
    <cfRule type="expression" dxfId="3106" priority="56">
      <formula>H79&gt;0</formula>
    </cfRule>
    <cfRule type="expression" dxfId="3105" priority="57">
      <formula>H79&lt;0</formula>
    </cfRule>
  </conditionalFormatting>
  <conditionalFormatting sqref="I75:I97 I100:I118">
    <cfRule type="expression" dxfId="3104" priority="54">
      <formula>I75&gt;0</formula>
    </cfRule>
    <cfRule type="expression" dxfId="3103" priority="55">
      <formula>I75&lt;0</formula>
    </cfRule>
  </conditionalFormatting>
  <conditionalFormatting sqref="Q7">
    <cfRule type="expression" dxfId="3102" priority="52">
      <formula>Q7&gt;0</formula>
    </cfRule>
    <cfRule type="expression" dxfId="3101" priority="53">
      <formula>Q7&lt;0</formula>
    </cfRule>
  </conditionalFormatting>
  <conditionalFormatting sqref="Q8">
    <cfRule type="expression" dxfId="3100" priority="50">
      <formula>Q8&gt;0</formula>
    </cfRule>
    <cfRule type="expression" dxfId="3099" priority="51">
      <formula>Q8&lt;0</formula>
    </cfRule>
  </conditionalFormatting>
  <conditionalFormatting sqref="F75:F78">
    <cfRule type="expression" dxfId="3098" priority="48">
      <formula>F75&gt;0</formula>
    </cfRule>
    <cfRule type="expression" dxfId="3097" priority="49">
      <formula>F75&lt;0</formula>
    </cfRule>
  </conditionalFormatting>
  <conditionalFormatting sqref="H75:H78">
    <cfRule type="expression" dxfId="3096" priority="46">
      <formula>H75&gt;0</formula>
    </cfRule>
    <cfRule type="expression" dxfId="3095" priority="47">
      <formula>H75&lt;0</formula>
    </cfRule>
  </conditionalFormatting>
  <conditionalFormatting sqref="F100:F114">
    <cfRule type="expression" dxfId="3094" priority="40">
      <formula>F100&gt;0</formula>
    </cfRule>
    <cfRule type="expression" dxfId="3093" priority="41">
      <formula>F100&lt;0</formula>
    </cfRule>
  </conditionalFormatting>
  <conditionalFormatting sqref="H100:H114">
    <cfRule type="expression" dxfId="3092" priority="38">
      <formula>H100&gt;0</formula>
    </cfRule>
    <cfRule type="expression" dxfId="3091" priority="39">
      <formula>H100&lt;0</formula>
    </cfRule>
  </conditionalFormatting>
  <conditionalFormatting sqref="F29:F67">
    <cfRule type="expression" dxfId="3090" priority="36">
      <formula>F29&gt;0</formula>
    </cfRule>
    <cfRule type="expression" dxfId="3089" priority="37">
      <formula>F29&lt;0</formula>
    </cfRule>
  </conditionalFormatting>
  <conditionalFormatting sqref="H29:H63">
    <cfRule type="expression" dxfId="3088" priority="34">
      <formula>H29&gt;0</formula>
    </cfRule>
    <cfRule type="expression" dxfId="3087" priority="35">
      <formula>H29&lt;0</formula>
    </cfRule>
  </conditionalFormatting>
  <conditionalFormatting sqref="J38:J68">
    <cfRule type="expression" dxfId="3086" priority="32">
      <formula>J38&gt;0</formula>
    </cfRule>
    <cfRule type="expression" dxfId="3085" priority="33">
      <formula>J38&lt;0</formula>
    </cfRule>
  </conditionalFormatting>
  <conditionalFormatting sqref="J43">
    <cfRule type="expression" dxfId="3084" priority="30">
      <formula>J43&gt;0</formula>
    </cfRule>
    <cfRule type="expression" dxfId="3083" priority="31">
      <formula>J43&lt;0</formula>
    </cfRule>
  </conditionalFormatting>
  <conditionalFormatting sqref="Q9">
    <cfRule type="expression" dxfId="3082" priority="24">
      <formula>Q9&gt;0</formula>
    </cfRule>
    <cfRule type="expression" dxfId="3081" priority="25">
      <formula>Q9&lt;0</formula>
    </cfRule>
  </conditionalFormatting>
  <conditionalFormatting sqref="R4">
    <cfRule type="expression" dxfId="3080" priority="26">
      <formula>R4&gt;0</formula>
    </cfRule>
    <cfRule type="expression" dxfId="307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078" priority="21">
      <formula>F120&gt;0</formula>
    </cfRule>
    <cfRule type="expression" dxfId="3077" priority="22">
      <formula>F120&lt;0</formula>
    </cfRule>
  </conditionalFormatting>
  <conditionalFormatting sqref="H120:H160">
    <cfRule type="expression" dxfId="3076" priority="19">
      <formula>H120&gt;0</formula>
    </cfRule>
    <cfRule type="expression" dxfId="3075" priority="20">
      <formula>H120&lt;0</formula>
    </cfRule>
  </conditionalFormatting>
  <conditionalFormatting sqref="J129:J160">
    <cfRule type="expression" dxfId="3074" priority="17">
      <formula>J129&gt;0</formula>
    </cfRule>
    <cfRule type="expression" dxfId="3073" priority="18">
      <formula>J129&lt;0</formula>
    </cfRule>
  </conditionalFormatting>
  <conditionalFormatting sqref="J134">
    <cfRule type="expression" dxfId="3072" priority="15">
      <formula>J134&gt;0</formula>
    </cfRule>
    <cfRule type="expression" dxfId="3071" priority="16">
      <formula>J134&lt;0</formula>
    </cfRule>
  </conditionalFormatting>
  <conditionalFormatting sqref="J31:J40">
    <cfRule type="expression" dxfId="3070" priority="13">
      <formula>J31&gt;0</formula>
    </cfRule>
    <cfRule type="expression" dxfId="3069" priority="14">
      <formula>J31&lt;0</formula>
    </cfRule>
  </conditionalFormatting>
  <conditionalFormatting sqref="J36:J37">
    <cfRule type="expression" dxfId="3068" priority="11">
      <formula>J36&gt;0</formula>
    </cfRule>
    <cfRule type="expression" dxfId="3067" priority="12">
      <formula>J36&lt;0</formula>
    </cfRule>
  </conditionalFormatting>
  <conditionalFormatting sqref="Q10">
    <cfRule type="expression" dxfId="3066" priority="9">
      <formula>Q10&gt;0</formula>
    </cfRule>
    <cfRule type="expression" dxfId="3065" priority="10">
      <formula>Q10&lt;0</formula>
    </cfRule>
  </conditionalFormatting>
  <conditionalFormatting sqref="K38:K55 K57:K68">
    <cfRule type="expression" dxfId="3064" priority="7">
      <formula>K38&gt;0</formula>
    </cfRule>
    <cfRule type="expression" dxfId="3063" priority="8">
      <formula>K38&lt;0</formula>
    </cfRule>
  </conditionalFormatting>
  <conditionalFormatting sqref="K43">
    <cfRule type="expression" dxfId="3062" priority="5">
      <formula>K43&gt;0</formula>
    </cfRule>
    <cfRule type="expression" dxfId="3061" priority="6">
      <formula>K43&lt;0</formula>
    </cfRule>
  </conditionalFormatting>
  <conditionalFormatting sqref="K31:K40">
    <cfRule type="expression" dxfId="3060" priority="3">
      <formula>K31&gt;0</formula>
    </cfRule>
    <cfRule type="expression" dxfId="3059" priority="4">
      <formula>K31&lt;0</formula>
    </cfRule>
  </conditionalFormatting>
  <conditionalFormatting sqref="K36:K37">
    <cfRule type="expression" dxfId="3058" priority="1">
      <formula>K36&gt;0</formula>
    </cfRule>
    <cfRule type="expression" dxfId="305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178">
        <f>IF(Q2=0, Q4, (F18-K18-M18)/Q2)</f>
        <v>70.023600000000002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87.66</v>
      </c>
      <c r="R4" s="425">
        <v>2.5999999999999999E-3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4383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881.81999999999971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881.81999999999971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0.25186365739550653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1.7339721651836643E-2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13.506933744221879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0</v>
      </c>
    </row>
    <row r="22" spans="1:17" ht="20.25" thickBot="1" x14ac:dyDescent="0.35">
      <c r="O22" s="770" t="s">
        <v>78</v>
      </c>
      <c r="P22" s="770"/>
    </row>
    <row r="23" spans="1:17" ht="15.75" thickTop="1" x14ac:dyDescent="0.25">
      <c r="O23" s="81">
        <v>1.1000000000000001</v>
      </c>
      <c r="P23" s="81">
        <f>O23*$Q$4</f>
        <v>96.426000000000002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95.549400000000006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94.672800000000009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93.796199999999999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92.919600000000003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92.043000000000006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1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91.166399999999996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90.2898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89.413200000000003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88.536599999999993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1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87.66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86.7834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1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85.90679999999999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85.030199999999994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1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84.153599999999997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83.276999999999987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82.400399999999991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81.523799999999994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80.647199999999998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79.770600000000002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78.894000000000005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56" priority="31">
      <formula>F47&gt;0</formula>
    </cfRule>
    <cfRule type="expression" dxfId="3055" priority="32">
      <formula>F47&lt;0</formula>
    </cfRule>
  </conditionalFormatting>
  <conditionalFormatting sqref="Q7">
    <cfRule type="expression" dxfId="3054" priority="29">
      <formula>Q7&gt;0</formula>
    </cfRule>
    <cfRule type="expression" dxfId="3053" priority="30">
      <formula>Q7&lt;0</formula>
    </cfRule>
  </conditionalFormatting>
  <conditionalFormatting sqref="Q8">
    <cfRule type="expression" dxfId="3052" priority="27">
      <formula>Q8&gt;0</formula>
    </cfRule>
    <cfRule type="expression" dxfId="3051" priority="28">
      <formula>Q8&lt;0</formula>
    </cfRule>
  </conditionalFormatting>
  <conditionalFormatting sqref="F33:F46">
    <cfRule type="expression" dxfId="3050" priority="25">
      <formula>F33&gt;0</formula>
    </cfRule>
    <cfRule type="expression" dxfId="3049" priority="26">
      <formula>F33&lt;0</formula>
    </cfRule>
  </conditionalFormatting>
  <conditionalFormatting sqref="H33:H46">
    <cfRule type="expression" dxfId="3048" priority="23">
      <formula>H33&gt;0</formula>
    </cfRule>
    <cfRule type="expression" dxfId="3047" priority="24">
      <formula>H33&lt;0</formula>
    </cfRule>
  </conditionalFormatting>
  <conditionalFormatting sqref="Q10">
    <cfRule type="expression" dxfId="3046" priority="21">
      <formula>Q10&gt;0</formula>
    </cfRule>
    <cfRule type="expression" dxfId="3045" priority="22">
      <formula>Q10&lt;0</formula>
    </cfRule>
  </conditionalFormatting>
  <conditionalFormatting sqref="J25:J38">
    <cfRule type="expression" dxfId="3044" priority="19">
      <formula>J25&gt;0</formula>
    </cfRule>
    <cfRule type="expression" dxfId="3043" priority="20">
      <formula>J25&lt;0</formula>
    </cfRule>
  </conditionalFormatting>
  <conditionalFormatting sqref="K38">
    <cfRule type="expression" dxfId="3042" priority="17">
      <formula>K38&gt;0</formula>
    </cfRule>
    <cfRule type="expression" dxfId="3041" priority="18">
      <formula>K38&lt;0</formula>
    </cfRule>
  </conditionalFormatting>
  <conditionalFormatting sqref="L25:L38">
    <cfRule type="expression" dxfId="3040" priority="15">
      <formula>L25&gt;0</formula>
    </cfRule>
    <cfRule type="expression" dxfId="3039" priority="16">
      <formula>L25&lt;0</formula>
    </cfRule>
  </conditionalFormatting>
  <conditionalFormatting sqref="F89:F110">
    <cfRule type="expression" dxfId="3038" priority="13">
      <formula>F89&gt;0</formula>
    </cfRule>
    <cfRule type="expression" dxfId="3037" priority="14">
      <formula>F89&lt;0</formula>
    </cfRule>
  </conditionalFormatting>
  <conditionalFormatting sqref="H89:H110">
    <cfRule type="expression" dxfId="3036" priority="11">
      <formula>H89&gt;0</formula>
    </cfRule>
    <cfRule type="expression" dxfId="3035" priority="12">
      <formula>H89&lt;0</formula>
    </cfRule>
  </conditionalFormatting>
  <conditionalFormatting sqref="J89:J102">
    <cfRule type="expression" dxfId="3034" priority="9">
      <formula>J89&gt;0</formula>
    </cfRule>
    <cfRule type="expression" dxfId="3033" priority="10">
      <formula>J89&lt;0</formula>
    </cfRule>
  </conditionalFormatting>
  <conditionalFormatting sqref="K89:K102">
    <cfRule type="expression" dxfId="3032" priority="7">
      <formula>K89&gt;0</formula>
    </cfRule>
    <cfRule type="expression" dxfId="3031" priority="8">
      <formula>K89&lt;0</formula>
    </cfRule>
  </conditionalFormatting>
  <conditionalFormatting sqref="L89:L102">
    <cfRule type="expression" dxfId="3030" priority="5">
      <formula>L89&gt;0</formula>
    </cfRule>
    <cfRule type="expression" dxfId="3029" priority="6">
      <formula>L89&lt;0</formula>
    </cfRule>
  </conditionalFormatting>
  <conditionalFormatting sqref="F25:F32">
    <cfRule type="expression" dxfId="3028" priority="3">
      <formula>F25&gt;0</formula>
    </cfRule>
    <cfRule type="expression" dxfId="3027" priority="4">
      <formula>F25&lt;0</formula>
    </cfRule>
  </conditionalFormatting>
  <conditionalFormatting sqref="H25:H32">
    <cfRule type="expression" dxfId="3026" priority="1">
      <formula>H25&gt;0</formula>
    </cfRule>
    <cfRule type="expression" dxfId="302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2593.9666666666667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2485.8398000000002</v>
      </c>
      <c r="R4" s="425">
        <v>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14915.038800000002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-648.76119999999719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-648.76119999999719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-4.1683984631002535E-2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12.813607216494846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2734.4237800000005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2709.5653820000002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4" si="1">C25*(E25-D25)</f>
        <v>84</v>
      </c>
      <c r="G25" s="39">
        <f t="shared" ref="G25:G34" si="2">D25*C25</f>
        <v>5736</v>
      </c>
      <c r="H25" s="179">
        <f t="shared" ref="H25:H3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2684.7069840000004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2659.8485860000005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2634.9901880000002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2610.1317900000004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2585.2733920000005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2560.4149940000002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2535.5565960000004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2510.698198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2485.8398000000002</v>
      </c>
      <c r="Q33" s="2"/>
    </row>
    <row r="34" spans="1:17" x14ac:dyDescent="0.25">
      <c r="B34" s="164">
        <v>43420</v>
      </c>
      <c r="C34" s="10">
        <v>6</v>
      </c>
      <c r="D34" s="39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2460.9814020000003</v>
      </c>
      <c r="Q34" s="2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2436.123004</v>
      </c>
      <c r="Q35" s="2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2411.2646060000002</v>
      </c>
    </row>
    <row r="37" spans="1:17" x14ac:dyDescent="0.25">
      <c r="A37" s="33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2386.4062079999999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2361.54781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2336.6894120000002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2311.8310140000003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2286.9726160000005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2262.1142180000002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2237.2558200000003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4" priority="31">
      <formula>F47&gt;0</formula>
    </cfRule>
    <cfRule type="expression" dxfId="3023" priority="32">
      <formula>F47&lt;0</formula>
    </cfRule>
  </conditionalFormatting>
  <conditionalFormatting sqref="Q7">
    <cfRule type="expression" dxfId="3022" priority="29">
      <formula>Q7&gt;0</formula>
    </cfRule>
    <cfRule type="expression" dxfId="3021" priority="30">
      <formula>Q7&lt;0</formula>
    </cfRule>
  </conditionalFormatting>
  <conditionalFormatting sqref="Q8">
    <cfRule type="expression" dxfId="3020" priority="27">
      <formula>Q8&gt;0</formula>
    </cfRule>
    <cfRule type="expression" dxfId="3019" priority="28">
      <formula>Q8&lt;0</formula>
    </cfRule>
  </conditionalFormatting>
  <conditionalFormatting sqref="F31:F46">
    <cfRule type="expression" dxfId="3018" priority="25">
      <formula>F31&gt;0</formula>
    </cfRule>
    <cfRule type="expression" dxfId="3017" priority="26">
      <formula>F31&lt;0</formula>
    </cfRule>
  </conditionalFormatting>
  <conditionalFormatting sqref="H31:H46">
    <cfRule type="expression" dxfId="3016" priority="23">
      <formula>H31&gt;0</formula>
    </cfRule>
    <cfRule type="expression" dxfId="3015" priority="24">
      <formula>H31&lt;0</formula>
    </cfRule>
  </conditionalFormatting>
  <conditionalFormatting sqref="Q10">
    <cfRule type="expression" dxfId="3014" priority="21">
      <formula>Q10&gt;0</formula>
    </cfRule>
    <cfRule type="expression" dxfId="3013" priority="22">
      <formula>Q10&lt;0</formula>
    </cfRule>
  </conditionalFormatting>
  <conditionalFormatting sqref="J25:J38">
    <cfRule type="expression" dxfId="3012" priority="19">
      <formula>J25&gt;0</formula>
    </cfRule>
    <cfRule type="expression" dxfId="3011" priority="20">
      <formula>J25&lt;0</formula>
    </cfRule>
  </conditionalFormatting>
  <conditionalFormatting sqref="K38">
    <cfRule type="expression" dxfId="3010" priority="17">
      <formula>K38&gt;0</formula>
    </cfRule>
    <cfRule type="expression" dxfId="3009" priority="18">
      <formula>K38&lt;0</formula>
    </cfRule>
  </conditionalFormatting>
  <conditionalFormatting sqref="L25:L38">
    <cfRule type="expression" dxfId="3008" priority="15">
      <formula>L25&gt;0</formula>
    </cfRule>
    <cfRule type="expression" dxfId="3007" priority="16">
      <formula>L25&lt;0</formula>
    </cfRule>
  </conditionalFormatting>
  <conditionalFormatting sqref="F89:F110">
    <cfRule type="expression" dxfId="3006" priority="13">
      <formula>F89&gt;0</formula>
    </cfRule>
    <cfRule type="expression" dxfId="3005" priority="14">
      <formula>F89&lt;0</formula>
    </cfRule>
  </conditionalFormatting>
  <conditionalFormatting sqref="H89:H110">
    <cfRule type="expression" dxfId="3004" priority="11">
      <formula>H89&gt;0</formula>
    </cfRule>
    <cfRule type="expression" dxfId="3003" priority="12">
      <formula>H89&lt;0</formula>
    </cfRule>
  </conditionalFormatting>
  <conditionalFormatting sqref="J89:J102">
    <cfRule type="expression" dxfId="3002" priority="9">
      <formula>J89&gt;0</formula>
    </cfRule>
    <cfRule type="expression" dxfId="3001" priority="10">
      <formula>J89&lt;0</formula>
    </cfRule>
  </conditionalFormatting>
  <conditionalFormatting sqref="K89:K102">
    <cfRule type="expression" dxfId="3000" priority="7">
      <formula>K89&gt;0</formula>
    </cfRule>
    <cfRule type="expression" dxfId="2999" priority="8">
      <formula>K89&lt;0</formula>
    </cfRule>
  </conditionalFormatting>
  <conditionalFormatting sqref="L89:L102">
    <cfRule type="expression" dxfId="2998" priority="5">
      <formula>L89&gt;0</formula>
    </cfRule>
    <cfRule type="expression" dxfId="2997" priority="6">
      <formula>L89&lt;0</formula>
    </cfRule>
  </conditionalFormatting>
  <conditionalFormatting sqref="F25:F30">
    <cfRule type="expression" dxfId="2996" priority="3">
      <formula>F25&gt;0</formula>
    </cfRule>
    <cfRule type="expression" dxfId="2995" priority="4">
      <formula>F25&lt;0</formula>
    </cfRule>
  </conditionalFormatting>
  <conditionalFormatting sqref="H25:H30">
    <cfRule type="expression" dxfId="2994" priority="1">
      <formula>H25&gt;0</formula>
    </cfRule>
    <cfRule type="expression" dxfId="299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9" t="s">
        <v>78</v>
      </c>
      <c r="P42" s="879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2992" priority="35">
      <formula>N19&gt;0</formula>
    </cfRule>
    <cfRule type="expression" dxfId="299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990" priority="21">
      <formula>F25&gt;0</formula>
    </cfRule>
    <cfRule type="expression" dxfId="2989" priority="22">
      <formula>F25&lt;0</formula>
    </cfRule>
  </conditionalFormatting>
  <conditionalFormatting sqref="H25:H47">
    <cfRule type="expression" dxfId="2988" priority="19">
      <formula>H25&gt;0</formula>
    </cfRule>
    <cfRule type="expression" dxfId="2987" priority="20">
      <formula>H25&lt;0</formula>
    </cfRule>
  </conditionalFormatting>
  <conditionalFormatting sqref="I25:I27">
    <cfRule type="expression" dxfId="2986" priority="15">
      <formula>I25&gt;0</formula>
    </cfRule>
    <cfRule type="expression" dxfId="2985" priority="16">
      <formula>I25&lt;0</formula>
    </cfRule>
  </conditionalFormatting>
  <conditionalFormatting sqref="Q7">
    <cfRule type="expression" dxfId="2984" priority="5">
      <formula>Q7&gt;0</formula>
    </cfRule>
    <cfRule type="expression" dxfId="2983" priority="6">
      <formula>Q7&lt;0</formula>
    </cfRule>
  </conditionalFormatting>
  <conditionalFormatting sqref="Q8">
    <cfRule type="expression" dxfId="2982" priority="3">
      <formula>Q8&gt;0</formula>
    </cfRule>
    <cfRule type="expression" dxfId="298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980" priority="9">
      <formula>F36&gt;0</formula>
    </cfRule>
    <cfRule type="expression" dxfId="2979" priority="10">
      <formula>F36&lt;0</formula>
    </cfRule>
  </conditionalFormatting>
  <conditionalFormatting sqref="F25:F35">
    <cfRule type="expression" dxfId="2978" priority="7">
      <formula>F25&gt;0</formula>
    </cfRule>
    <cfRule type="expression" dxfId="2977" priority="8">
      <formula>F25&lt;0</formula>
    </cfRule>
  </conditionalFormatting>
  <conditionalFormatting sqref="H25:H35">
    <cfRule type="expression" dxfId="2976" priority="5">
      <formula>H25&gt;0</formula>
    </cfRule>
    <cfRule type="expression" dxfId="2975" priority="6">
      <formula>H25&lt;0</formula>
    </cfRule>
  </conditionalFormatting>
  <conditionalFormatting sqref="Q7">
    <cfRule type="expression" dxfId="2974" priority="3">
      <formula>Q7&gt;0</formula>
    </cfRule>
    <cfRule type="expression" dxfId="2973" priority="4">
      <formula>Q7&lt;0</formula>
    </cfRule>
  </conditionalFormatting>
  <conditionalFormatting sqref="Q8">
    <cfRule type="expression" dxfId="2972" priority="1">
      <formula>Q8&gt;0</formula>
    </cfRule>
    <cfRule type="expression" dxfId="297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970" priority="37">
      <formula>F25&gt;0</formula>
    </cfRule>
    <cfRule type="expression" dxfId="2969" priority="38">
      <formula>F25&lt;0</formula>
    </cfRule>
  </conditionalFormatting>
  <conditionalFormatting sqref="Q7">
    <cfRule type="expression" dxfId="2968" priority="35">
      <formula>Q7&gt;0</formula>
    </cfRule>
    <cfRule type="expression" dxfId="2967" priority="36">
      <formula>Q7&lt;0</formula>
    </cfRule>
  </conditionalFormatting>
  <conditionalFormatting sqref="Q8">
    <cfRule type="expression" dxfId="2966" priority="33">
      <formula>Q8&gt;0</formula>
    </cfRule>
    <cfRule type="expression" dxfId="2965" priority="34">
      <formula>Q8&lt;0</formula>
    </cfRule>
  </conditionalFormatting>
  <conditionalFormatting sqref="F44:F46">
    <cfRule type="expression" dxfId="2964" priority="31">
      <formula>F44&gt;0</formula>
    </cfRule>
    <cfRule type="expression" dxfId="2963" priority="32">
      <formula>F44&lt;0</formula>
    </cfRule>
  </conditionalFormatting>
  <conditionalFormatting sqref="H44:H46">
    <cfRule type="expression" dxfId="2962" priority="29">
      <formula>H44&gt;0</formula>
    </cfRule>
    <cfRule type="expression" dxfId="2961" priority="30">
      <formula>H44&lt;0</formula>
    </cfRule>
  </conditionalFormatting>
  <conditionalFormatting sqref="F89:F110">
    <cfRule type="expression" dxfId="2960" priority="27">
      <formula>F89&gt;0</formula>
    </cfRule>
    <cfRule type="expression" dxfId="2959" priority="28">
      <formula>F89&lt;0</formula>
    </cfRule>
  </conditionalFormatting>
  <conditionalFormatting sqref="H89:H110">
    <cfRule type="expression" dxfId="2958" priority="25">
      <formula>H89&gt;0</formula>
    </cfRule>
    <cfRule type="expression" dxfId="2957" priority="26">
      <formula>H89&lt;0</formula>
    </cfRule>
  </conditionalFormatting>
  <conditionalFormatting sqref="Q10">
    <cfRule type="expression" dxfId="2956" priority="23">
      <formula>Q10&gt;0</formula>
    </cfRule>
    <cfRule type="expression" dxfId="2955" priority="24">
      <formula>Q10&lt;0</formula>
    </cfRule>
  </conditionalFormatting>
  <conditionalFormatting sqref="J25:J38">
    <cfRule type="expression" dxfId="2954" priority="21">
      <formula>J25&gt;0</formula>
    </cfRule>
    <cfRule type="expression" dxfId="2953" priority="22">
      <formula>J25&lt;0</formula>
    </cfRule>
  </conditionalFormatting>
  <conditionalFormatting sqref="K25:K38">
    <cfRule type="expression" dxfId="2952" priority="19">
      <formula>K25&gt;0</formula>
    </cfRule>
    <cfRule type="expression" dxfId="2951" priority="20">
      <formula>K25&lt;0</formula>
    </cfRule>
  </conditionalFormatting>
  <conditionalFormatting sqref="L25:L38">
    <cfRule type="expression" dxfId="2950" priority="17">
      <formula>L25&gt;0</formula>
    </cfRule>
    <cfRule type="expression" dxfId="2949" priority="18">
      <formula>L25&lt;0</formula>
    </cfRule>
  </conditionalFormatting>
  <conditionalFormatting sqref="J40">
    <cfRule type="expression" dxfId="2948" priority="15">
      <formula>J40&gt;0</formula>
    </cfRule>
    <cfRule type="expression" dxfId="2947" priority="16">
      <formula>J40&lt;0</formula>
    </cfRule>
  </conditionalFormatting>
  <conditionalFormatting sqref="L39">
    <cfRule type="expression" dxfId="2946" priority="11">
      <formula>L39&gt;0</formula>
    </cfRule>
    <cfRule type="expression" dxfId="2945" priority="12">
      <formula>L39&lt;0</formula>
    </cfRule>
  </conditionalFormatting>
  <conditionalFormatting sqref="F39">
    <cfRule type="expression" dxfId="2944" priority="9">
      <formula>F39&gt;0</formula>
    </cfRule>
    <cfRule type="expression" dxfId="2943" priority="10">
      <formula>F39&lt;0</formula>
    </cfRule>
  </conditionalFormatting>
  <conditionalFormatting sqref="H39">
    <cfRule type="expression" dxfId="2942" priority="7">
      <formula>H39&gt;0</formula>
    </cfRule>
    <cfRule type="expression" dxfId="2941" priority="8">
      <formula>H39&lt;0</formula>
    </cfRule>
  </conditionalFormatting>
  <conditionalFormatting sqref="J41">
    <cfRule type="expression" dxfId="2940" priority="5">
      <formula>J41&gt;0</formula>
    </cfRule>
    <cfRule type="expression" dxfId="2939" priority="6">
      <formula>J41&lt;0</formula>
    </cfRule>
  </conditionalFormatting>
  <conditionalFormatting sqref="J43">
    <cfRule type="expression" dxfId="2938" priority="3">
      <formula>J43&gt;0</formula>
    </cfRule>
    <cfRule type="expression" dxfId="2937" priority="4">
      <formula>J43&lt;0</formula>
    </cfRule>
  </conditionalFormatting>
  <conditionalFormatting sqref="J44">
    <cfRule type="expression" dxfId="2936" priority="1">
      <formula>J44&gt;0</formula>
    </cfRule>
    <cfRule type="expression" dxfId="293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934" priority="31">
      <formula>F29&gt;0</formula>
    </cfRule>
    <cfRule type="expression" dxfId="2933" priority="32">
      <formula>F29&lt;0</formula>
    </cfRule>
  </conditionalFormatting>
  <conditionalFormatting sqref="F29 F31:F35">
    <cfRule type="expression" dxfId="2932" priority="33">
      <formula>F29&gt;0</formula>
    </cfRule>
    <cfRule type="expression" dxfId="2931" priority="34">
      <formula>F29&lt;0</formula>
    </cfRule>
  </conditionalFormatting>
  <conditionalFormatting sqref="H29 H31:H35">
    <cfRule type="expression" dxfId="2930" priority="29">
      <formula>H29&gt;0</formula>
    </cfRule>
    <cfRule type="expression" dxfId="2929" priority="30">
      <formula>H29&lt;0</formula>
    </cfRule>
  </conditionalFormatting>
  <conditionalFormatting sqref="F21:F28">
    <cfRule type="expression" dxfId="2928" priority="27">
      <formula>F21&gt;0</formula>
    </cfRule>
    <cfRule type="expression" dxfId="2927" priority="28">
      <formula>F21&lt;0</formula>
    </cfRule>
  </conditionalFormatting>
  <conditionalFormatting sqref="H21:H28">
    <cfRule type="expression" dxfId="2926" priority="25">
      <formula>H21&gt;0</formula>
    </cfRule>
    <cfRule type="expression" dxfId="2925" priority="26">
      <formula>H21&lt;0</formula>
    </cfRule>
  </conditionalFormatting>
  <conditionalFormatting sqref="Q8">
    <cfRule type="expression" dxfId="2924" priority="21">
      <formula>Q8&gt;0</formula>
    </cfRule>
    <cfRule type="expression" dxfId="2923" priority="22">
      <formula>Q8&lt;0</formula>
    </cfRule>
  </conditionalFormatting>
  <conditionalFormatting sqref="Q7">
    <cfRule type="expression" dxfId="2922" priority="23">
      <formula>Q7&gt;0</formula>
    </cfRule>
    <cfRule type="expression" dxfId="2921" priority="24">
      <formula>Q7&lt;0</formula>
    </cfRule>
  </conditionalFormatting>
  <conditionalFormatting sqref="F30">
    <cfRule type="expression" dxfId="2920" priority="19">
      <formula>F30&gt;0</formula>
    </cfRule>
    <cfRule type="expression" dxfId="2919" priority="20">
      <formula>F30&lt;0</formula>
    </cfRule>
  </conditionalFormatting>
  <conditionalFormatting sqref="H30">
    <cfRule type="expression" dxfId="2918" priority="17">
      <formula>H30&gt;0</formula>
    </cfRule>
    <cfRule type="expression" dxfId="2917" priority="18">
      <formula>H30&lt;0</formula>
    </cfRule>
  </conditionalFormatting>
  <conditionalFormatting sqref="F68 F70:F74">
    <cfRule type="expression" dxfId="2916" priority="13">
      <formula>F68&gt;0</formula>
    </cfRule>
    <cfRule type="expression" dxfId="2915" priority="14">
      <formula>F68&lt;0</formula>
    </cfRule>
  </conditionalFormatting>
  <conditionalFormatting sqref="F68 F70:F74">
    <cfRule type="expression" dxfId="2914" priority="15">
      <formula>F68&gt;0</formula>
    </cfRule>
    <cfRule type="expression" dxfId="2913" priority="16">
      <formula>F68&lt;0</formula>
    </cfRule>
  </conditionalFormatting>
  <conditionalFormatting sqref="H68 H70:H74">
    <cfRule type="expression" dxfId="2912" priority="11">
      <formula>H68&gt;0</formula>
    </cfRule>
    <cfRule type="expression" dxfId="2911" priority="12">
      <formula>H68&lt;0</formula>
    </cfRule>
  </conditionalFormatting>
  <conditionalFormatting sqref="F60:F67">
    <cfRule type="expression" dxfId="2910" priority="9">
      <formula>F60&gt;0</formula>
    </cfRule>
    <cfRule type="expression" dxfId="2909" priority="10">
      <formula>F60&lt;0</formula>
    </cfRule>
  </conditionalFormatting>
  <conditionalFormatting sqref="H60:H67">
    <cfRule type="expression" dxfId="2908" priority="7">
      <formula>H60&gt;0</formula>
    </cfRule>
    <cfRule type="expression" dxfId="2907" priority="8">
      <formula>H60&lt;0</formula>
    </cfRule>
  </conditionalFormatting>
  <conditionalFormatting sqref="F69">
    <cfRule type="expression" dxfId="2906" priority="5">
      <formula>F69&gt;0</formula>
    </cfRule>
    <cfRule type="expression" dxfId="2905" priority="6">
      <formula>F69&lt;0</formula>
    </cfRule>
  </conditionalFormatting>
  <conditionalFormatting sqref="H69">
    <cfRule type="expression" dxfId="2904" priority="3">
      <formula>H69&gt;0</formula>
    </cfRule>
    <cfRule type="expression" dxfId="2903" priority="4">
      <formula>H69&lt;0</formula>
    </cfRule>
  </conditionalFormatting>
  <conditionalFormatting sqref="Q10">
    <cfRule type="expression" dxfId="2902" priority="1">
      <formula>Q10&gt;0</formula>
    </cfRule>
    <cfRule type="expression" dxfId="290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900" priority="11">
      <formula>F33&gt;0</formula>
    </cfRule>
    <cfRule type="expression" dxfId="2899" priority="12">
      <formula>F33&lt;0</formula>
    </cfRule>
  </conditionalFormatting>
  <conditionalFormatting sqref="Q7">
    <cfRule type="expression" dxfId="2898" priority="9">
      <formula>Q7&gt;0</formula>
    </cfRule>
    <cfRule type="expression" dxfId="2897" priority="10">
      <formula>Q7&lt;0</formula>
    </cfRule>
  </conditionalFormatting>
  <conditionalFormatting sqref="Q8">
    <cfRule type="expression" dxfId="2896" priority="7">
      <formula>Q8&gt;0</formula>
    </cfRule>
    <cfRule type="expression" dxfId="2895" priority="8">
      <formula>Q8&lt;0</formula>
    </cfRule>
  </conditionalFormatting>
  <conditionalFormatting sqref="F25:F32">
    <cfRule type="expression" dxfId="2894" priority="5">
      <formula>F25&gt;0</formula>
    </cfRule>
    <cfRule type="expression" dxfId="2893" priority="6">
      <formula>F25&lt;0</formula>
    </cfRule>
  </conditionalFormatting>
  <conditionalFormatting sqref="H25:H32">
    <cfRule type="expression" dxfId="2892" priority="3">
      <formula>H25&gt;0</formula>
    </cfRule>
    <cfRule type="expression" dxfId="2891" priority="4">
      <formula>H25&lt;0</formula>
    </cfRule>
  </conditionalFormatting>
  <conditionalFormatting sqref="Q10">
    <cfRule type="expression" dxfId="2890" priority="1">
      <formula>Q10&gt;0</formula>
    </cfRule>
    <cfRule type="expression" dxfId="288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888" priority="75">
      <formula>F32&gt;0</formula>
    </cfRule>
    <cfRule type="expression" dxfId="2887" priority="76">
      <formula>F32&lt;0</formula>
    </cfRule>
  </conditionalFormatting>
  <conditionalFormatting sqref="Q7">
    <cfRule type="expression" dxfId="2886" priority="73">
      <formula>Q7&gt;0</formula>
    </cfRule>
    <cfRule type="expression" dxfId="2885" priority="74">
      <formula>Q7&lt;0</formula>
    </cfRule>
  </conditionalFormatting>
  <conditionalFormatting sqref="Q8">
    <cfRule type="expression" dxfId="2884" priority="71">
      <formula>Q8&gt;0</formula>
    </cfRule>
    <cfRule type="expression" dxfId="288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882" priority="63">
      <formula>M58&gt;0</formula>
    </cfRule>
    <cfRule type="expression" dxfId="2881" priority="64">
      <formula>M58&lt;0</formula>
    </cfRule>
  </conditionalFormatting>
  <conditionalFormatting sqref="Q10">
    <cfRule type="expression" dxfId="2880" priority="61">
      <formula>Q10&gt;0</formula>
    </cfRule>
    <cfRule type="expression" dxfId="2879" priority="62">
      <formula>Q10&lt;0</formula>
    </cfRule>
  </conditionalFormatting>
  <conditionalFormatting sqref="F29:F31">
    <cfRule type="expression" dxfId="2878" priority="59">
      <formula>F29&gt;0</formula>
    </cfRule>
    <cfRule type="expression" dxfId="2877" priority="60">
      <formula>F29&lt;0</formula>
    </cfRule>
  </conditionalFormatting>
  <conditionalFormatting sqref="H29:H31">
    <cfRule type="expression" dxfId="2876" priority="57">
      <formula>H29&gt;0</formula>
    </cfRule>
    <cfRule type="expression" dxfId="2875" priority="58">
      <formula>H29&lt;0</formula>
    </cfRule>
  </conditionalFormatting>
  <conditionalFormatting sqref="F83:F94">
    <cfRule type="expression" dxfId="2874" priority="55">
      <formula>F83&gt;0</formula>
    </cfRule>
    <cfRule type="expression" dxfId="2873" priority="56">
      <formula>F83&lt;0</formula>
    </cfRule>
  </conditionalFormatting>
  <conditionalFormatting sqref="H83:H94">
    <cfRule type="expression" dxfId="2872" priority="53">
      <formula>H83&gt;0</formula>
    </cfRule>
    <cfRule type="expression" dxfId="2871" priority="54">
      <formula>H83&lt;0</formula>
    </cfRule>
  </conditionalFormatting>
  <conditionalFormatting sqref="J41">
    <cfRule type="expression" dxfId="2870" priority="51">
      <formula>J41&gt;0</formula>
    </cfRule>
    <cfRule type="expression" dxfId="2869" priority="52">
      <formula>J41&lt;0</formula>
    </cfRule>
  </conditionalFormatting>
  <conditionalFormatting sqref="J39:J47">
    <cfRule type="expression" dxfId="2868" priority="49">
      <formula>J39&gt;0</formula>
    </cfRule>
    <cfRule type="expression" dxfId="2867" priority="50">
      <formula>J39&lt;0</formula>
    </cfRule>
  </conditionalFormatting>
  <conditionalFormatting sqref="F48:F51 H48:H51">
    <cfRule type="expression" dxfId="2866" priority="47">
      <formula>F48&gt;0</formula>
    </cfRule>
    <cfRule type="expression" dxfId="2865" priority="48">
      <formula>F48&lt;0</formula>
    </cfRule>
  </conditionalFormatting>
  <conditionalFormatting sqref="J48:J57">
    <cfRule type="expression" dxfId="2864" priority="45">
      <formula>J48&gt;0</formula>
    </cfRule>
    <cfRule type="expression" dxfId="2863" priority="46">
      <formula>J48&lt;0</formula>
    </cfRule>
  </conditionalFormatting>
  <conditionalFormatting sqref="K45:K52">
    <cfRule type="expression" dxfId="2862" priority="43">
      <formula>K45&gt;0</formula>
    </cfRule>
    <cfRule type="expression" dxfId="2861" priority="44">
      <formula>K45&lt;0</formula>
    </cfRule>
  </conditionalFormatting>
  <conditionalFormatting sqref="K45:K52">
    <cfRule type="expression" dxfId="2860" priority="41">
      <formula>K45&gt;0</formula>
    </cfRule>
    <cfRule type="expression" dxfId="2859" priority="42">
      <formula>K45&lt;0</formula>
    </cfRule>
  </conditionalFormatting>
  <conditionalFormatting sqref="F102:F118 H102:H118 H120:H128 F120:F128">
    <cfRule type="expression" dxfId="2858" priority="37">
      <formula>F102&gt;0</formula>
    </cfRule>
    <cfRule type="expression" dxfId="2857" priority="38">
      <formula>F102&lt;0</formula>
    </cfRule>
  </conditionalFormatting>
  <conditionalFormatting sqref="F96:F101">
    <cfRule type="expression" dxfId="2856" priority="35">
      <formula>F96&gt;0</formula>
    </cfRule>
    <cfRule type="expression" dxfId="2855" priority="36">
      <formula>F96&lt;0</formula>
    </cfRule>
  </conditionalFormatting>
  <conditionalFormatting sqref="H96:H101">
    <cfRule type="expression" dxfId="2854" priority="33">
      <formula>H96&gt;0</formula>
    </cfRule>
    <cfRule type="expression" dxfId="2853" priority="34">
      <formula>H96&lt;0</formula>
    </cfRule>
  </conditionalFormatting>
  <conditionalFormatting sqref="J112">
    <cfRule type="expression" dxfId="2852" priority="31">
      <formula>J112&gt;0</formula>
    </cfRule>
    <cfRule type="expression" dxfId="2851" priority="32">
      <formula>J112&lt;0</formula>
    </cfRule>
  </conditionalFormatting>
  <conditionalFormatting sqref="J110:J118 J120">
    <cfRule type="expression" dxfId="2850" priority="29">
      <formula>J110&gt;0</formula>
    </cfRule>
    <cfRule type="expression" dxfId="2849" priority="30">
      <formula>J110&lt;0</formula>
    </cfRule>
  </conditionalFormatting>
  <conditionalFormatting sqref="F119 H119">
    <cfRule type="expression" dxfId="2848" priority="27">
      <formula>F119&gt;0</formula>
    </cfRule>
    <cfRule type="expression" dxfId="2847" priority="28">
      <formula>F119&lt;0</formula>
    </cfRule>
  </conditionalFormatting>
  <conditionalFormatting sqref="J119">
    <cfRule type="expression" dxfId="2846" priority="25">
      <formula>J119&gt;0</formula>
    </cfRule>
    <cfRule type="expression" dxfId="2845" priority="26">
      <formula>J119&lt;0</formula>
    </cfRule>
  </conditionalFormatting>
  <conditionalFormatting sqref="K112:K123">
    <cfRule type="expression" dxfId="2844" priority="23">
      <formula>K112&gt;0</formula>
    </cfRule>
    <cfRule type="expression" dxfId="2843" priority="24">
      <formula>K112&lt;0</formula>
    </cfRule>
  </conditionalFormatting>
  <conditionalFormatting sqref="K110:K123">
    <cfRule type="expression" dxfId="2842" priority="21">
      <formula>K110&gt;0</formula>
    </cfRule>
    <cfRule type="expression" dxfId="2841" priority="22">
      <formula>K110&lt;0</formula>
    </cfRule>
  </conditionalFormatting>
  <conditionalFormatting sqref="J121">
    <cfRule type="expression" dxfId="2840" priority="19">
      <formula>J121&gt;0</formula>
    </cfRule>
    <cfRule type="expression" dxfId="2839" priority="20">
      <formula>J121&lt;0</formula>
    </cfRule>
  </conditionalFormatting>
  <conditionalFormatting sqref="F25:F28">
    <cfRule type="expression" dxfId="2838" priority="17">
      <formula>F25&gt;0</formula>
    </cfRule>
    <cfRule type="expression" dxfId="2837" priority="18">
      <formula>F25&lt;0</formula>
    </cfRule>
  </conditionalFormatting>
  <conditionalFormatting sqref="H25:H28">
    <cfRule type="expression" dxfId="2836" priority="15">
      <formula>H25&gt;0</formula>
    </cfRule>
    <cfRule type="expression" dxfId="2835" priority="16">
      <formula>H25&lt;0</formula>
    </cfRule>
  </conditionalFormatting>
  <conditionalFormatting sqref="J27:J29">
    <cfRule type="expression" dxfId="2834" priority="13">
      <formula>J27&gt;0</formula>
    </cfRule>
    <cfRule type="expression" dxfId="2833" priority="14">
      <formula>J27&lt;0</formula>
    </cfRule>
  </conditionalFormatting>
  <conditionalFormatting sqref="J30:J31">
    <cfRule type="expression" dxfId="2832" priority="11">
      <formula>J30&gt;0</formula>
    </cfRule>
    <cfRule type="expression" dxfId="2831" priority="12">
      <formula>J30&lt;0</formula>
    </cfRule>
  </conditionalFormatting>
  <conditionalFormatting sqref="J33">
    <cfRule type="expression" dxfId="2830" priority="9">
      <formula>J33&gt;0</formula>
    </cfRule>
    <cfRule type="expression" dxfId="2829" priority="10">
      <formula>J33&lt;0</formula>
    </cfRule>
  </conditionalFormatting>
  <conditionalFormatting sqref="J34">
    <cfRule type="expression" dxfId="2828" priority="7">
      <formula>J34&gt;0</formula>
    </cfRule>
    <cfRule type="expression" dxfId="2827" priority="8">
      <formula>J34&lt;0</formula>
    </cfRule>
  </conditionalFormatting>
  <conditionalFormatting sqref="J35:J43">
    <cfRule type="expression" dxfId="2826" priority="5">
      <formula>J35&gt;0</formula>
    </cfRule>
    <cfRule type="expression" dxfId="282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824" priority="1">
      <formula>Q9&gt;0</formula>
    </cfRule>
    <cfRule type="expression" dxfId="282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822" priority="15">
      <formula>F39&gt;0</formula>
    </cfRule>
    <cfRule type="expression" dxfId="2821" priority="16">
      <formula>F39&lt;0</formula>
    </cfRule>
  </conditionalFormatting>
  <conditionalFormatting sqref="Q7">
    <cfRule type="expression" dxfId="2820" priority="13">
      <formula>Q7&gt;0</formula>
    </cfRule>
    <cfRule type="expression" dxfId="2819" priority="14">
      <formula>Q7&lt;0</formula>
    </cfRule>
  </conditionalFormatting>
  <conditionalFormatting sqref="Q8">
    <cfRule type="expression" dxfId="2818" priority="11">
      <formula>Q8&gt;0</formula>
    </cfRule>
    <cfRule type="expression" dxfId="2817" priority="12">
      <formula>Q8&lt;0</formula>
    </cfRule>
  </conditionalFormatting>
  <conditionalFormatting sqref="F25:F38">
    <cfRule type="expression" dxfId="2816" priority="9">
      <formula>F25&gt;0</formula>
    </cfRule>
    <cfRule type="expression" dxfId="2815" priority="10">
      <formula>F25&lt;0</formula>
    </cfRule>
  </conditionalFormatting>
  <conditionalFormatting sqref="H25:H38">
    <cfRule type="expression" dxfId="2814" priority="7">
      <formula>H25&gt;0</formula>
    </cfRule>
    <cfRule type="expression" dxfId="2813" priority="8">
      <formula>H25&lt;0</formula>
    </cfRule>
  </conditionalFormatting>
  <conditionalFormatting sqref="M55">
    <cfRule type="expression" dxfId="2812" priority="3">
      <formula>M55&gt;0</formula>
    </cfRule>
    <cfRule type="expression" dxfId="2811" priority="4">
      <formula>M55&lt;0</formula>
    </cfRule>
  </conditionalFormatting>
  <conditionalFormatting sqref="Q10">
    <cfRule type="expression" dxfId="2810" priority="1">
      <formula>Q10&gt;0</formula>
    </cfRule>
    <cfRule type="expression" dxfId="280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808" priority="27">
      <formula>F27&gt;0</formula>
    </cfRule>
    <cfRule type="expression" dxfId="2807" priority="28">
      <formula>F27&lt;0</formula>
    </cfRule>
  </conditionalFormatting>
  <conditionalFormatting sqref="Q8">
    <cfRule type="expression" dxfId="2806" priority="15">
      <formula>Q8&gt;0</formula>
    </cfRule>
    <cfRule type="expression" dxfId="2805" priority="16">
      <formula>Q8&lt;0</formula>
    </cfRule>
  </conditionalFormatting>
  <conditionalFormatting sqref="Q7">
    <cfRule type="expression" dxfId="2804" priority="17">
      <formula>Q7&gt;0</formula>
    </cfRule>
    <cfRule type="expression" dxfId="2803" priority="18">
      <formula>Q7&lt;0</formula>
    </cfRule>
  </conditionalFormatting>
  <conditionalFormatting sqref="F37:F38">
    <cfRule type="expression" dxfId="2802" priority="13">
      <formula>F37&gt;0</formula>
    </cfRule>
    <cfRule type="expression" dxfId="2801" priority="14">
      <formula>F37&lt;0</formula>
    </cfRule>
  </conditionalFormatting>
  <conditionalFormatting sqref="H37:H38">
    <cfRule type="expression" dxfId="2800" priority="11">
      <formula>H37&gt;0</formula>
    </cfRule>
    <cfRule type="expression" dxfId="2799" priority="12">
      <formula>H37&lt;0</formula>
    </cfRule>
  </conditionalFormatting>
  <conditionalFormatting sqref="F23:F26 H23:H26">
    <cfRule type="expression" dxfId="2798" priority="9">
      <formula>F23&gt;0</formula>
    </cfRule>
    <cfRule type="expression" dxfId="2797" priority="10">
      <formula>F23&lt;0</formula>
    </cfRule>
  </conditionalFormatting>
  <conditionalFormatting sqref="Q10">
    <cfRule type="expression" dxfId="2796" priority="3">
      <formula>Q10&gt;0</formula>
    </cfRule>
    <cfRule type="expression" dxfId="2795" priority="4">
      <formula>Q10&lt;0</formula>
    </cfRule>
  </conditionalFormatting>
  <conditionalFormatting sqref="F22 H22">
    <cfRule type="expression" dxfId="2794" priority="1">
      <formula>F22&gt;0</formula>
    </cfRule>
    <cfRule type="expression" dxfId="2793" priority="2">
      <formula>F22&lt;0</formula>
    </cfRule>
  </conditionalFormatting>
  <conditionalFormatting sqref="M41">
    <cfRule type="expression" dxfId="2792" priority="5">
      <formula>M41&gt;0</formula>
    </cfRule>
    <cfRule type="expression" dxfId="279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790" priority="29">
      <formula>F25&gt;0</formula>
    </cfRule>
    <cfRule type="expression" dxfId="2789" priority="30">
      <formula>F25&lt;0</formula>
    </cfRule>
  </conditionalFormatting>
  <conditionalFormatting sqref="Q7">
    <cfRule type="expression" dxfId="2788" priority="27">
      <formula>Q7&gt;0</formula>
    </cfRule>
    <cfRule type="expression" dxfId="2787" priority="28">
      <formula>Q7&lt;0</formula>
    </cfRule>
  </conditionalFormatting>
  <conditionalFormatting sqref="Q8">
    <cfRule type="expression" dxfId="2786" priority="25">
      <formula>Q8&gt;0</formula>
    </cfRule>
    <cfRule type="expression" dxfId="2785" priority="26">
      <formula>Q8&lt;0</formula>
    </cfRule>
  </conditionalFormatting>
  <conditionalFormatting sqref="Q10">
    <cfRule type="expression" dxfId="2784" priority="13">
      <formula>Q10&gt;0</formula>
    </cfRule>
    <cfRule type="expression" dxfId="2783" priority="14">
      <formula>Q10&lt;0</formula>
    </cfRule>
  </conditionalFormatting>
  <conditionalFormatting sqref="M46">
    <cfRule type="expression" dxfId="2782" priority="11">
      <formula>M46&gt;0</formula>
    </cfRule>
    <cfRule type="expression" dxfId="2781" priority="12">
      <formula>M46&lt;0</formula>
    </cfRule>
  </conditionalFormatting>
  <conditionalFormatting sqref="F80:F88 H80:H88">
    <cfRule type="expression" dxfId="2780" priority="9">
      <formula>F80&gt;0</formula>
    </cfRule>
    <cfRule type="expression" dxfId="2779" priority="10">
      <formula>F80&lt;0</formula>
    </cfRule>
  </conditionalFormatting>
  <conditionalFormatting sqref="F75:F79">
    <cfRule type="expression" dxfId="2778" priority="7">
      <formula>F75&gt;0</formula>
    </cfRule>
    <cfRule type="expression" dxfId="2777" priority="8">
      <formula>F75&lt;0</formula>
    </cfRule>
  </conditionalFormatting>
  <conditionalFormatting sqref="H75:H79">
    <cfRule type="expression" dxfId="2776" priority="5">
      <formula>H75&gt;0</formula>
    </cfRule>
    <cfRule type="expression" dxfId="2775" priority="6">
      <formula>H75&lt;0</formula>
    </cfRule>
  </conditionalFormatting>
  <conditionalFormatting sqref="F71:F74">
    <cfRule type="expression" dxfId="2774" priority="3">
      <formula>F71&gt;0</formula>
    </cfRule>
    <cfRule type="expression" dxfId="2773" priority="4">
      <formula>F71&lt;0</formula>
    </cfRule>
  </conditionalFormatting>
  <conditionalFormatting sqref="H71:H74">
    <cfRule type="expression" dxfId="2772" priority="1">
      <formula>H71&gt;0</formula>
    </cfRule>
    <cfRule type="expression" dxfId="277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1282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56.429900000000004</v>
      </c>
      <c r="R4" s="425">
        <v>-9.4999999999999998E-3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5642.9900000000007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-707.00999999999931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-707.00999999999931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-0.11134015748031485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2.8353762810141431E-2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13.564879807692309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7" t="s">
        <v>78</v>
      </c>
      <c r="P18" s="787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62.072890000000008</v>
      </c>
    </row>
    <row r="20" spans="1:21" x14ac:dyDescent="0.25">
      <c r="O20" s="81">
        <v>1.0900000000000001</v>
      </c>
      <c r="P20" s="81">
        <f t="shared" ref="P20:P39" si="0">O20*$Q$4</f>
        <v>61.50859100000001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60.944292000000004</v>
      </c>
    </row>
    <row r="22" spans="1:21" x14ac:dyDescent="0.25">
      <c r="O22" s="81">
        <v>1.07</v>
      </c>
      <c r="P22" s="81">
        <f t="shared" si="0"/>
        <v>60.379993000000006</v>
      </c>
    </row>
    <row r="23" spans="1:21" x14ac:dyDescent="0.25">
      <c r="O23" s="81">
        <v>1.06</v>
      </c>
      <c r="P23" s="81">
        <f t="shared" si="0"/>
        <v>59.815694000000008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59.251395000000009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179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58.687096000000004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179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58.122797000000006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179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57.558498000000007</v>
      </c>
      <c r="T27" s="156">
        <v>43313</v>
      </c>
      <c r="U27" t="s">
        <v>1148</v>
      </c>
    </row>
    <row r="28" spans="1:2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1.01</v>
      </c>
      <c r="P28" s="81">
        <f t="shared" si="0"/>
        <v>56.994199000000002</v>
      </c>
      <c r="T28" s="156">
        <v>43314</v>
      </c>
      <c r="U28" t="s">
        <v>1151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1</v>
      </c>
      <c r="P29" s="81">
        <f t="shared" si="0"/>
        <v>56.429900000000004</v>
      </c>
      <c r="T29" s="156">
        <v>43326</v>
      </c>
      <c r="U29" t="s">
        <v>1150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0.99</v>
      </c>
      <c r="P30" s="81">
        <f t="shared" si="0"/>
        <v>55.865601000000005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55.301302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54.737003000000001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54.172704000000003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53.608404999999998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53.044105999999999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52.479807000000008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51.915508000000003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51.351209000000004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50.786910000000006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1"/>
      <c r="K54" s="39"/>
      <c r="L54" s="39"/>
    </row>
    <row r="55" spans="1:17" x14ac:dyDescent="0.25">
      <c r="A55" s="4"/>
      <c r="B55" s="164"/>
      <c r="C55" s="10"/>
      <c r="D55" s="39"/>
      <c r="E55" s="39"/>
      <c r="F55" s="781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1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1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770" priority="35">
      <formula>Q7&gt;0</formula>
    </cfRule>
    <cfRule type="expression" dxfId="2769" priority="36">
      <formula>Q7&lt;0</formula>
    </cfRule>
  </conditionalFormatting>
  <conditionalFormatting sqref="Q8">
    <cfRule type="expression" dxfId="2768" priority="33">
      <formula>Q8&gt;0</formula>
    </cfRule>
    <cfRule type="expression" dxfId="2767" priority="34">
      <formula>Q8&lt;0</formula>
    </cfRule>
  </conditionalFormatting>
  <conditionalFormatting sqref="F34:F54 F58:F63">
    <cfRule type="expression" dxfId="2766" priority="31">
      <formula>F34&gt;0</formula>
    </cfRule>
    <cfRule type="expression" dxfId="2765" priority="32">
      <formula>F34&lt;0</formula>
    </cfRule>
  </conditionalFormatting>
  <conditionalFormatting sqref="H34:H54 H58:H63">
    <cfRule type="expression" dxfId="2764" priority="29">
      <formula>H34&gt;0</formula>
    </cfRule>
    <cfRule type="expression" dxfId="2763" priority="30">
      <formula>H34&lt;0</formula>
    </cfRule>
  </conditionalFormatting>
  <conditionalFormatting sqref="Q10">
    <cfRule type="expression" dxfId="2762" priority="27">
      <formula>Q10&gt;0</formula>
    </cfRule>
    <cfRule type="expression" dxfId="2761" priority="28">
      <formula>Q10&lt;0</formula>
    </cfRule>
  </conditionalFormatting>
  <conditionalFormatting sqref="J25:J38">
    <cfRule type="expression" dxfId="2760" priority="25">
      <formula>J25&gt;0</formula>
    </cfRule>
    <cfRule type="expression" dxfId="2759" priority="26">
      <formula>J25&lt;0</formula>
    </cfRule>
  </conditionalFormatting>
  <conditionalFormatting sqref="K25:K35 K37:K38">
    <cfRule type="expression" dxfId="2758" priority="23">
      <formula>K25&gt;0</formula>
    </cfRule>
    <cfRule type="expression" dxfId="2757" priority="24">
      <formula>K25&lt;0</formula>
    </cfRule>
  </conditionalFormatting>
  <conditionalFormatting sqref="F89:F110">
    <cfRule type="expression" dxfId="2756" priority="19">
      <formula>F89&gt;0</formula>
    </cfRule>
    <cfRule type="expression" dxfId="2755" priority="20">
      <formula>F89&lt;0</formula>
    </cfRule>
  </conditionalFormatting>
  <conditionalFormatting sqref="H89:H110">
    <cfRule type="expression" dxfId="2754" priority="17">
      <formula>H89&gt;0</formula>
    </cfRule>
    <cfRule type="expression" dxfId="2753" priority="18">
      <formula>H89&lt;0</formula>
    </cfRule>
  </conditionalFormatting>
  <conditionalFormatting sqref="J89:J102">
    <cfRule type="expression" dxfId="2752" priority="15">
      <formula>J89&gt;0</formula>
    </cfRule>
    <cfRule type="expression" dxfId="2751" priority="16">
      <formula>J89&lt;0</formula>
    </cfRule>
  </conditionalFormatting>
  <conditionalFormatting sqref="K89:K102">
    <cfRule type="expression" dxfId="2750" priority="13">
      <formula>K89&gt;0</formula>
    </cfRule>
    <cfRule type="expression" dxfId="2749" priority="14">
      <formula>K89&lt;0</formula>
    </cfRule>
  </conditionalFormatting>
  <conditionalFormatting sqref="L89:L102">
    <cfRule type="expression" dxfId="2748" priority="11">
      <formula>L89&gt;0</formula>
    </cfRule>
    <cfRule type="expression" dxfId="2747" priority="12">
      <formula>L89&lt;0</formula>
    </cfRule>
  </conditionalFormatting>
  <conditionalFormatting sqref="F25:F33">
    <cfRule type="expression" dxfId="2746" priority="9">
      <formula>F25&gt;0</formula>
    </cfRule>
    <cfRule type="expression" dxfId="2745" priority="10">
      <formula>F25&lt;0</formula>
    </cfRule>
  </conditionalFormatting>
  <conditionalFormatting sqref="H25:H33">
    <cfRule type="expression" dxfId="2744" priority="7">
      <formula>H25&gt;0</formula>
    </cfRule>
    <cfRule type="expression" dxfId="2743" priority="8">
      <formula>H25&lt;0</formula>
    </cfRule>
  </conditionalFormatting>
  <conditionalFormatting sqref="J54">
    <cfRule type="expression" dxfId="2742" priority="5">
      <formula>J54&gt;0</formula>
    </cfRule>
    <cfRule type="expression" dxfId="2741" priority="6">
      <formula>J54&lt;0</formula>
    </cfRule>
  </conditionalFormatting>
  <conditionalFormatting sqref="F55:F57">
    <cfRule type="expression" dxfId="2740" priority="3">
      <formula>F55&gt;0</formula>
    </cfRule>
    <cfRule type="expression" dxfId="2739" priority="4">
      <formula>F55&lt;0</formula>
    </cfRule>
  </conditionalFormatting>
  <conditionalFormatting sqref="H55:H57">
    <cfRule type="expression" dxfId="2738" priority="1">
      <formula>H55&gt;0</formula>
    </cfRule>
    <cfRule type="expression" dxfId="273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736" priority="21">
      <formula>F47&gt;0</formula>
    </cfRule>
    <cfRule type="expression" dxfId="2735" priority="22">
      <formula>F47&lt;0</formula>
    </cfRule>
  </conditionalFormatting>
  <conditionalFormatting sqref="Q7">
    <cfRule type="expression" dxfId="2734" priority="19">
      <formula>Q7&gt;0</formula>
    </cfRule>
    <cfRule type="expression" dxfId="2733" priority="20">
      <formula>Q7&lt;0</formula>
    </cfRule>
  </conditionalFormatting>
  <conditionalFormatting sqref="Q8">
    <cfRule type="expression" dxfId="2732" priority="17">
      <formula>Q8&gt;0</formula>
    </cfRule>
    <cfRule type="expression" dxfId="2731" priority="18">
      <formula>Q8&lt;0</formula>
    </cfRule>
  </conditionalFormatting>
  <conditionalFormatting sqref="F25:F46">
    <cfRule type="expression" dxfId="2730" priority="15">
      <formula>F25&gt;0</formula>
    </cfRule>
    <cfRule type="expression" dxfId="2729" priority="16">
      <formula>F25&lt;0</formula>
    </cfRule>
  </conditionalFormatting>
  <conditionalFormatting sqref="H25:H46">
    <cfRule type="expression" dxfId="2728" priority="13">
      <formula>H25&gt;0</formula>
    </cfRule>
    <cfRule type="expression" dxfId="2727" priority="14">
      <formula>H25&lt;0</formula>
    </cfRule>
  </conditionalFormatting>
  <conditionalFormatting sqref="F89:F110">
    <cfRule type="expression" dxfId="2726" priority="11">
      <formula>F89&gt;0</formula>
    </cfRule>
    <cfRule type="expression" dxfId="2725" priority="12">
      <formula>F89&lt;0</formula>
    </cfRule>
  </conditionalFormatting>
  <conditionalFormatting sqref="H89:H110">
    <cfRule type="expression" dxfId="2724" priority="9">
      <formula>H89&gt;0</formula>
    </cfRule>
    <cfRule type="expression" dxfId="2723" priority="10">
      <formula>H89&lt;0</formula>
    </cfRule>
  </conditionalFormatting>
  <conditionalFormatting sqref="Q10">
    <cfRule type="expression" dxfId="2722" priority="7">
      <formula>Q10&gt;0</formula>
    </cfRule>
    <cfRule type="expression" dxfId="2721" priority="8">
      <formula>Q10&lt;0</formula>
    </cfRule>
  </conditionalFormatting>
  <conditionalFormatting sqref="J25:J38">
    <cfRule type="expression" dxfId="2720" priority="5">
      <formula>J25&gt;0</formula>
    </cfRule>
    <cfRule type="expression" dxfId="2719" priority="6">
      <formula>J25&lt;0</formula>
    </cfRule>
  </conditionalFormatting>
  <conditionalFormatting sqref="K25:K38">
    <cfRule type="expression" dxfId="2718" priority="3">
      <formula>K25&gt;0</formula>
    </cfRule>
    <cfRule type="expression" dxfId="2717" priority="4">
      <formula>K25&lt;0</formula>
    </cfRule>
  </conditionalFormatting>
  <conditionalFormatting sqref="L25:L38">
    <cfRule type="expression" dxfId="2716" priority="1">
      <formula>L25&gt;0</formula>
    </cfRule>
    <cfRule type="expression" dxfId="271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714" priority="23">
      <formula>F34&gt;0</formula>
    </cfRule>
    <cfRule type="expression" dxfId="2713" priority="24">
      <formula>F34&lt;0</formula>
    </cfRule>
  </conditionalFormatting>
  <conditionalFormatting sqref="Q7">
    <cfRule type="expression" dxfId="2712" priority="21">
      <formula>Q7&gt;0</formula>
    </cfRule>
    <cfRule type="expression" dxfId="2711" priority="22">
      <formula>Q7&lt;0</formula>
    </cfRule>
  </conditionalFormatting>
  <conditionalFormatting sqref="Q8">
    <cfRule type="expression" dxfId="2710" priority="19">
      <formula>Q8&gt;0</formula>
    </cfRule>
    <cfRule type="expression" dxfId="2709" priority="20">
      <formula>Q8&lt;0</formula>
    </cfRule>
  </conditionalFormatting>
  <conditionalFormatting sqref="F25:F33">
    <cfRule type="expression" dxfId="2708" priority="17">
      <formula>F25&gt;0</formula>
    </cfRule>
    <cfRule type="expression" dxfId="2707" priority="18">
      <formula>F25&lt;0</formula>
    </cfRule>
  </conditionalFormatting>
  <conditionalFormatting sqref="H25:H33">
    <cfRule type="expression" dxfId="2706" priority="15">
      <formula>H25&gt;0</formula>
    </cfRule>
    <cfRule type="expression" dxfId="2705" priority="16">
      <formula>H25&lt;0</formula>
    </cfRule>
  </conditionalFormatting>
  <conditionalFormatting sqref="M46">
    <cfRule type="expression" dxfId="2704" priority="13">
      <formula>M46&gt;0</formula>
    </cfRule>
    <cfRule type="expression" dxfId="2703" priority="14">
      <formula>M46&lt;0</formula>
    </cfRule>
  </conditionalFormatting>
  <conditionalFormatting sqref="F79:F87 H79:H87">
    <cfRule type="expression" dxfId="2702" priority="11">
      <formula>F79&gt;0</formula>
    </cfRule>
    <cfRule type="expression" dxfId="2701" priority="12">
      <formula>F79&lt;0</formula>
    </cfRule>
  </conditionalFormatting>
  <conditionalFormatting sqref="F70:F78">
    <cfRule type="expression" dxfId="2700" priority="9">
      <formula>F70&gt;0</formula>
    </cfRule>
    <cfRule type="expression" dxfId="2699" priority="10">
      <formula>F70&lt;0</formula>
    </cfRule>
  </conditionalFormatting>
  <conditionalFormatting sqref="H70:H78">
    <cfRule type="expression" dxfId="2698" priority="7">
      <formula>H70&gt;0</formula>
    </cfRule>
    <cfRule type="expression" dxfId="2697" priority="8">
      <formula>H70&lt;0</formula>
    </cfRule>
  </conditionalFormatting>
  <conditionalFormatting sqref="J27:K27 J30:K30 J33:K33 J36:K36 J39:K39 J42:K42">
    <cfRule type="expression" dxfId="2696" priority="5">
      <formula>J27&gt;0</formula>
    </cfRule>
    <cfRule type="expression" dxfId="2695" priority="6">
      <formula>J27&lt;0</formula>
    </cfRule>
  </conditionalFormatting>
  <conditionalFormatting sqref="J28:K29 J31:K32 J34:K35 J37:K38 J40:K41">
    <cfRule type="expression" dxfId="2694" priority="3">
      <formula>J28&gt;0</formula>
    </cfRule>
    <cfRule type="expression" dxfId="2693" priority="4">
      <formula>J28&lt;0</formula>
    </cfRule>
  </conditionalFormatting>
  <conditionalFormatting sqref="L27:L42">
    <cfRule type="expression" dxfId="2692" priority="1">
      <formula>L27&gt;0</formula>
    </cfRule>
    <cfRule type="expression" dxfId="269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690" priority="9">
      <formula>F57&gt;0</formula>
    </cfRule>
    <cfRule type="expression" dxfId="2689" priority="10">
      <formula>F57&lt;0</formula>
    </cfRule>
  </conditionalFormatting>
  <conditionalFormatting sqref="Q7">
    <cfRule type="expression" dxfId="2688" priority="7">
      <formula>Q7&gt;0</formula>
    </cfRule>
    <cfRule type="expression" dxfId="2687" priority="8">
      <formula>Q7&lt;0</formula>
    </cfRule>
  </conditionalFormatting>
  <conditionalFormatting sqref="Q8">
    <cfRule type="expression" dxfId="2686" priority="5">
      <formula>Q8&gt;0</formula>
    </cfRule>
    <cfRule type="expression" dxfId="2685" priority="6">
      <formula>Q8&lt;0</formula>
    </cfRule>
  </conditionalFormatting>
  <conditionalFormatting sqref="F25:F56">
    <cfRule type="expression" dxfId="2684" priority="3">
      <formula>F25&gt;0</formula>
    </cfRule>
    <cfRule type="expression" dxfId="2683" priority="4">
      <formula>F25&lt;0</formula>
    </cfRule>
  </conditionalFormatting>
  <conditionalFormatting sqref="H25:H56">
    <cfRule type="expression" dxfId="2682" priority="1">
      <formula>H25&gt;0</formula>
    </cfRule>
    <cfRule type="expression" dxfId="268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47.989899999999999</v>
      </c>
      <c r="R4" s="425">
        <v>-1.1299999999999999E-2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19195.96</v>
      </c>
    </row>
    <row r="6" spans="1:21" x14ac:dyDescent="0.25">
      <c r="B6" s="72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-720.11000000000058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-720.11000000000058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-3.6157233831775076E-2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2.7089033317427211E-2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5118</v>
      </c>
      <c r="G19" s="279"/>
      <c r="H19" s="279">
        <f>SumByColor($A$19,H2:H17)</f>
        <v>100</v>
      </c>
      <c r="I19" s="279"/>
      <c r="J19" s="279"/>
      <c r="K19" s="280">
        <f>SumByColor($A$19,K2:K17)</f>
        <v>5316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179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179">
        <f t="shared" si="2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179">
        <f t="shared" si="2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179">
        <f t="shared" si="2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179">
        <f t="shared" si="2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179">
        <f t="shared" si="2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179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179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179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179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179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179">
        <f t="shared" si="5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179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7" si="6">C39*(E39-D39)</f>
        <v>-53.999999999999915</v>
      </c>
      <c r="G39" s="39">
        <f t="shared" ref="G39:G47" si="7">D39*C39</f>
        <v>15099</v>
      </c>
      <c r="H39" s="179">
        <f t="shared" ref="H39:H47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179">
        <f t="shared" si="8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179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52.788890000000002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179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52.308990999999999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179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51.829092000000003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179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51.349193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179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50.869294000000004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179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50.389395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179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49.909495999999997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O48" s="81">
        <v>1.03</v>
      </c>
      <c r="P48" s="81">
        <f t="shared" si="9"/>
        <v>49.429597000000001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O49" s="81">
        <v>1.02</v>
      </c>
      <c r="P49" s="81">
        <f t="shared" si="9"/>
        <v>48.949697999999998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O50" s="81">
        <v>1.01</v>
      </c>
      <c r="P50" s="81">
        <f t="shared" si="9"/>
        <v>48.469799000000002</v>
      </c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O51" s="81">
        <v>1</v>
      </c>
      <c r="P51" s="81">
        <f t="shared" si="9"/>
        <v>47.989899999999999</v>
      </c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O52" s="81">
        <v>0.99</v>
      </c>
      <c r="P52" s="81">
        <f t="shared" si="9"/>
        <v>47.510000999999995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9"/>
        <v>47.030101999999999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9"/>
        <v>46.550202999999996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9"/>
        <v>46.070304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9"/>
        <v>45.590404999999997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9"/>
        <v>45.110505999999994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9"/>
        <v>44.630606999999998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9"/>
        <v>44.150708000000002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9"/>
        <v>43.670808999999998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9"/>
        <v>43.190910000000002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80" priority="35">
      <formula>F54&gt;0</formula>
    </cfRule>
    <cfRule type="expression" dxfId="2679" priority="36">
      <formula>F54&lt;0</formula>
    </cfRule>
  </conditionalFormatting>
  <conditionalFormatting sqref="Q7">
    <cfRule type="expression" dxfId="2678" priority="33">
      <formula>Q7&gt;0</formula>
    </cfRule>
    <cfRule type="expression" dxfId="2677" priority="34">
      <formula>Q7&lt;0</formula>
    </cfRule>
  </conditionalFormatting>
  <conditionalFormatting sqref="Q8">
    <cfRule type="expression" dxfId="2676" priority="31">
      <formula>Q8&gt;0</formula>
    </cfRule>
    <cfRule type="expression" dxfId="2675" priority="32">
      <formula>Q8&lt;0</formula>
    </cfRule>
  </conditionalFormatting>
  <conditionalFormatting sqref="F30:F53">
    <cfRule type="expression" dxfId="2674" priority="29">
      <formula>F30&gt;0</formula>
    </cfRule>
    <cfRule type="expression" dxfId="2673" priority="30">
      <formula>F30&lt;0</formula>
    </cfRule>
  </conditionalFormatting>
  <conditionalFormatting sqref="H30:H53">
    <cfRule type="expression" dxfId="2672" priority="27">
      <formula>H30&gt;0</formula>
    </cfRule>
    <cfRule type="expression" dxfId="2671" priority="28">
      <formula>H30&lt;0</formula>
    </cfRule>
  </conditionalFormatting>
  <conditionalFormatting sqref="Q10">
    <cfRule type="expression" dxfId="2670" priority="25">
      <formula>Q10&gt;0</formula>
    </cfRule>
    <cfRule type="expression" dxfId="2669" priority="26">
      <formula>Q10&lt;0</formula>
    </cfRule>
  </conditionalFormatting>
  <conditionalFormatting sqref="J27:J35">
    <cfRule type="expression" dxfId="2668" priority="23">
      <formula>J27&gt;0</formula>
    </cfRule>
    <cfRule type="expression" dxfId="2667" priority="24">
      <formula>J27&lt;0</formula>
    </cfRule>
  </conditionalFormatting>
  <conditionalFormatting sqref="K27:K38">
    <cfRule type="expression" dxfId="2666" priority="21">
      <formula>K27&gt;0</formula>
    </cfRule>
    <cfRule type="expression" dxfId="2665" priority="22">
      <formula>K27&lt;0</formula>
    </cfRule>
  </conditionalFormatting>
  <conditionalFormatting sqref="L27:L38">
    <cfRule type="expression" dxfId="2664" priority="19">
      <formula>L27&gt;0</formula>
    </cfRule>
    <cfRule type="expression" dxfId="2663" priority="20">
      <formula>L27&lt;0</formula>
    </cfRule>
  </conditionalFormatting>
  <conditionalFormatting sqref="F89:F110">
    <cfRule type="expression" dxfId="2662" priority="17">
      <formula>F89&gt;0</formula>
    </cfRule>
    <cfRule type="expression" dxfId="2661" priority="18">
      <formula>F89&lt;0</formula>
    </cfRule>
  </conditionalFormatting>
  <conditionalFormatting sqref="H89:H110">
    <cfRule type="expression" dxfId="2660" priority="15">
      <formula>H89&gt;0</formula>
    </cfRule>
    <cfRule type="expression" dxfId="2659" priority="16">
      <formula>H89&lt;0</formula>
    </cfRule>
  </conditionalFormatting>
  <conditionalFormatting sqref="J89:J102">
    <cfRule type="expression" dxfId="2658" priority="13">
      <formula>J89&gt;0</formula>
    </cfRule>
    <cfRule type="expression" dxfId="2657" priority="14">
      <formula>J89&lt;0</formula>
    </cfRule>
  </conditionalFormatting>
  <conditionalFormatting sqref="K89:K102">
    <cfRule type="expression" dxfId="2656" priority="11">
      <formula>K89&gt;0</formula>
    </cfRule>
    <cfRule type="expression" dxfId="2655" priority="12">
      <formula>K89&lt;0</formula>
    </cfRule>
  </conditionalFormatting>
  <conditionalFormatting sqref="L89:L102">
    <cfRule type="expression" dxfId="2654" priority="9">
      <formula>L89&gt;0</formula>
    </cfRule>
    <cfRule type="expression" dxfId="2653" priority="10">
      <formula>L89&lt;0</formula>
    </cfRule>
  </conditionalFormatting>
  <conditionalFormatting sqref="F29">
    <cfRule type="expression" dxfId="2652" priority="7">
      <formula>F29&gt;0</formula>
    </cfRule>
    <cfRule type="expression" dxfId="2651" priority="8">
      <formula>F29&lt;0</formula>
    </cfRule>
  </conditionalFormatting>
  <conditionalFormatting sqref="H29">
    <cfRule type="expression" dxfId="2650" priority="5">
      <formula>H29&gt;0</formula>
    </cfRule>
    <cfRule type="expression" dxfId="2649" priority="6">
      <formula>H29&lt;0</formula>
    </cfRule>
  </conditionalFormatting>
  <conditionalFormatting sqref="F25:F28 H25:H28">
    <cfRule type="expression" dxfId="2648" priority="1">
      <formula>F25&gt;0</formula>
    </cfRule>
    <cfRule type="expression" dxfId="264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51.942500000000003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75.179900000000004</v>
      </c>
      <c r="R4" s="405">
        <v>1.1999999999999999E-3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7517.9900000000007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5194.25</v>
      </c>
    </row>
    <row r="7" spans="1:21" x14ac:dyDescent="0.25">
      <c r="B7" s="72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2520.9499999999962</v>
      </c>
      <c r="R7">
        <v>100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2323.7400000000007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0.44736776242960979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2.6602855284457681E-2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10.778480286738352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SUM(H2:H6)</f>
        <v>250</v>
      </c>
      <c r="I18" s="18"/>
      <c r="J18" s="18"/>
      <c r="K18" s="18">
        <f>SUM(K2:K6)</f>
        <v>19346.25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17238</v>
      </c>
      <c r="G19" s="279"/>
      <c r="H19" s="279">
        <f>SumByColor($A$19,H2:H17)</f>
        <v>250</v>
      </c>
      <c r="I19" s="279"/>
      <c r="J19" s="279"/>
      <c r="K19" s="280">
        <f>SumByColor($A$19,K2:K17)</f>
        <v>19346</v>
      </c>
      <c r="L19" s="279"/>
      <c r="M19" s="280">
        <f>SumByColor($A$19,M2:M17)</f>
        <v>125</v>
      </c>
    </row>
    <row r="20" spans="1:16" ht="20.25" thickBot="1" x14ac:dyDescent="0.35">
      <c r="O20" s="773" t="s">
        <v>78</v>
      </c>
      <c r="P20" s="773"/>
    </row>
    <row r="21" spans="1:16" ht="15.75" thickTop="1" x14ac:dyDescent="0.25">
      <c r="O21" s="81">
        <v>1.1000000000000001</v>
      </c>
      <c r="P21" s="81">
        <f>O21*$Q$4</f>
        <v>82.697890000000015</v>
      </c>
    </row>
    <row r="22" spans="1:16" x14ac:dyDescent="0.25">
      <c r="O22" s="81">
        <v>1.0900000000000001</v>
      </c>
      <c r="P22" s="81">
        <f t="shared" ref="P22:P41" si="1">O22*$Q$4</f>
        <v>81.94609100000001</v>
      </c>
    </row>
    <row r="23" spans="1:16" x14ac:dyDescent="0.25">
      <c r="O23" s="81">
        <v>1.08</v>
      </c>
      <c r="P23" s="81">
        <f t="shared" si="1"/>
        <v>81.194292000000004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1"/>
        <v>80.442493000000013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179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79.690694000000008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179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78.938895000000002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179">
        <f t="shared" si="4"/>
        <v>-3.472530500286489E-3</v>
      </c>
      <c r="I27" s="39"/>
      <c r="J27" s="39" t="s">
        <v>184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78.187096000000011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179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77.435297000000006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179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76.683498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179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75.931699000000009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6">$Q$10+F31</f>
        <v>1530.210499999997</v>
      </c>
      <c r="L31" s="39"/>
      <c r="O31" s="81">
        <v>1</v>
      </c>
      <c r="P31" s="81">
        <f t="shared" si="1"/>
        <v>75.179900000000004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3" si="7">C32*(E32-D32)</f>
        <v>1405.0005000000019</v>
      </c>
      <c r="G32" s="39">
        <f t="shared" ref="G32:G43" si="8">D32*C32</f>
        <v>9646.9994999999999</v>
      </c>
      <c r="H32" s="179">
        <f t="shared" ref="H32:H43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74.428100999999998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179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73.676302000000007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179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72.924503000000001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179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72.172703999999996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179">
        <f t="shared" si="9"/>
        <v>0.28213924289463299</v>
      </c>
      <c r="I36" s="39"/>
      <c r="J36" s="39"/>
      <c r="K36" s="781">
        <f t="shared" si="6"/>
        <v>1842.1099999999954</v>
      </c>
      <c r="L36" s="39">
        <v>10.72</v>
      </c>
      <c r="O36" s="81">
        <v>0.95</v>
      </c>
      <c r="P36" s="81">
        <f t="shared" si="1"/>
        <v>71.420905000000005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179">
        <f t="shared" si="9"/>
        <v>1.0794645927571886</v>
      </c>
      <c r="I37" s="39"/>
      <c r="J37" s="39"/>
      <c r="K37" s="781">
        <f t="shared" si="6"/>
        <v>2237.5599999999959</v>
      </c>
      <c r="L37" s="39">
        <v>11.27</v>
      </c>
      <c r="O37" s="81">
        <v>0.94</v>
      </c>
      <c r="P37" s="81">
        <f t="shared" si="1"/>
        <v>70.669105999999999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179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69.917307000000008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179">
        <f t="shared" si="9"/>
        <v>1.2142379679144384</v>
      </c>
      <c r="I39" s="39"/>
      <c r="J39" s="39"/>
      <c r="K39" s="781">
        <f t="shared" si="6"/>
        <v>2377.0099999999952</v>
      </c>
      <c r="L39" s="39">
        <v>11.4</v>
      </c>
      <c r="O39" s="81">
        <v>0.92</v>
      </c>
      <c r="P39" s="81">
        <f t="shared" si="1"/>
        <v>69.165508000000003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179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68.413709000000011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179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67.661910000000006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179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179">
        <f t="shared" si="9"/>
        <v>0.51648457428887695</v>
      </c>
      <c r="I43" s="39"/>
      <c r="J43" s="39"/>
      <c r="K43" s="781">
        <f t="shared" si="6"/>
        <v>2879.959999999995</v>
      </c>
      <c r="L43" s="39">
        <v>11.29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0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0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0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0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0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0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1">C84*(E84-D84)</f>
        <v>1.6000000000002501</v>
      </c>
      <c r="G84" s="299">
        <f t="shared" ref="G84:G107" si="12">D84*C84</f>
        <v>1817</v>
      </c>
      <c r="H84" s="300">
        <f t="shared" ref="H84:H107" si="13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1"/>
        <v>-28.199999999999932</v>
      </c>
      <c r="G85" s="299">
        <f t="shared" si="12"/>
        <v>1817</v>
      </c>
      <c r="H85" s="300">
        <f t="shared" si="13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1"/>
        <v>-5.7999999999998408</v>
      </c>
      <c r="G86" s="299">
        <f t="shared" si="12"/>
        <v>1817</v>
      </c>
      <c r="H86" s="300">
        <f t="shared" si="13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1"/>
        <v>-84.599999999999795</v>
      </c>
      <c r="G87" s="299">
        <f t="shared" si="12"/>
        <v>3568.2</v>
      </c>
      <c r="H87" s="300">
        <f t="shared" si="13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1"/>
        <v>-112.1999999999997</v>
      </c>
      <c r="G88" s="299">
        <f t="shared" si="12"/>
        <v>3568.2</v>
      </c>
      <c r="H88" s="300">
        <f t="shared" si="13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1"/>
        <v>-204.20000000000016</v>
      </c>
      <c r="G89" s="299">
        <f t="shared" si="12"/>
        <v>3568.2</v>
      </c>
      <c r="H89" s="300">
        <f t="shared" si="13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1"/>
        <v>-304.80000000000018</v>
      </c>
      <c r="G90" s="299">
        <f t="shared" si="12"/>
        <v>6830.4</v>
      </c>
      <c r="H90" s="300">
        <f t="shared" si="13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1"/>
        <v>-905.59999999999945</v>
      </c>
      <c r="G91" s="299">
        <f t="shared" si="12"/>
        <v>6830.4</v>
      </c>
      <c r="H91" s="300">
        <f t="shared" si="13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1"/>
        <v>-679.19999999999959</v>
      </c>
      <c r="G92" s="299">
        <f t="shared" si="12"/>
        <v>6830.4</v>
      </c>
      <c r="H92" s="300">
        <f t="shared" si="13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1"/>
        <v>-499.19999999999959</v>
      </c>
      <c r="G93" s="299">
        <f t="shared" si="12"/>
        <v>6830.4</v>
      </c>
      <c r="H93" s="300">
        <f t="shared" si="13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1"/>
        <v>-216.7999999999995</v>
      </c>
      <c r="G94" s="299">
        <f t="shared" si="12"/>
        <v>6830.4</v>
      </c>
      <c r="H94" s="300">
        <f t="shared" si="13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1"/>
        <v>-305.59999999999945</v>
      </c>
      <c r="G95" s="299">
        <f t="shared" si="12"/>
        <v>6830.4</v>
      </c>
      <c r="H95" s="300">
        <f t="shared" si="13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1"/>
        <v>-487.00000000000045</v>
      </c>
      <c r="G96" s="299">
        <f t="shared" si="12"/>
        <v>8436</v>
      </c>
      <c r="H96" s="300">
        <f t="shared" si="13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1"/>
        <v>-615.47040000000015</v>
      </c>
      <c r="G97" s="299">
        <f t="shared" si="12"/>
        <v>14610.4704</v>
      </c>
      <c r="H97" s="300">
        <f t="shared" si="13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1"/>
        <v>-614.26960000000065</v>
      </c>
      <c r="G98" s="299">
        <f t="shared" si="12"/>
        <v>11499.269600000001</v>
      </c>
      <c r="H98" s="300">
        <f t="shared" si="13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1"/>
        <v>-998.47080000000028</v>
      </c>
      <c r="G99" s="299">
        <f t="shared" si="12"/>
        <v>14462.470799999999</v>
      </c>
      <c r="H99" s="300">
        <f t="shared" si="13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1"/>
        <v>-327.07079999999962</v>
      </c>
      <c r="G100" s="299">
        <f t="shared" si="12"/>
        <v>14462.470799999999</v>
      </c>
      <c r="H100" s="300">
        <f t="shared" si="13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1"/>
        <v>-105.65999999999804</v>
      </c>
      <c r="G101" s="299">
        <f t="shared" si="12"/>
        <v>14462.46</v>
      </c>
      <c r="H101" s="300">
        <f t="shared" si="13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1"/>
        <v>-24.939599999999871</v>
      </c>
      <c r="G102" s="299">
        <f t="shared" si="12"/>
        <v>11247.339599999999</v>
      </c>
      <c r="H102" s="300">
        <f t="shared" si="13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1"/>
        <v>159.86040000000116</v>
      </c>
      <c r="G103" s="299">
        <f t="shared" si="12"/>
        <v>11247.339599999999</v>
      </c>
      <c r="H103" s="300">
        <f t="shared" si="13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1"/>
        <v>129.52199999999976</v>
      </c>
      <c r="G104" s="299">
        <f t="shared" si="12"/>
        <v>4751.4780000000001</v>
      </c>
      <c r="H104" s="300">
        <f t="shared" si="13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1"/>
        <v>32.322000000000344</v>
      </c>
      <c r="G105" s="299">
        <f t="shared" si="12"/>
        <v>4751.4780000000001</v>
      </c>
      <c r="H105" s="300">
        <f t="shared" si="13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1"/>
        <v>-42.078000000000202</v>
      </c>
      <c r="G106" s="299">
        <f t="shared" si="12"/>
        <v>4751.4780000000001</v>
      </c>
      <c r="H106" s="300">
        <f t="shared" si="13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1"/>
        <v>-73.800000000000239</v>
      </c>
      <c r="G107" s="299">
        <f t="shared" si="12"/>
        <v>4751.3999999999996</v>
      </c>
      <c r="H107" s="300">
        <f t="shared" si="13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646" priority="25">
      <formula>F57&gt;0</formula>
    </cfRule>
    <cfRule type="expression" dxfId="2645" priority="26">
      <formula>F57&lt;0</formula>
    </cfRule>
  </conditionalFormatting>
  <conditionalFormatting sqref="Q7">
    <cfRule type="expression" dxfId="2644" priority="23">
      <formula>Q7&gt;0</formula>
    </cfRule>
    <cfRule type="expression" dxfId="2643" priority="24">
      <formula>Q7&lt;0</formula>
    </cfRule>
  </conditionalFormatting>
  <conditionalFormatting sqref="Q8">
    <cfRule type="expression" dxfId="2642" priority="21">
      <formula>Q8&gt;0</formula>
    </cfRule>
    <cfRule type="expression" dxfId="2641" priority="22">
      <formula>Q8&lt;0</formula>
    </cfRule>
  </conditionalFormatting>
  <conditionalFormatting sqref="M58">
    <cfRule type="expression" dxfId="2640" priority="15">
      <formula>M58&gt;0</formula>
    </cfRule>
    <cfRule type="expression" dxfId="2639" priority="16">
      <formula>M58&lt;0</formula>
    </cfRule>
  </conditionalFormatting>
  <conditionalFormatting sqref="F84:F115">
    <cfRule type="expression" dxfId="2638" priority="13">
      <formula>F84&gt;0</formula>
    </cfRule>
    <cfRule type="expression" dxfId="2637" priority="14">
      <formula>F84&lt;0</formula>
    </cfRule>
  </conditionalFormatting>
  <conditionalFormatting sqref="H84:H115">
    <cfRule type="expression" dxfId="2636" priority="11">
      <formula>H84&gt;0</formula>
    </cfRule>
    <cfRule type="expression" dxfId="2635" priority="12">
      <formula>H84&lt;0</formula>
    </cfRule>
  </conditionalFormatting>
  <conditionalFormatting sqref="F25:F56 H25:H56">
    <cfRule type="expression" dxfId="2634" priority="9">
      <formula>F25&gt;0</formula>
    </cfRule>
    <cfRule type="expression" dxfId="2633" priority="10">
      <formula>F25&lt;0</formula>
    </cfRule>
  </conditionalFormatting>
  <conditionalFormatting sqref="J28:J30 K25:K30 J31:K38">
    <cfRule type="expression" dxfId="2632" priority="5">
      <formula>J25&gt;0</formula>
    </cfRule>
    <cfRule type="expression" dxfId="2631" priority="6">
      <formula>J25&lt;0</formula>
    </cfRule>
  </conditionalFormatting>
  <conditionalFormatting sqref="K39:K42">
    <cfRule type="expression" dxfId="2630" priority="3">
      <formula>K39&gt;0</formula>
    </cfRule>
    <cfRule type="expression" dxfId="2629" priority="4">
      <formula>K39&lt;0</formula>
    </cfRule>
  </conditionalFormatting>
  <conditionalFormatting sqref="K43">
    <cfRule type="expression" dxfId="2628" priority="1">
      <formula>K43&gt;0</formula>
    </cfRule>
    <cfRule type="expression" dxfId="2627" priority="2">
      <formula>K43&lt;0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6" priority="21">
      <formula>F47&gt;0</formula>
    </cfRule>
    <cfRule type="expression" dxfId="2625" priority="22">
      <formula>F47&lt;0</formula>
    </cfRule>
  </conditionalFormatting>
  <conditionalFormatting sqref="Q7">
    <cfRule type="expression" dxfId="2624" priority="19">
      <formula>Q7&gt;0</formula>
    </cfRule>
    <cfRule type="expression" dxfId="2623" priority="20">
      <formula>Q7&lt;0</formula>
    </cfRule>
  </conditionalFormatting>
  <conditionalFormatting sqref="Q8">
    <cfRule type="expression" dxfId="2622" priority="17">
      <formula>Q8&gt;0</formula>
    </cfRule>
    <cfRule type="expression" dxfId="2621" priority="18">
      <formula>Q8&lt;0</formula>
    </cfRule>
  </conditionalFormatting>
  <conditionalFormatting sqref="F25:F46">
    <cfRule type="expression" dxfId="2620" priority="15">
      <formula>F25&gt;0</formula>
    </cfRule>
    <cfRule type="expression" dxfId="2619" priority="16">
      <formula>F25&lt;0</formula>
    </cfRule>
  </conditionalFormatting>
  <conditionalFormatting sqref="H25:H46">
    <cfRule type="expression" dxfId="2618" priority="13">
      <formula>H25&gt;0</formula>
    </cfRule>
    <cfRule type="expression" dxfId="2617" priority="14">
      <formula>H25&lt;0</formula>
    </cfRule>
  </conditionalFormatting>
  <conditionalFormatting sqref="F89:F110">
    <cfRule type="expression" dxfId="2616" priority="11">
      <formula>F89&gt;0</formula>
    </cfRule>
    <cfRule type="expression" dxfId="2615" priority="12">
      <formula>F89&lt;0</formula>
    </cfRule>
  </conditionalFormatting>
  <conditionalFormatting sqref="H89:H110">
    <cfRule type="expression" dxfId="2614" priority="9">
      <formula>H89&gt;0</formula>
    </cfRule>
    <cfRule type="expression" dxfId="2613" priority="10">
      <formula>H89&lt;0</formula>
    </cfRule>
  </conditionalFormatting>
  <conditionalFormatting sqref="Q10">
    <cfRule type="expression" dxfId="2612" priority="7">
      <formula>Q10&gt;0</formula>
    </cfRule>
    <cfRule type="expression" dxfId="2611" priority="8">
      <formula>Q10&lt;0</formula>
    </cfRule>
  </conditionalFormatting>
  <conditionalFormatting sqref="J25:J38">
    <cfRule type="expression" dxfId="2610" priority="5">
      <formula>J25&gt;0</formula>
    </cfRule>
    <cfRule type="expression" dxfId="2609" priority="6">
      <formula>J25&lt;0</formula>
    </cfRule>
  </conditionalFormatting>
  <conditionalFormatting sqref="K25:K38">
    <cfRule type="expression" dxfId="2608" priority="3">
      <formula>K25&gt;0</formula>
    </cfRule>
    <cfRule type="expression" dxfId="2607" priority="4">
      <formula>K25&lt;0</formula>
    </cfRule>
  </conditionalFormatting>
  <conditionalFormatting sqref="L25:L38">
    <cfRule type="expression" dxfId="2606" priority="1">
      <formula>L25&gt;0</formula>
    </cfRule>
    <cfRule type="expression" dxfId="260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0</v>
      </c>
      <c r="T2" s="1"/>
      <c r="U2" t="s">
        <v>1286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222.55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222.55</v>
      </c>
      <c r="R4" s="425">
        <v>5.4999999999999997E-3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164.93000000000029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1300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244.80500000000004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242.57950000000002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240.35400000000004</v>
      </c>
    </row>
    <row r="20" spans="1:16" x14ac:dyDescent="0.25">
      <c r="O20" s="81">
        <v>1.07</v>
      </c>
      <c r="P20" s="81">
        <f t="shared" si="0"/>
        <v>238.12850000000003</v>
      </c>
    </row>
    <row r="21" spans="1:16" x14ac:dyDescent="0.25">
      <c r="O21" s="81">
        <v>1.06</v>
      </c>
      <c r="P21" s="81">
        <f t="shared" si="0"/>
        <v>235.90300000000002</v>
      </c>
    </row>
    <row r="22" spans="1:16" x14ac:dyDescent="0.25">
      <c r="O22" s="81">
        <v>1.05</v>
      </c>
      <c r="P22" s="81">
        <f t="shared" si="0"/>
        <v>233.67750000000001</v>
      </c>
    </row>
    <row r="23" spans="1:16" x14ac:dyDescent="0.25">
      <c r="O23" s="81">
        <v>1.04</v>
      </c>
      <c r="P23" s="81">
        <f t="shared" si="0"/>
        <v>231.45200000000003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229.22650000000002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227.001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224.77550000000002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222.55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220.3245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218.09900000000002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215.87350000000001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213.648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211.42250000000001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209.197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206.97150000000002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204.74600000000001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202.52050000000003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200.29500000000002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4" priority="35">
      <formula>F47&gt;0</formula>
    </cfRule>
    <cfRule type="expression" dxfId="2603" priority="36">
      <formula>F47&lt;0</formula>
    </cfRule>
  </conditionalFormatting>
  <conditionalFormatting sqref="Q7">
    <cfRule type="expression" dxfId="2602" priority="33">
      <formula>Q7&gt;0</formula>
    </cfRule>
    <cfRule type="expression" dxfId="2601" priority="34">
      <formula>Q7&lt;0</formula>
    </cfRule>
  </conditionalFormatting>
  <conditionalFormatting sqref="Q8">
    <cfRule type="expression" dxfId="2600" priority="31">
      <formula>Q8&gt;0</formula>
    </cfRule>
    <cfRule type="expression" dxfId="2599" priority="32">
      <formula>Q8&lt;0</formula>
    </cfRule>
  </conditionalFormatting>
  <conditionalFormatting sqref="F30:F46">
    <cfRule type="expression" dxfId="2598" priority="29">
      <formula>F30&gt;0</formula>
    </cfRule>
    <cfRule type="expression" dxfId="2597" priority="30">
      <formula>F30&lt;0</formula>
    </cfRule>
  </conditionalFormatting>
  <conditionalFormatting sqref="H30:H46">
    <cfRule type="expression" dxfId="2596" priority="27">
      <formula>H30&gt;0</formula>
    </cfRule>
    <cfRule type="expression" dxfId="2595" priority="28">
      <formula>H30&lt;0</formula>
    </cfRule>
  </conditionalFormatting>
  <conditionalFormatting sqref="Q10">
    <cfRule type="expression" dxfId="2594" priority="25">
      <formula>Q10&gt;0</formula>
    </cfRule>
    <cfRule type="expression" dxfId="2593" priority="26">
      <formula>Q10&lt;0</formula>
    </cfRule>
  </conditionalFormatting>
  <conditionalFormatting sqref="J25:J38">
    <cfRule type="expression" dxfId="2592" priority="23">
      <formula>J25&gt;0</formula>
    </cfRule>
    <cfRule type="expression" dxfId="2591" priority="24">
      <formula>J25&lt;0</formula>
    </cfRule>
  </conditionalFormatting>
  <conditionalFormatting sqref="K25:K38">
    <cfRule type="expression" dxfId="2590" priority="21">
      <formula>K25&gt;0</formula>
    </cfRule>
    <cfRule type="expression" dxfId="2589" priority="22">
      <formula>K25&lt;0</formula>
    </cfRule>
  </conditionalFormatting>
  <conditionalFormatting sqref="L25 L38">
    <cfRule type="expression" dxfId="2588" priority="19">
      <formula>L25&gt;0</formula>
    </cfRule>
    <cfRule type="expression" dxfId="2587" priority="20">
      <formula>L25&lt;0</formula>
    </cfRule>
  </conditionalFormatting>
  <conditionalFormatting sqref="F89:F110">
    <cfRule type="expression" dxfId="2586" priority="17">
      <formula>F89&gt;0</formula>
    </cfRule>
    <cfRule type="expression" dxfId="2585" priority="18">
      <formula>F89&lt;0</formula>
    </cfRule>
  </conditionalFormatting>
  <conditionalFormatting sqref="H89:H110">
    <cfRule type="expression" dxfId="2584" priority="15">
      <formula>H89&gt;0</formula>
    </cfRule>
    <cfRule type="expression" dxfId="2583" priority="16">
      <formula>H89&lt;0</formula>
    </cfRule>
  </conditionalFormatting>
  <conditionalFormatting sqref="J89:J102">
    <cfRule type="expression" dxfId="2582" priority="13">
      <formula>J89&gt;0</formula>
    </cfRule>
    <cfRule type="expression" dxfId="2581" priority="14">
      <formula>J89&lt;0</formula>
    </cfRule>
  </conditionalFormatting>
  <conditionalFormatting sqref="K89:K102">
    <cfRule type="expression" dxfId="2580" priority="11">
      <formula>K89&gt;0</formula>
    </cfRule>
    <cfRule type="expression" dxfId="2579" priority="12">
      <formula>K89&lt;0</formula>
    </cfRule>
  </conditionalFormatting>
  <conditionalFormatting sqref="L89:L102">
    <cfRule type="expression" dxfId="2578" priority="9">
      <formula>L89&gt;0</formula>
    </cfRule>
    <cfRule type="expression" dxfId="2577" priority="10">
      <formula>L89&lt;0</formula>
    </cfRule>
  </conditionalFormatting>
  <conditionalFormatting sqref="F25 F29">
    <cfRule type="expression" dxfId="2576" priority="7">
      <formula>F25&gt;0</formula>
    </cfRule>
    <cfRule type="expression" dxfId="2575" priority="8">
      <formula>F25&lt;0</formula>
    </cfRule>
  </conditionalFormatting>
  <conditionalFormatting sqref="H29 H25:H27">
    <cfRule type="expression" dxfId="2574" priority="5">
      <formula>H25&gt;0</formula>
    </cfRule>
    <cfRule type="expression" dxfId="2573" priority="6">
      <formula>H25&lt;0</formula>
    </cfRule>
  </conditionalFormatting>
  <conditionalFormatting sqref="F26:F28">
    <cfRule type="expression" dxfId="2572" priority="3">
      <formula>F26&gt;0</formula>
    </cfRule>
    <cfRule type="expression" dxfId="2571" priority="4">
      <formula>F26&lt;0</formula>
    </cfRule>
  </conditionalFormatting>
  <conditionalFormatting sqref="H28">
    <cfRule type="expression" dxfId="2570" priority="1">
      <formula>H28&gt;0</formula>
    </cfRule>
    <cfRule type="expression" dxfId="256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1290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68" priority="35">
      <formula>F47&gt;0</formula>
    </cfRule>
    <cfRule type="expression" dxfId="2567" priority="36">
      <formula>F47&lt;0</formula>
    </cfRule>
  </conditionalFormatting>
  <conditionalFormatting sqref="Q7">
    <cfRule type="expression" dxfId="2566" priority="33">
      <formula>Q7&gt;0</formula>
    </cfRule>
    <cfRule type="expression" dxfId="2565" priority="34">
      <formula>Q7&lt;0</formula>
    </cfRule>
  </conditionalFormatting>
  <conditionalFormatting sqref="Q8">
    <cfRule type="expression" dxfId="2564" priority="31">
      <formula>Q8&gt;0</formula>
    </cfRule>
    <cfRule type="expression" dxfId="2563" priority="32">
      <formula>Q8&lt;0</formula>
    </cfRule>
  </conditionalFormatting>
  <conditionalFormatting sqref="F30:F46">
    <cfRule type="expression" dxfId="2562" priority="29">
      <formula>F30&gt;0</formula>
    </cfRule>
    <cfRule type="expression" dxfId="2561" priority="30">
      <formula>F30&lt;0</formula>
    </cfRule>
  </conditionalFormatting>
  <conditionalFormatting sqref="H30:H46">
    <cfRule type="expression" dxfId="2560" priority="27">
      <formula>H30&gt;0</formula>
    </cfRule>
    <cfRule type="expression" dxfId="2559" priority="28">
      <formula>H30&lt;0</formula>
    </cfRule>
  </conditionalFormatting>
  <conditionalFormatting sqref="Q10">
    <cfRule type="expression" dxfId="2558" priority="25">
      <formula>Q10&gt;0</formula>
    </cfRule>
    <cfRule type="expression" dxfId="2557" priority="26">
      <formula>Q10&lt;0</formula>
    </cfRule>
  </conditionalFormatting>
  <conditionalFormatting sqref="J25:J38">
    <cfRule type="expression" dxfId="2556" priority="23">
      <formula>J25&gt;0</formula>
    </cfRule>
    <cfRule type="expression" dxfId="2555" priority="24">
      <formula>J25&lt;0</formula>
    </cfRule>
  </conditionalFormatting>
  <conditionalFormatting sqref="K25:K38">
    <cfRule type="expression" dxfId="2554" priority="21">
      <formula>K25&gt;0</formula>
    </cfRule>
    <cfRule type="expression" dxfId="2553" priority="22">
      <formula>K25&lt;0</formula>
    </cfRule>
  </conditionalFormatting>
  <conditionalFormatting sqref="L25 L38">
    <cfRule type="expression" dxfId="2552" priority="19">
      <formula>L25&gt;0</formula>
    </cfRule>
    <cfRule type="expression" dxfId="2551" priority="20">
      <formula>L25&lt;0</formula>
    </cfRule>
  </conditionalFormatting>
  <conditionalFormatting sqref="F89:F110">
    <cfRule type="expression" dxfId="2550" priority="17">
      <formula>F89&gt;0</formula>
    </cfRule>
    <cfRule type="expression" dxfId="2549" priority="18">
      <formula>F89&lt;0</formula>
    </cfRule>
  </conditionalFormatting>
  <conditionalFormatting sqref="H89:H110">
    <cfRule type="expression" dxfId="2548" priority="15">
      <formula>H89&gt;0</formula>
    </cfRule>
    <cfRule type="expression" dxfId="2547" priority="16">
      <formula>H89&lt;0</formula>
    </cfRule>
  </conditionalFormatting>
  <conditionalFormatting sqref="J89:J102">
    <cfRule type="expression" dxfId="2546" priority="13">
      <formula>J89&gt;0</formula>
    </cfRule>
    <cfRule type="expression" dxfId="2545" priority="14">
      <formula>J89&lt;0</formula>
    </cfRule>
  </conditionalFormatting>
  <conditionalFormatting sqref="K89:K102">
    <cfRule type="expression" dxfId="2544" priority="11">
      <formula>K89&gt;0</formula>
    </cfRule>
    <cfRule type="expression" dxfId="2543" priority="12">
      <formula>K89&lt;0</formula>
    </cfRule>
  </conditionalFormatting>
  <conditionalFormatting sqref="L89:L102">
    <cfRule type="expression" dxfId="2542" priority="9">
      <formula>L89&gt;0</formula>
    </cfRule>
    <cfRule type="expression" dxfId="2541" priority="10">
      <formula>L89&lt;0</formula>
    </cfRule>
  </conditionalFormatting>
  <conditionalFormatting sqref="F29 F25:F26">
    <cfRule type="expression" dxfId="2540" priority="7">
      <formula>F25&gt;0</formula>
    </cfRule>
    <cfRule type="expression" dxfId="2539" priority="8">
      <formula>F25&lt;0</formula>
    </cfRule>
  </conditionalFormatting>
  <conditionalFormatting sqref="H29 H25:H27">
    <cfRule type="expression" dxfId="2538" priority="5">
      <formula>H25&gt;0</formula>
    </cfRule>
    <cfRule type="expression" dxfId="2537" priority="6">
      <formula>H25&lt;0</formula>
    </cfRule>
  </conditionalFormatting>
  <conditionalFormatting sqref="F27:F28">
    <cfRule type="expression" dxfId="2536" priority="3">
      <formula>F27&gt;0</formula>
    </cfRule>
    <cfRule type="expression" dxfId="2535" priority="4">
      <formula>F27&lt;0</formula>
    </cfRule>
  </conditionalFormatting>
  <conditionalFormatting sqref="H28">
    <cfRule type="expression" dxfId="2534" priority="1">
      <formula>H28&gt;0</formula>
    </cfRule>
    <cfRule type="expression" dxfId="253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26.1999</v>
      </c>
      <c r="R4" s="425">
        <v>-1.84E-2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2619.9899999999998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28.989999999999782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28.989999999999782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1.1188730219992197E-2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5.9545227272727264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28.819890000000001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28.557891000000001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28.295892000000002</v>
      </c>
    </row>
    <row r="20" spans="1:16" x14ac:dyDescent="0.25">
      <c r="O20" s="81">
        <v>1.07</v>
      </c>
      <c r="P20" s="81">
        <f t="shared" si="0"/>
        <v>28.033893000000003</v>
      </c>
    </row>
    <row r="21" spans="1:16" x14ac:dyDescent="0.25">
      <c r="O21" s="81">
        <v>1.06</v>
      </c>
      <c r="P21" s="81">
        <f t="shared" si="0"/>
        <v>27.771894</v>
      </c>
    </row>
    <row r="22" spans="1:16" x14ac:dyDescent="0.25">
      <c r="O22" s="81">
        <v>1.05</v>
      </c>
      <c r="P22" s="81">
        <f t="shared" si="0"/>
        <v>27.509895</v>
      </c>
    </row>
    <row r="23" spans="1:16" x14ac:dyDescent="0.25">
      <c r="O23" s="81">
        <v>1.04</v>
      </c>
      <c r="P23" s="81">
        <f t="shared" si="0"/>
        <v>27.247896000000001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26.985897000000001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26.723897999999998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26.461898999999999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26.1999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25.937901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25.675902000000001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25.413902999999998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25.151903999999998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24.889904999999999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24.627905999999999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24.365907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24.103908000000001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23.841909000000001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23.579910000000002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32" priority="43">
      <formula>F54&gt;0</formula>
    </cfRule>
    <cfRule type="expression" dxfId="2531" priority="44">
      <formula>F54&lt;0</formula>
    </cfRule>
  </conditionalFormatting>
  <conditionalFormatting sqref="Q7">
    <cfRule type="expression" dxfId="2530" priority="41">
      <formula>Q7&gt;0</formula>
    </cfRule>
    <cfRule type="expression" dxfId="2529" priority="42">
      <formula>Q7&lt;0</formula>
    </cfRule>
  </conditionalFormatting>
  <conditionalFormatting sqref="Q8">
    <cfRule type="expression" dxfId="2528" priority="39">
      <formula>Q8&gt;0</formula>
    </cfRule>
    <cfRule type="expression" dxfId="2527" priority="40">
      <formula>Q8&lt;0</formula>
    </cfRule>
  </conditionalFormatting>
  <conditionalFormatting sqref="F33:F36 F38:F53">
    <cfRule type="expression" dxfId="2526" priority="37">
      <formula>F33&gt;0</formula>
    </cfRule>
    <cfRule type="expression" dxfId="2525" priority="38">
      <formula>F33&lt;0</formula>
    </cfRule>
  </conditionalFormatting>
  <conditionalFormatting sqref="H33:H36 H38:H53">
    <cfRule type="expression" dxfId="2524" priority="35">
      <formula>H33&gt;0</formula>
    </cfRule>
    <cfRule type="expression" dxfId="2523" priority="36">
      <formula>H33&lt;0</formula>
    </cfRule>
  </conditionalFormatting>
  <conditionalFormatting sqref="Q10">
    <cfRule type="expression" dxfId="2522" priority="33">
      <formula>Q10&gt;0</formula>
    </cfRule>
    <cfRule type="expression" dxfId="2521" priority="34">
      <formula>Q10&lt;0</formula>
    </cfRule>
  </conditionalFormatting>
  <conditionalFormatting sqref="J25:J37">
    <cfRule type="expression" dxfId="2520" priority="31">
      <formula>J25&gt;0</formula>
    </cfRule>
    <cfRule type="expression" dxfId="2519" priority="32">
      <formula>J25&lt;0</formula>
    </cfRule>
  </conditionalFormatting>
  <conditionalFormatting sqref="K25:K38">
    <cfRule type="expression" dxfId="2518" priority="29">
      <formula>K25&gt;0</formula>
    </cfRule>
    <cfRule type="expression" dxfId="2517" priority="30">
      <formula>K25&lt;0</formula>
    </cfRule>
  </conditionalFormatting>
  <conditionalFormatting sqref="L25">
    <cfRule type="expression" dxfId="2516" priority="27">
      <formula>L25&gt;0</formula>
    </cfRule>
    <cfRule type="expression" dxfId="2515" priority="28">
      <formula>L25&lt;0</formula>
    </cfRule>
  </conditionalFormatting>
  <conditionalFormatting sqref="F89:F110">
    <cfRule type="expression" dxfId="2514" priority="25">
      <formula>F89&gt;0</formula>
    </cfRule>
    <cfRule type="expression" dxfId="2513" priority="26">
      <formula>F89&lt;0</formula>
    </cfRule>
  </conditionalFormatting>
  <conditionalFormatting sqref="H89:H110">
    <cfRule type="expression" dxfId="2512" priority="23">
      <formula>H89&gt;0</formula>
    </cfRule>
    <cfRule type="expression" dxfId="2511" priority="24">
      <formula>H89&lt;0</formula>
    </cfRule>
  </conditionalFormatting>
  <conditionalFormatting sqref="J89:J102">
    <cfRule type="expression" dxfId="2510" priority="21">
      <formula>J89&gt;0</formula>
    </cfRule>
    <cfRule type="expression" dxfId="2509" priority="22">
      <formula>J89&lt;0</formula>
    </cfRule>
  </conditionalFormatting>
  <conditionalFormatting sqref="K89:K102">
    <cfRule type="expression" dxfId="2508" priority="19">
      <formula>K89&gt;0</formula>
    </cfRule>
    <cfRule type="expression" dxfId="2507" priority="20">
      <formula>K89&lt;0</formula>
    </cfRule>
  </conditionalFormatting>
  <conditionalFormatting sqref="L89:L102">
    <cfRule type="expression" dxfId="2506" priority="17">
      <formula>L89&gt;0</formula>
    </cfRule>
    <cfRule type="expression" dxfId="2505" priority="18">
      <formula>L89&lt;0</formula>
    </cfRule>
  </conditionalFormatting>
  <conditionalFormatting sqref="F29:F32">
    <cfRule type="expression" dxfId="2504" priority="15">
      <formula>F29&gt;0</formula>
    </cfRule>
    <cfRule type="expression" dxfId="2503" priority="16">
      <formula>F29&lt;0</formula>
    </cfRule>
  </conditionalFormatting>
  <conditionalFormatting sqref="H29:H32">
    <cfRule type="expression" dxfId="2502" priority="13">
      <formula>H29&gt;0</formula>
    </cfRule>
    <cfRule type="expression" dxfId="2501" priority="14">
      <formula>H29&lt;0</formula>
    </cfRule>
  </conditionalFormatting>
  <conditionalFormatting sqref="F25:F28">
    <cfRule type="expression" dxfId="2500" priority="11">
      <formula>F25&gt;0</formula>
    </cfRule>
    <cfRule type="expression" dxfId="2499" priority="12">
      <formula>F25&lt;0</formula>
    </cfRule>
  </conditionalFormatting>
  <conditionalFormatting sqref="H25:H28">
    <cfRule type="expression" dxfId="2498" priority="9">
      <formula>H25&gt;0</formula>
    </cfRule>
    <cfRule type="expression" dxfId="2497" priority="10">
      <formula>H25&lt;0</formula>
    </cfRule>
  </conditionalFormatting>
  <conditionalFormatting sqref="F37">
    <cfRule type="expression" dxfId="2496" priority="7">
      <formula>F37&gt;0</formula>
    </cfRule>
    <cfRule type="expression" dxfId="2495" priority="8">
      <formula>F37&lt;0</formula>
    </cfRule>
  </conditionalFormatting>
  <conditionalFormatting sqref="H37">
    <cfRule type="expression" dxfId="2494" priority="5">
      <formula>H37&gt;0</formula>
    </cfRule>
    <cfRule type="expression" dxfId="2493" priority="6">
      <formula>H37&lt;0</formula>
    </cfRule>
  </conditionalFormatting>
  <conditionalFormatting sqref="J49">
    <cfRule type="expression" dxfId="2492" priority="3">
      <formula>J49&gt;0</formula>
    </cfRule>
    <cfRule type="expression" dxfId="2491" priority="4">
      <formula>J49&lt;0</formula>
    </cfRule>
  </conditionalFormatting>
  <conditionalFormatting sqref="J38:J48">
    <cfRule type="expression" dxfId="2490" priority="1">
      <formula>J38&gt;0</formula>
    </cfRule>
    <cfRule type="expression" dxfId="248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53.309899999999999</v>
      </c>
      <c r="R4" s="425">
        <v>-1.0800000000000001E-2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5330.99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-129.01000000000022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-129.01000000000022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-2.3628205128205168E-2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2.1669521045809503E-2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58.640890000000006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58.107791000000006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57.574692000000006</v>
      </c>
    </row>
    <row r="20" spans="1:16" x14ac:dyDescent="0.25">
      <c r="O20" s="81">
        <v>1.07</v>
      </c>
      <c r="P20" s="81">
        <f t="shared" si="0"/>
        <v>57.041592999999999</v>
      </c>
    </row>
    <row r="21" spans="1:16" x14ac:dyDescent="0.25">
      <c r="O21" s="81">
        <v>1.06</v>
      </c>
      <c r="P21" s="81">
        <f t="shared" si="0"/>
        <v>56.508493999999999</v>
      </c>
    </row>
    <row r="22" spans="1:16" x14ac:dyDescent="0.25">
      <c r="O22" s="81">
        <v>1.05</v>
      </c>
      <c r="P22" s="81">
        <f t="shared" si="0"/>
        <v>55.975394999999999</v>
      </c>
    </row>
    <row r="23" spans="1:16" x14ac:dyDescent="0.25">
      <c r="O23" s="81">
        <v>1.04</v>
      </c>
      <c r="P23" s="81">
        <f t="shared" si="0"/>
        <v>55.442295999999999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54.909196999999999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54.376097999999999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53.842998999999999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53.309899999999999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52.776800999999999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52.243701999999999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51.710602999999999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51.177503999999999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50.644404999999999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50.111305999999999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49.578206999999999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49.045107999999999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48.512008999999999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47.978909999999999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88" priority="35">
      <formula>F47&gt;0</formula>
    </cfRule>
    <cfRule type="expression" dxfId="2487" priority="36">
      <formula>F47&lt;0</formula>
    </cfRule>
  </conditionalFormatting>
  <conditionalFormatting sqref="Q7">
    <cfRule type="expression" dxfId="2486" priority="33">
      <formula>Q7&gt;0</formula>
    </cfRule>
    <cfRule type="expression" dxfId="2485" priority="34">
      <formula>Q7&lt;0</formula>
    </cfRule>
  </conditionalFormatting>
  <conditionalFormatting sqref="Q8">
    <cfRule type="expression" dxfId="2484" priority="31">
      <formula>Q8&gt;0</formula>
    </cfRule>
    <cfRule type="expression" dxfId="2483" priority="32">
      <formula>Q8&lt;0</formula>
    </cfRule>
  </conditionalFormatting>
  <conditionalFormatting sqref="F30:F46">
    <cfRule type="expression" dxfId="2482" priority="29">
      <formula>F30&gt;0</formula>
    </cfRule>
    <cfRule type="expression" dxfId="2481" priority="30">
      <formula>F30&lt;0</formula>
    </cfRule>
  </conditionalFormatting>
  <conditionalFormatting sqref="H30:H46">
    <cfRule type="expression" dxfId="2480" priority="27">
      <formula>H30&gt;0</formula>
    </cfRule>
    <cfRule type="expression" dxfId="2479" priority="28">
      <formula>H30&lt;0</formula>
    </cfRule>
  </conditionalFormatting>
  <conditionalFormatting sqref="Q10">
    <cfRule type="expression" dxfId="2478" priority="25">
      <formula>Q10&gt;0</formula>
    </cfRule>
    <cfRule type="expression" dxfId="2477" priority="26">
      <formula>Q10&lt;0</formula>
    </cfRule>
  </conditionalFormatting>
  <conditionalFormatting sqref="J25:J38">
    <cfRule type="expression" dxfId="2476" priority="23">
      <formula>J25&gt;0</formula>
    </cfRule>
    <cfRule type="expression" dxfId="2475" priority="24">
      <formula>J25&lt;0</formula>
    </cfRule>
  </conditionalFormatting>
  <conditionalFormatting sqref="K25:K38">
    <cfRule type="expression" dxfId="2474" priority="21">
      <formula>K25&gt;0</formula>
    </cfRule>
    <cfRule type="expression" dxfId="2473" priority="22">
      <formula>K25&lt;0</formula>
    </cfRule>
  </conditionalFormatting>
  <conditionalFormatting sqref="L25 L38">
    <cfRule type="expression" dxfId="2472" priority="19">
      <formula>L25&gt;0</formula>
    </cfRule>
    <cfRule type="expression" dxfId="2471" priority="20">
      <formula>L25&lt;0</formula>
    </cfRule>
  </conditionalFormatting>
  <conditionalFormatting sqref="F89:F110">
    <cfRule type="expression" dxfId="2470" priority="17">
      <formula>F89&gt;0</formula>
    </cfRule>
    <cfRule type="expression" dxfId="2469" priority="18">
      <formula>F89&lt;0</formula>
    </cfRule>
  </conditionalFormatting>
  <conditionalFormatting sqref="H89:H110">
    <cfRule type="expression" dxfId="2468" priority="15">
      <formula>H89&gt;0</formula>
    </cfRule>
    <cfRule type="expression" dxfId="2467" priority="16">
      <formula>H89&lt;0</formula>
    </cfRule>
  </conditionalFormatting>
  <conditionalFormatting sqref="J89:J102">
    <cfRule type="expression" dxfId="2466" priority="13">
      <formula>J89&gt;0</formula>
    </cfRule>
    <cfRule type="expression" dxfId="2465" priority="14">
      <formula>J89&lt;0</formula>
    </cfRule>
  </conditionalFormatting>
  <conditionalFormatting sqref="K89:K102">
    <cfRule type="expression" dxfId="2464" priority="11">
      <formula>K89&gt;0</formula>
    </cfRule>
    <cfRule type="expression" dxfId="2463" priority="12">
      <formula>K89&lt;0</formula>
    </cfRule>
  </conditionalFormatting>
  <conditionalFormatting sqref="L89:L102">
    <cfRule type="expression" dxfId="2462" priority="9">
      <formula>L89&gt;0</formula>
    </cfRule>
    <cfRule type="expression" dxfId="2461" priority="10">
      <formula>L89&lt;0</formula>
    </cfRule>
  </conditionalFormatting>
  <conditionalFormatting sqref="F29 F25:F26">
    <cfRule type="expression" dxfId="2460" priority="7">
      <formula>F25&gt;0</formula>
    </cfRule>
    <cfRule type="expression" dxfId="2459" priority="8">
      <formula>F25&lt;0</formula>
    </cfRule>
  </conditionalFormatting>
  <conditionalFormatting sqref="H29 H25:H27">
    <cfRule type="expression" dxfId="2458" priority="5">
      <formula>H25&gt;0</formula>
    </cfRule>
    <cfRule type="expression" dxfId="2457" priority="6">
      <formula>H25&lt;0</formula>
    </cfRule>
  </conditionalFormatting>
  <conditionalFormatting sqref="F27:F28">
    <cfRule type="expression" dxfId="2456" priority="3">
      <formula>F27&gt;0</formula>
    </cfRule>
    <cfRule type="expression" dxfId="2455" priority="4">
      <formula>F27&lt;0</formula>
    </cfRule>
  </conditionalFormatting>
  <conditionalFormatting sqref="H28">
    <cfRule type="expression" dxfId="2454" priority="1">
      <formula>H28&gt;0</formula>
    </cfRule>
    <cfRule type="expression" dxfId="245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100.7</v>
      </c>
      <c r="R4" s="425">
        <v>-0.05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10070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125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1.256913021618904E-2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8.7388282025819258E-3</v>
      </c>
      <c r="R11">
        <f>0.88/4</f>
        <v>0.22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22.886363636363637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110.77000000000001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109.76300000000001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108.75600000000001</v>
      </c>
    </row>
    <row r="20" spans="1:16" x14ac:dyDescent="0.25">
      <c r="O20" s="81">
        <v>1.07</v>
      </c>
      <c r="P20" s="81">
        <f t="shared" si="0"/>
        <v>107.74900000000001</v>
      </c>
    </row>
    <row r="21" spans="1:16" x14ac:dyDescent="0.25">
      <c r="O21" s="81">
        <v>1.06</v>
      </c>
      <c r="P21" s="81">
        <f t="shared" si="0"/>
        <v>106.742</v>
      </c>
    </row>
    <row r="22" spans="1:16" x14ac:dyDescent="0.25">
      <c r="O22" s="81">
        <v>1.05</v>
      </c>
      <c r="P22" s="81">
        <f t="shared" si="0"/>
        <v>105.73500000000001</v>
      </c>
    </row>
    <row r="23" spans="1:16" x14ac:dyDescent="0.25">
      <c r="O23" s="81">
        <v>1.04</v>
      </c>
      <c r="P23" s="81">
        <f t="shared" si="0"/>
        <v>104.72800000000001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103.721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102.714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101.70700000000001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100.7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99.692999999999998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98.686000000000007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97.679000000000002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96.671999999999997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95.664999999999992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94.658000000000001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93.65100000000001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92.644000000000005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91.637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90.63000000000001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1330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52" priority="43">
      <formula>F54&gt;0</formula>
    </cfRule>
    <cfRule type="expression" dxfId="2451" priority="44">
      <formula>F54&lt;0</formula>
    </cfRule>
  </conditionalFormatting>
  <conditionalFormatting sqref="Q7">
    <cfRule type="expression" dxfId="2450" priority="41">
      <formula>Q7&gt;0</formula>
    </cfRule>
    <cfRule type="expression" dxfId="2449" priority="42">
      <formula>Q7&lt;0</formula>
    </cfRule>
  </conditionalFormatting>
  <conditionalFormatting sqref="Q8">
    <cfRule type="expression" dxfId="2448" priority="39">
      <formula>Q8&gt;0</formula>
    </cfRule>
    <cfRule type="expression" dxfId="2447" priority="40">
      <formula>Q8&lt;0</formula>
    </cfRule>
  </conditionalFormatting>
  <conditionalFormatting sqref="F33:F36 F38:F53">
    <cfRule type="expression" dxfId="2446" priority="37">
      <formula>F33&gt;0</formula>
    </cfRule>
    <cfRule type="expression" dxfId="2445" priority="38">
      <formula>F33&lt;0</formula>
    </cfRule>
  </conditionalFormatting>
  <conditionalFormatting sqref="H33:H36 H38:H53">
    <cfRule type="expression" dxfId="2444" priority="35">
      <formula>H33&gt;0</formula>
    </cfRule>
    <cfRule type="expression" dxfId="2443" priority="36">
      <formula>H33&lt;0</formula>
    </cfRule>
  </conditionalFormatting>
  <conditionalFormatting sqref="Q10">
    <cfRule type="expression" dxfId="2442" priority="33">
      <formula>Q10&gt;0</formula>
    </cfRule>
    <cfRule type="expression" dxfId="2441" priority="34">
      <formula>Q10&lt;0</formula>
    </cfRule>
  </conditionalFormatting>
  <conditionalFormatting sqref="J25:J37">
    <cfRule type="expression" dxfId="2440" priority="31">
      <formula>J25&gt;0</formula>
    </cfRule>
    <cfRule type="expression" dxfId="2439" priority="32">
      <formula>J25&lt;0</formula>
    </cfRule>
  </conditionalFormatting>
  <conditionalFormatting sqref="K25:K38">
    <cfRule type="expression" dxfId="2438" priority="29">
      <formula>K25&gt;0</formula>
    </cfRule>
    <cfRule type="expression" dxfId="2437" priority="30">
      <formula>K25&lt;0</formula>
    </cfRule>
  </conditionalFormatting>
  <conditionalFormatting sqref="L25">
    <cfRule type="expression" dxfId="2436" priority="27">
      <formula>L25&gt;0</formula>
    </cfRule>
    <cfRule type="expression" dxfId="2435" priority="28">
      <formula>L25&lt;0</formula>
    </cfRule>
  </conditionalFormatting>
  <conditionalFormatting sqref="F89:F110">
    <cfRule type="expression" dxfId="2434" priority="25">
      <formula>F89&gt;0</formula>
    </cfRule>
    <cfRule type="expression" dxfId="2433" priority="26">
      <formula>F89&lt;0</formula>
    </cfRule>
  </conditionalFormatting>
  <conditionalFormatting sqref="H89:H110">
    <cfRule type="expression" dxfId="2432" priority="23">
      <formula>H89&gt;0</formula>
    </cfRule>
    <cfRule type="expression" dxfId="2431" priority="24">
      <formula>H89&lt;0</formula>
    </cfRule>
  </conditionalFormatting>
  <conditionalFormatting sqref="J89:J102">
    <cfRule type="expression" dxfId="2430" priority="21">
      <formula>J89&gt;0</formula>
    </cfRule>
    <cfRule type="expression" dxfId="2429" priority="22">
      <formula>J89&lt;0</formula>
    </cfRule>
  </conditionalFormatting>
  <conditionalFormatting sqref="K89:K102">
    <cfRule type="expression" dxfId="2428" priority="19">
      <formula>K89&gt;0</formula>
    </cfRule>
    <cfRule type="expression" dxfId="2427" priority="20">
      <formula>K89&lt;0</formula>
    </cfRule>
  </conditionalFormatting>
  <conditionalFormatting sqref="L89:L102">
    <cfRule type="expression" dxfId="2426" priority="17">
      <formula>L89&gt;0</formula>
    </cfRule>
    <cfRule type="expression" dxfId="2425" priority="18">
      <formula>L89&lt;0</formula>
    </cfRule>
  </conditionalFormatting>
  <conditionalFormatting sqref="F29:F32">
    <cfRule type="expression" dxfId="2424" priority="15">
      <formula>F29&gt;0</formula>
    </cfRule>
    <cfRule type="expression" dxfId="2423" priority="16">
      <formula>F29&lt;0</formula>
    </cfRule>
  </conditionalFormatting>
  <conditionalFormatting sqref="H29:H32">
    <cfRule type="expression" dxfId="2422" priority="13">
      <formula>H29&gt;0</formula>
    </cfRule>
    <cfRule type="expression" dxfId="2421" priority="14">
      <formula>H29&lt;0</formula>
    </cfRule>
  </conditionalFormatting>
  <conditionalFormatting sqref="F25:F28">
    <cfRule type="expression" dxfId="2420" priority="11">
      <formula>F25&gt;0</formula>
    </cfRule>
    <cfRule type="expression" dxfId="2419" priority="12">
      <formula>F25&lt;0</formula>
    </cfRule>
  </conditionalFormatting>
  <conditionalFormatting sqref="H25:H28">
    <cfRule type="expression" dxfId="2418" priority="9">
      <formula>H25&gt;0</formula>
    </cfRule>
    <cfRule type="expression" dxfId="2417" priority="10">
      <formula>H25&lt;0</formula>
    </cfRule>
  </conditionalFormatting>
  <conditionalFormatting sqref="F37">
    <cfRule type="expression" dxfId="2416" priority="7">
      <formula>F37&gt;0</formula>
    </cfRule>
    <cfRule type="expression" dxfId="2415" priority="8">
      <formula>F37&lt;0</formula>
    </cfRule>
  </conditionalFormatting>
  <conditionalFormatting sqref="H37">
    <cfRule type="expression" dxfId="2414" priority="5">
      <formula>H37&gt;0</formula>
    </cfRule>
    <cfRule type="expression" dxfId="2413" priority="6">
      <formula>H37&lt;0</formula>
    </cfRule>
  </conditionalFormatting>
  <conditionalFormatting sqref="J49">
    <cfRule type="expression" dxfId="2412" priority="3">
      <formula>J49&gt;0</formula>
    </cfRule>
    <cfRule type="expression" dxfId="2411" priority="4">
      <formula>J49&lt;0</formula>
    </cfRule>
  </conditionalFormatting>
  <conditionalFormatting sqref="J38:J48">
    <cfRule type="expression" dxfId="2410" priority="1">
      <formula>J38&gt;0</formula>
    </cfRule>
    <cfRule type="expression" dxfId="240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1287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72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33.942279999999997</v>
      </c>
      <c r="T3" s="1"/>
      <c r="U3" s="22"/>
    </row>
    <row r="4" spans="1:21" x14ac:dyDescent="0.25">
      <c r="B4" s="40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37.029899999999998</v>
      </c>
      <c r="R4" s="425">
        <v>-3.2000000000000002E-3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9257.4749999999985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8485.57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771.90499999999884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771.90499999999884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9.0966782431822366E-2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1.3367575931882076E-3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1316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40.732889999999998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150</v>
      </c>
      <c r="I18" s="18"/>
      <c r="J18" s="18"/>
      <c r="K18" s="18">
        <f>SUM(K2:K5)</f>
        <v>5506.43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40.362591000000002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5322</v>
      </c>
      <c r="G19" s="279"/>
      <c r="H19" s="279">
        <f>SumByColor($A$19,H2:H17)</f>
        <v>150</v>
      </c>
      <c r="I19" s="279"/>
      <c r="J19" s="279"/>
      <c r="K19" s="280">
        <f>SumByColor($A$19,K2:K17)</f>
        <v>5506</v>
      </c>
      <c r="L19" s="279"/>
      <c r="M19" s="280">
        <f>SumByColor($A$19,M2:M17)</f>
        <v>0</v>
      </c>
      <c r="O19" s="81">
        <v>1.08</v>
      </c>
      <c r="P19" s="81">
        <f t="shared" si="0"/>
        <v>39.992291999999999</v>
      </c>
    </row>
    <row r="20" spans="1:16" x14ac:dyDescent="0.25">
      <c r="O20" s="81">
        <v>1.07</v>
      </c>
      <c r="P20" s="81">
        <f t="shared" si="0"/>
        <v>39.621993000000003</v>
      </c>
    </row>
    <row r="21" spans="1:16" x14ac:dyDescent="0.25">
      <c r="O21" s="81">
        <v>1.06</v>
      </c>
      <c r="P21" s="81">
        <f t="shared" si="0"/>
        <v>39.251694000000001</v>
      </c>
    </row>
    <row r="22" spans="1:16" x14ac:dyDescent="0.25">
      <c r="O22" s="81">
        <v>1.05</v>
      </c>
      <c r="P22" s="81">
        <f t="shared" si="0"/>
        <v>38.881394999999998</v>
      </c>
    </row>
    <row r="23" spans="1:16" x14ac:dyDescent="0.25">
      <c r="O23" s="81">
        <v>1.04</v>
      </c>
      <c r="P23" s="81">
        <f t="shared" si="0"/>
        <v>38.511096000000002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38.140796999999999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1" si="1">C25*(E25-D25)</f>
        <v>-11.999999999999744</v>
      </c>
      <c r="G25" s="39">
        <f t="shared" ref="G25:G31" si="2">D25*C25</f>
        <v>5321.9999999999991</v>
      </c>
      <c r="H25" s="179">
        <f t="shared" ref="H25:H31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37.770497999999996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37.400199000000001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37.029899999999998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36.659600999999995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36.289301999999999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35.919002999999996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35.548703999999994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35.178404999999998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34.808105999999995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34.437806999999999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34.067507999999997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33.697209000000001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33.326909999999998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8" priority="35">
      <formula>F47&gt;0</formula>
    </cfRule>
    <cfRule type="expression" dxfId="2407" priority="36">
      <formula>F47&lt;0</formula>
    </cfRule>
  </conditionalFormatting>
  <conditionalFormatting sqref="Q7">
    <cfRule type="expression" dxfId="2406" priority="33">
      <formula>Q7&gt;0</formula>
    </cfRule>
    <cfRule type="expression" dxfId="2405" priority="34">
      <formula>Q7&lt;0</formula>
    </cfRule>
  </conditionalFormatting>
  <conditionalFormatting sqref="Q8">
    <cfRule type="expression" dxfId="2404" priority="31">
      <formula>Q8&gt;0</formula>
    </cfRule>
    <cfRule type="expression" dxfId="2403" priority="32">
      <formula>Q8&lt;0</formula>
    </cfRule>
  </conditionalFormatting>
  <conditionalFormatting sqref="F30:F46">
    <cfRule type="expression" dxfId="2402" priority="29">
      <formula>F30&gt;0</formula>
    </cfRule>
    <cfRule type="expression" dxfId="2401" priority="30">
      <formula>F30&lt;0</formula>
    </cfRule>
  </conditionalFormatting>
  <conditionalFormatting sqref="H30:H46">
    <cfRule type="expression" dxfId="2400" priority="27">
      <formula>H30&gt;0</formula>
    </cfRule>
    <cfRule type="expression" dxfId="2399" priority="28">
      <formula>H30&lt;0</formula>
    </cfRule>
  </conditionalFormatting>
  <conditionalFormatting sqref="Q10">
    <cfRule type="expression" dxfId="2398" priority="25">
      <formula>Q10&gt;0</formula>
    </cfRule>
    <cfRule type="expression" dxfId="2397" priority="26">
      <formula>Q10&lt;0</formula>
    </cfRule>
  </conditionalFormatting>
  <conditionalFormatting sqref="J25:J38">
    <cfRule type="expression" dxfId="2396" priority="23">
      <formula>J25&gt;0</formula>
    </cfRule>
    <cfRule type="expression" dxfId="2395" priority="24">
      <formula>J25&lt;0</formula>
    </cfRule>
  </conditionalFormatting>
  <conditionalFormatting sqref="K25:K38">
    <cfRule type="expression" dxfId="2394" priority="21">
      <formula>K25&gt;0</formula>
    </cfRule>
    <cfRule type="expression" dxfId="2393" priority="22">
      <formula>K25&lt;0</formula>
    </cfRule>
  </conditionalFormatting>
  <conditionalFormatting sqref="L25 L38">
    <cfRule type="expression" dxfId="2392" priority="19">
      <formula>L25&gt;0</formula>
    </cfRule>
    <cfRule type="expression" dxfId="2391" priority="20">
      <formula>L25&lt;0</formula>
    </cfRule>
  </conditionalFormatting>
  <conditionalFormatting sqref="F89:F110">
    <cfRule type="expression" dxfId="2390" priority="17">
      <formula>F89&gt;0</formula>
    </cfRule>
    <cfRule type="expression" dxfId="2389" priority="18">
      <formula>F89&lt;0</formula>
    </cfRule>
  </conditionalFormatting>
  <conditionalFormatting sqref="H89:H110">
    <cfRule type="expression" dxfId="2388" priority="15">
      <formula>H89&gt;0</formula>
    </cfRule>
    <cfRule type="expression" dxfId="2387" priority="16">
      <formula>H89&lt;0</formula>
    </cfRule>
  </conditionalFormatting>
  <conditionalFormatting sqref="J89:J102">
    <cfRule type="expression" dxfId="2386" priority="13">
      <formula>J89&gt;0</formula>
    </cfRule>
    <cfRule type="expression" dxfId="2385" priority="14">
      <formula>J89&lt;0</formula>
    </cfRule>
  </conditionalFormatting>
  <conditionalFormatting sqref="K89:K102">
    <cfRule type="expression" dxfId="2384" priority="11">
      <formula>K89&gt;0</formula>
    </cfRule>
    <cfRule type="expression" dxfId="2383" priority="12">
      <formula>K89&lt;0</formula>
    </cfRule>
  </conditionalFormatting>
  <conditionalFormatting sqref="L89:L102">
    <cfRule type="expression" dxfId="2382" priority="9">
      <formula>L89&gt;0</formula>
    </cfRule>
    <cfRule type="expression" dxfId="2381" priority="10">
      <formula>L89&lt;0</formula>
    </cfRule>
  </conditionalFormatting>
  <conditionalFormatting sqref="F25:F29">
    <cfRule type="expression" dxfId="2380" priority="7">
      <formula>F25&gt;0</formula>
    </cfRule>
    <cfRule type="expression" dxfId="2379" priority="8">
      <formula>F25&lt;0</formula>
    </cfRule>
  </conditionalFormatting>
  <conditionalFormatting sqref="H25:H29">
    <cfRule type="expression" dxfId="2378" priority="5">
      <formula>H25&gt;0</formula>
    </cfRule>
    <cfRule type="expression" dxfId="237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26.91</v>
      </c>
      <c r="R4" s="425">
        <v>-5.6800000000000003E-2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8073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8040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33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4.1044776119402984E-3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1.1891490152359718E-2</v>
      </c>
      <c r="R11">
        <f>0.32/4</f>
        <v>0.08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6.1159090909090903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29.601000000000003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29.331900000000001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29.062800000000003</v>
      </c>
    </row>
    <row r="20" spans="1:16" x14ac:dyDescent="0.25">
      <c r="O20" s="81">
        <v>1.07</v>
      </c>
      <c r="P20" s="81">
        <f t="shared" si="0"/>
        <v>28.793700000000001</v>
      </c>
    </row>
    <row r="21" spans="1:16" x14ac:dyDescent="0.25">
      <c r="O21" s="81">
        <v>1.06</v>
      </c>
      <c r="P21" s="81">
        <f t="shared" si="0"/>
        <v>28.524600000000003</v>
      </c>
    </row>
    <row r="22" spans="1:16" x14ac:dyDescent="0.25">
      <c r="O22" s="81">
        <v>1.05</v>
      </c>
      <c r="P22" s="81">
        <f t="shared" si="0"/>
        <v>28.255500000000001</v>
      </c>
    </row>
    <row r="23" spans="1:16" x14ac:dyDescent="0.25">
      <c r="O23" s="81">
        <v>1.04</v>
      </c>
      <c r="P23" s="81">
        <f t="shared" si="0"/>
        <v>27.9864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27.717300000000002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27.4482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27.179100000000002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26.91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26.640899999999998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26.3718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26.102699999999999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25.833600000000001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25.564499999999999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25.295399999999997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25.026300000000003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24.757200000000001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24.488099999999999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24.219000000000001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376" priority="43">
      <formula>F54&gt;0</formula>
    </cfRule>
    <cfRule type="expression" dxfId="2375" priority="44">
      <formula>F54&lt;0</formula>
    </cfRule>
  </conditionalFormatting>
  <conditionalFormatting sqref="Q7">
    <cfRule type="expression" dxfId="2374" priority="41">
      <formula>Q7&gt;0</formula>
    </cfRule>
    <cfRule type="expression" dxfId="2373" priority="42">
      <formula>Q7&lt;0</formula>
    </cfRule>
  </conditionalFormatting>
  <conditionalFormatting sqref="Q8">
    <cfRule type="expression" dxfId="2372" priority="39">
      <formula>Q8&gt;0</formula>
    </cfRule>
    <cfRule type="expression" dxfId="2371" priority="40">
      <formula>Q8&lt;0</formula>
    </cfRule>
  </conditionalFormatting>
  <conditionalFormatting sqref="F33:F36 F38:F53">
    <cfRule type="expression" dxfId="2370" priority="37">
      <formula>F33&gt;0</formula>
    </cfRule>
    <cfRule type="expression" dxfId="2369" priority="38">
      <formula>F33&lt;0</formula>
    </cfRule>
  </conditionalFormatting>
  <conditionalFormatting sqref="H33:H36 H38:H53">
    <cfRule type="expression" dxfId="2368" priority="35">
      <formula>H33&gt;0</formula>
    </cfRule>
    <cfRule type="expression" dxfId="2367" priority="36">
      <formula>H33&lt;0</formula>
    </cfRule>
  </conditionalFormatting>
  <conditionalFormatting sqref="Q10">
    <cfRule type="expression" dxfId="2366" priority="33">
      <formula>Q10&gt;0</formula>
    </cfRule>
    <cfRule type="expression" dxfId="2365" priority="34">
      <formula>Q10&lt;0</formula>
    </cfRule>
  </conditionalFormatting>
  <conditionalFormatting sqref="J25:J37">
    <cfRule type="expression" dxfId="2364" priority="31">
      <formula>J25&gt;0</formula>
    </cfRule>
    <cfRule type="expression" dxfId="2363" priority="32">
      <formula>J25&lt;0</formula>
    </cfRule>
  </conditionalFormatting>
  <conditionalFormatting sqref="K25:K38">
    <cfRule type="expression" dxfId="2362" priority="29">
      <formula>K25&gt;0</formula>
    </cfRule>
    <cfRule type="expression" dxfId="2361" priority="30">
      <formula>K25&lt;0</formula>
    </cfRule>
  </conditionalFormatting>
  <conditionalFormatting sqref="L25">
    <cfRule type="expression" dxfId="2360" priority="27">
      <formula>L25&gt;0</formula>
    </cfRule>
    <cfRule type="expression" dxfId="2359" priority="28">
      <formula>L25&lt;0</formula>
    </cfRule>
  </conditionalFormatting>
  <conditionalFormatting sqref="F89:F110">
    <cfRule type="expression" dxfId="2358" priority="25">
      <formula>F89&gt;0</formula>
    </cfRule>
    <cfRule type="expression" dxfId="2357" priority="26">
      <formula>F89&lt;0</formula>
    </cfRule>
  </conditionalFormatting>
  <conditionalFormatting sqref="H89:H110">
    <cfRule type="expression" dxfId="2356" priority="23">
      <formula>H89&gt;0</formula>
    </cfRule>
    <cfRule type="expression" dxfId="2355" priority="24">
      <formula>H89&lt;0</formula>
    </cfRule>
  </conditionalFormatting>
  <conditionalFormatting sqref="J89:J102">
    <cfRule type="expression" dxfId="2354" priority="21">
      <formula>J89&gt;0</formula>
    </cfRule>
    <cfRule type="expression" dxfId="2353" priority="22">
      <formula>J89&lt;0</formula>
    </cfRule>
  </conditionalFormatting>
  <conditionalFormatting sqref="K89:K102">
    <cfRule type="expression" dxfId="2352" priority="19">
      <formula>K89&gt;0</formula>
    </cfRule>
    <cfRule type="expression" dxfId="2351" priority="20">
      <formula>K89&lt;0</formula>
    </cfRule>
  </conditionalFormatting>
  <conditionalFormatting sqref="L89:L102">
    <cfRule type="expression" dxfId="2350" priority="17">
      <formula>L89&gt;0</formula>
    </cfRule>
    <cfRule type="expression" dxfId="2349" priority="18">
      <formula>L89&lt;0</formula>
    </cfRule>
  </conditionalFormatting>
  <conditionalFormatting sqref="F29:F32">
    <cfRule type="expression" dxfId="2348" priority="15">
      <formula>F29&gt;0</formula>
    </cfRule>
    <cfRule type="expression" dxfId="2347" priority="16">
      <formula>F29&lt;0</formula>
    </cfRule>
  </conditionalFormatting>
  <conditionalFormatting sqref="H29:H32">
    <cfRule type="expression" dxfId="2346" priority="13">
      <formula>H29&gt;0</formula>
    </cfRule>
    <cfRule type="expression" dxfId="2345" priority="14">
      <formula>H29&lt;0</formula>
    </cfRule>
  </conditionalFormatting>
  <conditionalFormatting sqref="F25:F28">
    <cfRule type="expression" dxfId="2344" priority="11">
      <formula>F25&gt;0</formula>
    </cfRule>
    <cfRule type="expression" dxfId="2343" priority="12">
      <formula>F25&lt;0</formula>
    </cfRule>
  </conditionalFormatting>
  <conditionalFormatting sqref="H25:H28">
    <cfRule type="expression" dxfId="2342" priority="9">
      <formula>H25&gt;0</formula>
    </cfRule>
    <cfRule type="expression" dxfId="2341" priority="10">
      <formula>H25&lt;0</formula>
    </cfRule>
  </conditionalFormatting>
  <conditionalFormatting sqref="F37">
    <cfRule type="expression" dxfId="2340" priority="7">
      <formula>F37&gt;0</formula>
    </cfRule>
    <cfRule type="expression" dxfId="2339" priority="8">
      <formula>F37&lt;0</formula>
    </cfRule>
  </conditionalFormatting>
  <conditionalFormatting sqref="H37">
    <cfRule type="expression" dxfId="2338" priority="5">
      <formula>H37&gt;0</formula>
    </cfRule>
    <cfRule type="expression" dxfId="2337" priority="6">
      <formula>H37&lt;0</formula>
    </cfRule>
  </conditionalFormatting>
  <conditionalFormatting sqref="J49">
    <cfRule type="expression" dxfId="2336" priority="3">
      <formula>J49&gt;0</formula>
    </cfRule>
    <cfRule type="expression" dxfId="2335" priority="4">
      <formula>J49&lt;0</formula>
    </cfRule>
  </conditionalFormatting>
  <conditionalFormatting sqref="J38:J48">
    <cfRule type="expression" dxfId="2334" priority="1">
      <formula>J38&gt;0</formula>
    </cfRule>
    <cfRule type="expression" dxfId="233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2400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5" si="1">H3*I3-J3</f>
        <v>3119.93</v>
      </c>
      <c r="L3" s="72">
        <v>42846</v>
      </c>
      <c r="M3" s="43">
        <v>3.25</v>
      </c>
      <c r="O3" s="11" t="s">
        <v>58</v>
      </c>
      <c r="Q3" s="411">
        <f>IF(Q2=0, Q4, (F112-K112-M112)/Q2)</f>
        <v>7.450799999999993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15.65</v>
      </c>
      <c r="R4" s="424">
        <v>-4.6300000000000001E-2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37560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17881.919999999984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34293.651000001642</v>
      </c>
      <c r="R7">
        <v>1800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K112+M112-F112+Q2*Q4</f>
        <v>19678.080000000016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1.1004455897353322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203</v>
      </c>
      <c r="P10" s="33"/>
      <c r="Q10" s="2">
        <f>M583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1.2779552715654953E-2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24.841269841269842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19.093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18.936499999999999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18.78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18.6235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18.466999999999999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18.310499999999998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18.154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17.997499999999999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17.840999999999998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17.6845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17.528000000000002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17.371500000000001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17.215000000000003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17.058500000000002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16.902000000000001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16.7455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16.589000000000002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16.432500000000001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16.276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16.119500000000002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15.963000000000001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15.8065</v>
      </c>
      <c r="U45" s="778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15.65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15.493500000000001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15.337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15.1805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15.023999999999999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14.8675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14.711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14.554500000000001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14.398000000000001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14.2415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14.085000000000001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13.9285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13.772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13.615500000000001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13.459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13.3025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1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1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661" t="s">
        <v>1303</v>
      </c>
      <c r="AA88" s="2"/>
      <c r="AD88" s="2"/>
      <c r="AG88" s="2"/>
      <c r="AI88" s="2"/>
    </row>
    <row r="89" spans="1:35" x14ac:dyDescent="0.25">
      <c r="A89" s="881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1313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1318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1319</v>
      </c>
    </row>
    <row r="96" spans="1:35" x14ac:dyDescent="0.25">
      <c r="A96" s="882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2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09" si="6">C97*D97+E97</f>
        <v>2068</v>
      </c>
      <c r="G97" s="29"/>
    </row>
    <row r="98" spans="1:13" x14ac:dyDescent="0.25">
      <c r="A98" s="882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2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3" t="s">
        <v>1289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3"/>
      <c r="B101" s="407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3"/>
      <c r="B102" s="407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3"/>
      <c r="B103" s="40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3"/>
      <c r="B104" s="407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B107" s="659">
        <v>43416</v>
      </c>
      <c r="C107" s="4">
        <v>200</v>
      </c>
      <c r="D107" s="78">
        <v>17.48</v>
      </c>
      <c r="E107" s="2">
        <v>0</v>
      </c>
      <c r="F107" s="2">
        <f t="shared" si="6"/>
        <v>3496</v>
      </c>
      <c r="G107" s="29"/>
    </row>
    <row r="108" spans="1:13" x14ac:dyDescent="0.25">
      <c r="B108" s="659">
        <v>43424</v>
      </c>
      <c r="C108" s="4">
        <v>200</v>
      </c>
      <c r="D108" s="78">
        <v>16.18</v>
      </c>
      <c r="E108" s="2">
        <v>0</v>
      </c>
      <c r="F108" s="2">
        <f t="shared" si="6"/>
        <v>3236</v>
      </c>
      <c r="G108" s="29"/>
    </row>
    <row r="109" spans="1:13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08"/>
      <c r="C112" s="71">
        <f>SUM(C2:C111)</f>
        <v>32200</v>
      </c>
      <c r="D112" s="18"/>
      <c r="E112" s="18"/>
      <c r="F112" s="18">
        <f>SUM(F2:F111)</f>
        <v>539196.54999999993</v>
      </c>
      <c r="G112" s="14"/>
      <c r="H112" s="71">
        <f>SUM(H2:H111)</f>
        <v>29800</v>
      </c>
      <c r="I112" s="79"/>
      <c r="J112" s="18"/>
      <c r="K112" s="18">
        <f>SUM(K2:K111)</f>
        <v>519486.37999999995</v>
      </c>
      <c r="L112" s="14"/>
      <c r="M112" s="18">
        <f>SUM(M2:M111)</f>
        <v>1828.25</v>
      </c>
    </row>
    <row r="113" spans="1:13" ht="15.75" thickBot="1" x14ac:dyDescent="0.3">
      <c r="A113" s="277" t="s">
        <v>191</v>
      </c>
      <c r="B113" s="409"/>
      <c r="C113" s="279">
        <f>SumByColor($A$113, C2:C111)</f>
        <v>29800</v>
      </c>
      <c r="D113" s="279"/>
      <c r="E113" s="279"/>
      <c r="F113" s="280">
        <f>SumByColor($A$113, F2:F111)</f>
        <v>491035</v>
      </c>
      <c r="G113" s="279"/>
      <c r="H113" s="279">
        <f>SumByColor($A$113, H2:H111)</f>
        <v>29800</v>
      </c>
      <c r="I113" s="279"/>
      <c r="J113" s="280"/>
      <c r="K113" s="280">
        <f>SumByColor($A$113, K2:K111)</f>
        <v>519495</v>
      </c>
      <c r="L113" s="279"/>
      <c r="M113" s="280">
        <f>SumByColor($A$113, M2:M111)</f>
        <v>1828</v>
      </c>
    </row>
    <row r="116" spans="1:13" x14ac:dyDescent="0.25">
      <c r="B116" s="410" t="s">
        <v>113</v>
      </c>
      <c r="C116" s="162" t="s">
        <v>145</v>
      </c>
      <c r="D116" s="170" t="s">
        <v>144</v>
      </c>
      <c r="E116" s="165" t="s">
        <v>146</v>
      </c>
      <c r="F116" s="166" t="s">
        <v>65</v>
      </c>
      <c r="G116" s="177" t="s">
        <v>150</v>
      </c>
      <c r="H116" s="166" t="s">
        <v>88</v>
      </c>
      <c r="I116" s="177" t="s">
        <v>153</v>
      </c>
      <c r="J116" s="177" t="s">
        <v>487</v>
      </c>
      <c r="K116" s="177" t="s">
        <v>149</v>
      </c>
      <c r="L116" s="177" t="s">
        <v>899</v>
      </c>
    </row>
    <row r="117" spans="1:13" x14ac:dyDescent="0.25">
      <c r="A117" t="s">
        <v>421</v>
      </c>
      <c r="B117" s="150">
        <v>42787</v>
      </c>
      <c r="C117" s="10">
        <v>5700</v>
      </c>
      <c r="D117" s="190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179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433</v>
      </c>
      <c r="B118" s="150">
        <v>42788</v>
      </c>
      <c r="C118" s="359">
        <v>6000</v>
      </c>
      <c r="D118" s="567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179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190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179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190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179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190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179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190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179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190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180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190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180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359">
        <v>6000</v>
      </c>
      <c r="D125" s="567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180">
        <f t="shared" si="9"/>
        <v>-1.7485833799460174E-2</v>
      </c>
      <c r="I125" s="39" t="s">
        <v>184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190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180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359">
        <v>6000</v>
      </c>
      <c r="D127" s="567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180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190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180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190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180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190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180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190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180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190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180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359">
        <v>6000</v>
      </c>
      <c r="D133" s="567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180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359">
        <v>6000</v>
      </c>
      <c r="D134" s="567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180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190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179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190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179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190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179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190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179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190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179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190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179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190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179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190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179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190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179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190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179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190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179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190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179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190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179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190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179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190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179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190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179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190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179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190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179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190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179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190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179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190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179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190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179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190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179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190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179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355">
        <v>8000</v>
      </c>
      <c r="D159" s="705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179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190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179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190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179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190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179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190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179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190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179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190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179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190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179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190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179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190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179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359">
        <v>6000</v>
      </c>
      <c r="D169" s="567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179">
        <f t="shared" si="22"/>
        <v>-7.5886670271143777E-2</v>
      </c>
      <c r="I169" s="173" t="s">
        <v>741</v>
      </c>
      <c r="J169" s="39"/>
      <c r="K169" s="39">
        <f t="shared" si="10"/>
        <v>7288.9710000016166</v>
      </c>
      <c r="L169" s="39"/>
      <c r="V169" s="706"/>
    </row>
    <row r="170" spans="1:22" x14ac:dyDescent="0.25">
      <c r="A170">
        <v>5700</v>
      </c>
      <c r="B170" s="150">
        <v>43042</v>
      </c>
      <c r="C170" s="10">
        <v>5700</v>
      </c>
      <c r="D170" s="190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179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06"/>
    </row>
    <row r="171" spans="1:22" x14ac:dyDescent="0.25">
      <c r="A171">
        <v>5600</v>
      </c>
      <c r="B171" s="150">
        <v>43045</v>
      </c>
      <c r="C171" s="10">
        <v>5600</v>
      </c>
      <c r="D171" s="190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179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06"/>
    </row>
    <row r="172" spans="1:22" x14ac:dyDescent="0.25">
      <c r="A172">
        <v>5600</v>
      </c>
      <c r="B172" s="150">
        <v>43047</v>
      </c>
      <c r="C172" s="10">
        <v>5700</v>
      </c>
      <c r="D172" s="190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179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07"/>
    </row>
    <row r="173" spans="1:22" x14ac:dyDescent="0.25">
      <c r="A173">
        <v>5600</v>
      </c>
      <c r="B173" s="150">
        <v>43053</v>
      </c>
      <c r="C173" s="359">
        <v>6000</v>
      </c>
      <c r="D173" s="567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179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07"/>
    </row>
    <row r="174" spans="1:22" x14ac:dyDescent="0.25">
      <c r="A174">
        <v>5600</v>
      </c>
      <c r="B174" s="150">
        <v>43060</v>
      </c>
      <c r="C174" s="10">
        <v>6400</v>
      </c>
      <c r="D174" s="190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179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07"/>
    </row>
    <row r="175" spans="1:22" x14ac:dyDescent="0.25">
      <c r="B175" s="150">
        <v>43068</v>
      </c>
      <c r="C175" s="10">
        <v>6000</v>
      </c>
      <c r="D175" s="190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179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190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179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359">
        <v>6000</v>
      </c>
      <c r="D177" s="567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179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10"/>
    </row>
    <row r="178" spans="1:22" x14ac:dyDescent="0.25">
      <c r="A178">
        <v>5200</v>
      </c>
      <c r="B178" s="150">
        <v>43081</v>
      </c>
      <c r="C178" s="359">
        <v>6000</v>
      </c>
      <c r="D178" s="567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179">
        <f t="shared" si="22"/>
        <v>-4.8574114697586983E-2</v>
      </c>
      <c r="I178" s="173" t="s">
        <v>748</v>
      </c>
      <c r="J178" s="39">
        <v>56.3</v>
      </c>
      <c r="K178" s="39">
        <f t="shared" si="10"/>
        <v>9965.5710000016243</v>
      </c>
      <c r="L178" s="39"/>
      <c r="V178" s="710"/>
    </row>
    <row r="179" spans="1:22" x14ac:dyDescent="0.25">
      <c r="B179" s="150">
        <v>43087</v>
      </c>
      <c r="C179" s="10">
        <v>5800</v>
      </c>
      <c r="D179" s="190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179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19"/>
    </row>
    <row r="180" spans="1:22" x14ac:dyDescent="0.25">
      <c r="A180">
        <v>5200</v>
      </c>
      <c r="B180" s="150">
        <v>43087</v>
      </c>
      <c r="C180" s="10">
        <v>5700</v>
      </c>
      <c r="D180" s="190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179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19"/>
    </row>
    <row r="181" spans="1:22" x14ac:dyDescent="0.25">
      <c r="A181">
        <v>5100</v>
      </c>
      <c r="B181" s="150">
        <v>43088</v>
      </c>
      <c r="C181" s="10">
        <v>5600</v>
      </c>
      <c r="D181" s="190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179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721"/>
    </row>
    <row r="182" spans="1:22" x14ac:dyDescent="0.25">
      <c r="B182" s="150">
        <v>43089</v>
      </c>
      <c r="C182" s="10">
        <v>5500</v>
      </c>
      <c r="D182" s="190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179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721"/>
    </row>
    <row r="183" spans="1:22" x14ac:dyDescent="0.25">
      <c r="B183" s="150">
        <v>43090</v>
      </c>
      <c r="C183" s="10">
        <v>5000</v>
      </c>
      <c r="D183" s="190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179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721"/>
    </row>
    <row r="184" spans="1:22" x14ac:dyDescent="0.25">
      <c r="A184">
        <v>4500</v>
      </c>
      <c r="B184" s="150">
        <v>43090</v>
      </c>
      <c r="C184" s="10">
        <v>4800</v>
      </c>
      <c r="D184" s="190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179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10"/>
    </row>
    <row r="185" spans="1:22" x14ac:dyDescent="0.25">
      <c r="A185">
        <v>4700</v>
      </c>
      <c r="B185" s="150">
        <v>43096</v>
      </c>
      <c r="C185" s="10">
        <v>4800</v>
      </c>
      <c r="D185" s="190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179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190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179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190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179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190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179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190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179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190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179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190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179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190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179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190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179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190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179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190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179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190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179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356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179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190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179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190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179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190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179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190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179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190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179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190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179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190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179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359">
        <v>6000</v>
      </c>
      <c r="D205" s="567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179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190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179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190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179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190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179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190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179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190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179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190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179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359">
        <v>6000</v>
      </c>
      <c r="D212" s="567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179">
        <f t="shared" si="32"/>
        <v>-2.1551448487561537E-2</v>
      </c>
      <c r="I212" s="173" t="s">
        <v>918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190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179">
        <f>(E213-D213)/D213</f>
        <v>-6.2032359148175035E-3</v>
      </c>
      <c r="I213" s="17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190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179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190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179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190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179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190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179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184</v>
      </c>
      <c r="P217" s="70"/>
    </row>
    <row r="218" spans="1:16" ht="15" customHeight="1" x14ac:dyDescent="0.25">
      <c r="A218">
        <v>3600</v>
      </c>
      <c r="B218" s="150">
        <v>43180</v>
      </c>
      <c r="C218" s="731">
        <v>5000</v>
      </c>
      <c r="D218" s="732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179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190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179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190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179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190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179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190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179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190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179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731">
        <v>5000</v>
      </c>
      <c r="D224" s="732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179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190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179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190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179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190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179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731">
        <v>5000</v>
      </c>
      <c r="D228" s="732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179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190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179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190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179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356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179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190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179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190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179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356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179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190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179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190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179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190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179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356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179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190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179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190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179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185">
        <v>3000</v>
      </c>
      <c r="D241" s="74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179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190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179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354">
        <v>2000</v>
      </c>
      <c r="D243" s="765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179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190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179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190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179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190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179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190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179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357">
        <v>2000</v>
      </c>
      <c r="D248" s="766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179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190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179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190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179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190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179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190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179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190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179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190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179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190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179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357">
        <v>2000</v>
      </c>
      <c r="D256" s="766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179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190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179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190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179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357">
        <v>2000</v>
      </c>
      <c r="D259" s="766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179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190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179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357">
        <v>2000</v>
      </c>
      <c r="D261" s="766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179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190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179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185">
        <v>3000</v>
      </c>
      <c r="D263" s="74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179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190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179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190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179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357">
        <v>2000</v>
      </c>
      <c r="D266" s="766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179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190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179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190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179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190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179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357">
        <v>2000</v>
      </c>
      <c r="D270" s="766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179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190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179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357">
        <v>2000</v>
      </c>
      <c r="D272" s="766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179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190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179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190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179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190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179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185">
        <v>3000</v>
      </c>
      <c r="D276" s="74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179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190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179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190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179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185">
        <v>3000</v>
      </c>
      <c r="D279" s="74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779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190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179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190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179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190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179">
        <f t="shared" si="49"/>
        <v>1.4177479147358667</v>
      </c>
      <c r="I282" s="39"/>
      <c r="J282" s="191" t="s">
        <v>487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190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179">
        <f t="shared" si="49"/>
        <v>1.5877247365158094</v>
      </c>
      <c r="I283" s="39"/>
      <c r="J283" s="39"/>
      <c r="K283" s="781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190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179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190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179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190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179">
        <f t="shared" si="49"/>
        <v>1.5999503352371494</v>
      </c>
      <c r="I286" s="39"/>
      <c r="J286" s="39"/>
      <c r="K286" s="781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190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179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357">
        <v>2001</v>
      </c>
      <c r="D288" s="766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179">
        <f t="shared" si="49"/>
        <v>2.24566896263828</v>
      </c>
      <c r="I288" s="39"/>
      <c r="J288" s="39">
        <v>61.76</v>
      </c>
      <c r="K288" s="780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190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179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190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179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190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179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190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179">
        <f t="shared" si="49"/>
        <v>1.3917540313102348</v>
      </c>
      <c r="I292" s="39" t="s">
        <v>184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190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179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190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179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357">
        <v>2000</v>
      </c>
      <c r="D295" s="766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179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190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179">
        <f t="shared" si="49"/>
        <v>2.3081472247138057</v>
      </c>
      <c r="I296" s="39"/>
      <c r="J296" s="39"/>
      <c r="K296" s="781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190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179">
        <f t="shared" si="49"/>
        <v>2.3233501071803211</v>
      </c>
      <c r="I297" s="39"/>
      <c r="J297" s="39">
        <v>61.88</v>
      </c>
      <c r="K297" s="781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190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179">
        <f t="shared" si="49"/>
        <v>-3.3529659588810246</v>
      </c>
      <c r="I298" s="39"/>
      <c r="J298" s="39"/>
      <c r="K298" s="781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190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179">
        <f t="shared" si="49"/>
        <v>-2.314288940326314</v>
      </c>
      <c r="I299" s="39"/>
      <c r="J299" s="39"/>
      <c r="K299" s="781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190">
        <v>-17.713000000000001</v>
      </c>
      <c r="E300" s="39">
        <v>23.86</v>
      </c>
      <c r="F300" s="39">
        <f t="shared" ref="F300:F312" si="51">C300*(E300-D300)</f>
        <v>33258.400000000001</v>
      </c>
      <c r="G300" s="39">
        <f t="shared" ref="G300:G312" si="52">D300*C300</f>
        <v>-14170.400000000001</v>
      </c>
      <c r="H300" s="179">
        <f t="shared" ref="H300:H312" si="53">(E300-D300)/D300</f>
        <v>-2.3470332524134814</v>
      </c>
      <c r="I300" s="39"/>
      <c r="J300" s="39"/>
      <c r="K300" s="781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190">
        <v>-17.713000000000001</v>
      </c>
      <c r="E301" s="39">
        <v>23.99</v>
      </c>
      <c r="F301" s="39">
        <f t="shared" si="51"/>
        <v>33362.400000000001</v>
      </c>
      <c r="G301" s="39">
        <f t="shared" si="52"/>
        <v>-14170.400000000001</v>
      </c>
      <c r="H301" s="179">
        <f t="shared" si="53"/>
        <v>-2.3543724947778468</v>
      </c>
      <c r="I301" s="39"/>
      <c r="J301" s="39"/>
      <c r="K301" s="781">
        <f t="shared" ref="K301:K316" si="54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190">
        <v>-9.6020000000000003</v>
      </c>
      <c r="E302" s="39">
        <v>22.88</v>
      </c>
      <c r="F302" s="39">
        <f t="shared" si="51"/>
        <v>32482</v>
      </c>
      <c r="G302" s="39">
        <f t="shared" si="52"/>
        <v>-9602</v>
      </c>
      <c r="H302" s="179">
        <f t="shared" si="53"/>
        <v>-3.3828369089772963</v>
      </c>
      <c r="I302" s="39"/>
      <c r="J302" s="39"/>
      <c r="K302" s="39">
        <f t="shared" si="54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190">
        <v>3.2715999999999998</v>
      </c>
      <c r="E303" s="39">
        <v>21.16</v>
      </c>
      <c r="F303" s="39">
        <f t="shared" si="51"/>
        <v>30410.280000000002</v>
      </c>
      <c r="G303" s="39">
        <f t="shared" si="52"/>
        <v>5561.7199999999993</v>
      </c>
      <c r="H303" s="179">
        <f t="shared" si="53"/>
        <v>5.4677833475975062</v>
      </c>
      <c r="I303" s="39"/>
      <c r="J303" s="39"/>
      <c r="K303" s="39">
        <f t="shared" si="54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357">
        <v>2000</v>
      </c>
      <c r="D304" s="766">
        <v>5.8288000000000002</v>
      </c>
      <c r="E304" s="39">
        <v>19.96</v>
      </c>
      <c r="F304" s="39">
        <f t="shared" si="51"/>
        <v>28262.399999999998</v>
      </c>
      <c r="G304" s="39">
        <f t="shared" si="52"/>
        <v>11657.6</v>
      </c>
      <c r="H304" s="179">
        <f t="shared" si="53"/>
        <v>2.4243755146856985</v>
      </c>
      <c r="I304" s="39"/>
      <c r="J304" s="39"/>
      <c r="K304" s="39">
        <f t="shared" si="54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190">
        <v>5.8288000000000002</v>
      </c>
      <c r="E305" s="39">
        <v>20.52</v>
      </c>
      <c r="F305" s="39">
        <f t="shared" si="51"/>
        <v>29382.399999999998</v>
      </c>
      <c r="G305" s="39">
        <f t="shared" si="52"/>
        <v>11657.6</v>
      </c>
      <c r="H305" s="179">
        <f t="shared" si="53"/>
        <v>2.5204501784243751</v>
      </c>
      <c r="I305" s="39"/>
      <c r="J305" s="39"/>
      <c r="K305" s="39">
        <f t="shared" si="54"/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190">
        <v>8.5030000000000001</v>
      </c>
      <c r="E306" s="39">
        <v>19.48</v>
      </c>
      <c r="F306" s="39">
        <f t="shared" si="51"/>
        <v>27442.5</v>
      </c>
      <c r="G306" s="39">
        <f t="shared" si="52"/>
        <v>21257.5</v>
      </c>
      <c r="H306" s="179">
        <f t="shared" si="53"/>
        <v>1.2909561331294837</v>
      </c>
      <c r="I306" s="39"/>
      <c r="J306" s="39"/>
      <c r="K306" s="39">
        <f t="shared" si="54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357">
        <v>2000</v>
      </c>
      <c r="D307" s="766">
        <v>5.6989000000000001</v>
      </c>
      <c r="E307" s="39">
        <v>18.350000000000001</v>
      </c>
      <c r="F307" s="39">
        <f t="shared" si="51"/>
        <v>25302.200000000004</v>
      </c>
      <c r="G307" s="39">
        <f t="shared" si="52"/>
        <v>11397.8</v>
      </c>
      <c r="H307" s="179">
        <f t="shared" si="53"/>
        <v>2.2199196336135048</v>
      </c>
      <c r="I307" s="39"/>
      <c r="J307" s="39"/>
      <c r="K307" s="39">
        <f t="shared" si="54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190">
        <v>7.4443000000000001</v>
      </c>
      <c r="E308" s="39">
        <v>18.350000000000001</v>
      </c>
      <c r="F308" s="39">
        <f t="shared" si="51"/>
        <v>25083.110000000004</v>
      </c>
      <c r="G308" s="39">
        <f t="shared" si="52"/>
        <v>17121.89</v>
      </c>
      <c r="H308" s="179">
        <f t="shared" si="53"/>
        <v>1.4649732009725562</v>
      </c>
      <c r="I308" s="39"/>
      <c r="J308" s="39"/>
      <c r="K308" s="39">
        <f t="shared" si="54"/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190">
        <v>7.4443000000000001</v>
      </c>
      <c r="E309" s="39">
        <v>18.149999999999999</v>
      </c>
      <c r="F309" s="39">
        <f t="shared" si="51"/>
        <v>24623.109999999997</v>
      </c>
      <c r="G309" s="39">
        <f t="shared" si="52"/>
        <v>17121.89</v>
      </c>
      <c r="H309" s="179">
        <f t="shared" si="53"/>
        <v>1.4381070080464244</v>
      </c>
      <c r="I309" s="39"/>
      <c r="J309" s="39"/>
      <c r="K309" s="39">
        <f t="shared" si="54"/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357">
        <v>2000</v>
      </c>
      <c r="D310" s="766">
        <v>5.6089000000000002</v>
      </c>
      <c r="E310" s="39">
        <v>18.989999999999998</v>
      </c>
      <c r="F310" s="39">
        <f t="shared" si="51"/>
        <v>26762.199999999997</v>
      </c>
      <c r="G310" s="39">
        <f t="shared" si="52"/>
        <v>11217.800000000001</v>
      </c>
      <c r="H310" s="179">
        <f t="shared" si="53"/>
        <v>2.3856905988696533</v>
      </c>
      <c r="I310" s="39"/>
      <c r="J310" s="39"/>
      <c r="K310" s="39">
        <f t="shared" si="54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190">
        <v>5.609</v>
      </c>
      <c r="E311" s="39">
        <v>18.61</v>
      </c>
      <c r="F311" s="39">
        <f t="shared" si="51"/>
        <v>26002</v>
      </c>
      <c r="G311" s="39">
        <f t="shared" si="52"/>
        <v>11218</v>
      </c>
      <c r="H311" s="179">
        <f t="shared" si="53"/>
        <v>2.3178819753966837</v>
      </c>
      <c r="I311" s="39"/>
      <c r="J311" s="39"/>
      <c r="K311" s="39">
        <f t="shared" si="54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190">
        <v>5.609</v>
      </c>
      <c r="E312" s="39">
        <v>18.21</v>
      </c>
      <c r="F312" s="39">
        <f t="shared" si="51"/>
        <v>25202</v>
      </c>
      <c r="G312" s="39">
        <f t="shared" si="52"/>
        <v>11218</v>
      </c>
      <c r="H312" s="179">
        <f t="shared" si="53"/>
        <v>2.2465680156890713</v>
      </c>
      <c r="I312" s="39"/>
      <c r="J312" s="39"/>
      <c r="K312" s="39">
        <f t="shared" si="54"/>
        <v>39817.571000001626</v>
      </c>
      <c r="L312" s="39">
        <v>62.85</v>
      </c>
    </row>
    <row r="313" spans="1:14" x14ac:dyDescent="0.25">
      <c r="A313">
        <v>1200</v>
      </c>
      <c r="B313" s="150">
        <v>43416</v>
      </c>
      <c r="C313" s="10">
        <v>2200</v>
      </c>
      <c r="D313" s="190">
        <v>6.6879999999999997</v>
      </c>
      <c r="E313" s="39">
        <v>17.260000000000002</v>
      </c>
      <c r="F313" s="39">
        <f t="shared" ref="F313:F316" si="55">C313*(E313-D313)</f>
        <v>23258.400000000005</v>
      </c>
      <c r="G313" s="39">
        <f t="shared" ref="G313:G316" si="56">D313*C313</f>
        <v>14713.599999999999</v>
      </c>
      <c r="H313" s="179">
        <f t="shared" ref="H313:H316" si="57">(E313-D313)/D313</f>
        <v>1.5807416267942589</v>
      </c>
      <c r="I313" s="39"/>
      <c r="J313" s="39"/>
      <c r="K313" s="39">
        <f t="shared" si="54"/>
        <v>37873.971000001635</v>
      </c>
      <c r="L313" s="39"/>
    </row>
    <row r="314" spans="1:14" x14ac:dyDescent="0.25">
      <c r="A314">
        <v>1200</v>
      </c>
      <c r="B314" s="150">
        <v>43417</v>
      </c>
      <c r="C314" s="10">
        <v>2200</v>
      </c>
      <c r="D314" s="190">
        <v>6.6879999999999997</v>
      </c>
      <c r="E314" s="39">
        <v>16.47</v>
      </c>
      <c r="F314" s="39">
        <f t="shared" si="55"/>
        <v>21520.400000000001</v>
      </c>
      <c r="G314" s="39">
        <f t="shared" si="56"/>
        <v>14713.599999999999</v>
      </c>
      <c r="H314" s="179">
        <f t="shared" si="57"/>
        <v>1.4626196172248804</v>
      </c>
      <c r="I314" s="39"/>
      <c r="J314" s="39"/>
      <c r="K314" s="39">
        <f t="shared" si="54"/>
        <v>36135.971000001628</v>
      </c>
      <c r="L314" s="39">
        <v>55.74</v>
      </c>
    </row>
    <row r="315" spans="1:14" x14ac:dyDescent="0.25">
      <c r="A315">
        <v>1200</v>
      </c>
      <c r="B315" s="150">
        <v>43418</v>
      </c>
      <c r="C315" s="10">
        <v>2200</v>
      </c>
      <c r="D315" s="190">
        <v>6.6879999999999997</v>
      </c>
      <c r="E315" s="39">
        <v>16.68</v>
      </c>
      <c r="F315" s="39">
        <f t="shared" si="55"/>
        <v>21982.400000000001</v>
      </c>
      <c r="G315" s="39">
        <f t="shared" si="56"/>
        <v>14713.599999999999</v>
      </c>
      <c r="H315" s="179">
        <f t="shared" si="57"/>
        <v>1.4940191387559811</v>
      </c>
      <c r="I315" s="39"/>
      <c r="J315" s="39"/>
      <c r="K315" s="39">
        <f t="shared" si="54"/>
        <v>36597.971000001628</v>
      </c>
      <c r="L315" s="39">
        <v>55.95</v>
      </c>
    </row>
    <row r="316" spans="1:14" x14ac:dyDescent="0.25">
      <c r="A316">
        <v>1200</v>
      </c>
      <c r="B316" s="150">
        <v>43420</v>
      </c>
      <c r="C316" s="10">
        <v>2200</v>
      </c>
      <c r="D316" s="190">
        <v>6.6879999999999997</v>
      </c>
      <c r="E316" s="39">
        <v>17.190000000000001</v>
      </c>
      <c r="F316" s="39">
        <f t="shared" si="55"/>
        <v>23104.400000000005</v>
      </c>
      <c r="G316" s="39">
        <f t="shared" si="56"/>
        <v>14713.599999999999</v>
      </c>
      <c r="H316" s="179">
        <f t="shared" si="57"/>
        <v>1.5702751196172253</v>
      </c>
      <c r="I316" s="39"/>
      <c r="J316" s="39"/>
      <c r="K316" s="39">
        <f t="shared" si="54"/>
        <v>37719.971000001635</v>
      </c>
      <c r="L316" s="39">
        <v>56.45</v>
      </c>
    </row>
    <row r="317" spans="1:14" x14ac:dyDescent="0.25">
      <c r="A317">
        <v>1200</v>
      </c>
      <c r="B317" s="150">
        <v>43424</v>
      </c>
      <c r="C317" s="10">
        <v>2400</v>
      </c>
      <c r="D317" s="190">
        <v>7.4790999999999999</v>
      </c>
      <c r="E317" s="39">
        <v>15.93</v>
      </c>
      <c r="F317" s="39">
        <f t="shared" ref="F317" si="58">C317*(E317-D317)</f>
        <v>20282.160000000003</v>
      </c>
      <c r="G317" s="39">
        <f t="shared" ref="G317" si="59">D317*C317</f>
        <v>17949.84</v>
      </c>
      <c r="H317" s="179">
        <f t="shared" ref="H317" si="60">(E317-D317)/D317</f>
        <v>1.1299354200371703</v>
      </c>
      <c r="I317" s="39"/>
      <c r="J317" s="39"/>
      <c r="K317" s="39">
        <f t="shared" ref="K317" si="61">F317+$Q$10</f>
        <v>34897.73100000163</v>
      </c>
      <c r="L317" s="39">
        <v>53.55</v>
      </c>
    </row>
    <row r="318" spans="1:14" x14ac:dyDescent="0.25">
      <c r="A318">
        <v>1500</v>
      </c>
      <c r="B318" s="150">
        <v>43427</v>
      </c>
      <c r="C318" s="10">
        <v>2400</v>
      </c>
      <c r="D318" s="190">
        <v>7.4508000000000001</v>
      </c>
      <c r="E318" s="39">
        <v>15.48</v>
      </c>
      <c r="F318" s="39">
        <f t="shared" ref="F318" si="62">C318*(E318-D318)</f>
        <v>19270.079999999998</v>
      </c>
      <c r="G318" s="39">
        <f t="shared" ref="G318" si="63">D318*C318</f>
        <v>17881.920000000002</v>
      </c>
      <c r="H318" s="179">
        <f t="shared" ref="H318" si="64">(E318-D318)/D318</f>
        <v>1.0776292478660008</v>
      </c>
      <c r="I318" s="39"/>
      <c r="J318" s="39"/>
      <c r="K318" s="39">
        <f t="shared" ref="K318" si="65">F318+$Q$10</f>
        <v>33885.651000001628</v>
      </c>
      <c r="L318" s="39">
        <v>51</v>
      </c>
    </row>
    <row r="319" spans="1:14" x14ac:dyDescent="0.25">
      <c r="B319" s="150"/>
      <c r="C319" s="10"/>
      <c r="D319" s="190"/>
      <c r="E319" s="39"/>
      <c r="F319" s="39"/>
      <c r="G319" s="39"/>
      <c r="H319" s="179"/>
      <c r="I319" s="39"/>
      <c r="J319" s="39"/>
      <c r="K319" s="39"/>
      <c r="L319" s="39"/>
    </row>
    <row r="320" spans="1:14" x14ac:dyDescent="0.25">
      <c r="B320" s="150"/>
      <c r="C320" s="10"/>
      <c r="D320" s="190"/>
      <c r="E320" s="39"/>
      <c r="F320" s="39"/>
      <c r="G320" s="39"/>
      <c r="H320" s="179"/>
      <c r="I320" s="39"/>
      <c r="J320" s="39"/>
      <c r="K320" s="39"/>
      <c r="L320" s="39"/>
    </row>
    <row r="321" spans="2:12" ht="15" customHeight="1" x14ac:dyDescent="0.25">
      <c r="B321" s="150"/>
      <c r="C321" s="10"/>
      <c r="D321" s="190"/>
      <c r="E321" s="39"/>
      <c r="F321" s="39"/>
      <c r="G321" s="39"/>
      <c r="H321" s="179"/>
      <c r="I321" s="39"/>
      <c r="J321" s="39"/>
      <c r="K321" s="39"/>
      <c r="L321" s="39"/>
    </row>
    <row r="323" spans="2:12" x14ac:dyDescent="0.25">
      <c r="B323" s="544" t="s">
        <v>113</v>
      </c>
      <c r="C323" s="414" t="s">
        <v>145</v>
      </c>
      <c r="D323" s="545" t="s">
        <v>144</v>
      </c>
      <c r="E323" s="416" t="s">
        <v>146</v>
      </c>
      <c r="F323" s="417" t="s">
        <v>65</v>
      </c>
      <c r="G323" s="418" t="s">
        <v>150</v>
      </c>
      <c r="H323" s="417" t="s">
        <v>88</v>
      </c>
      <c r="I323" s="418" t="s">
        <v>153</v>
      </c>
    </row>
    <row r="324" spans="2:12" x14ac:dyDescent="0.25">
      <c r="B324" s="546">
        <v>42305</v>
      </c>
      <c r="C324" s="298">
        <v>2000</v>
      </c>
      <c r="D324" s="547">
        <v>34.06</v>
      </c>
      <c r="E324" s="299">
        <v>17.68</v>
      </c>
      <c r="F324" s="299">
        <v>-32767.45</v>
      </c>
      <c r="G324" s="299">
        <f t="shared" ref="G324:G330" si="66">IF(C324=0, 0,D324*C324)</f>
        <v>68120</v>
      </c>
      <c r="H324" s="301">
        <f t="shared" ref="H324:H330" si="67">IF(C324=0, D324, (E324-D324)/D324)</f>
        <v>-0.48091603053435117</v>
      </c>
      <c r="I324" s="299"/>
    </row>
    <row r="325" spans="2:12" x14ac:dyDescent="0.25">
      <c r="B325" s="546">
        <v>42307</v>
      </c>
      <c r="C325" s="298">
        <v>0</v>
      </c>
      <c r="D325" s="547" t="s">
        <v>128</v>
      </c>
      <c r="E325" s="299">
        <v>17.55</v>
      </c>
      <c r="F325" s="299">
        <v>-30722.2</v>
      </c>
      <c r="G325" s="299">
        <f t="shared" si="66"/>
        <v>0</v>
      </c>
      <c r="H325" s="301" t="str">
        <f t="shared" si="67"/>
        <v>N/A</v>
      </c>
      <c r="I325" s="299"/>
    </row>
    <row r="326" spans="2:12" x14ac:dyDescent="0.25">
      <c r="B326" s="546">
        <v>42310</v>
      </c>
      <c r="C326" s="298">
        <v>0</v>
      </c>
      <c r="D326" s="547" t="s">
        <v>128</v>
      </c>
      <c r="E326" s="299">
        <v>19.010000000000002</v>
      </c>
      <c r="F326" s="299">
        <v>-30693.25</v>
      </c>
      <c r="G326" s="299">
        <f t="shared" si="66"/>
        <v>0</v>
      </c>
      <c r="H326" s="301" t="str">
        <f t="shared" si="67"/>
        <v>N/A</v>
      </c>
      <c r="I326" s="299"/>
    </row>
    <row r="327" spans="2:12" x14ac:dyDescent="0.25">
      <c r="B327" s="546">
        <v>42314</v>
      </c>
      <c r="C327" s="298">
        <v>2500</v>
      </c>
      <c r="D327" s="547">
        <v>30.24</v>
      </c>
      <c r="E327" s="299">
        <v>18.29</v>
      </c>
      <c r="F327" s="299">
        <v>-29878.25</v>
      </c>
      <c r="G327" s="299">
        <f t="shared" si="66"/>
        <v>75600</v>
      </c>
      <c r="H327" s="301">
        <f t="shared" si="67"/>
        <v>-0.39517195767195767</v>
      </c>
      <c r="I327" s="299"/>
    </row>
    <row r="328" spans="2:12" x14ac:dyDescent="0.25">
      <c r="B328" s="546">
        <v>42318</v>
      </c>
      <c r="C328" s="298">
        <v>0</v>
      </c>
      <c r="D328" s="547" t="s">
        <v>128</v>
      </c>
      <c r="E328" s="299">
        <v>18.78</v>
      </c>
      <c r="F328" s="299">
        <v>-28604.09</v>
      </c>
      <c r="G328" s="299">
        <f t="shared" si="66"/>
        <v>0</v>
      </c>
      <c r="H328" s="301" t="str">
        <f t="shared" si="67"/>
        <v>N/A</v>
      </c>
      <c r="I328" s="299"/>
    </row>
    <row r="329" spans="2:12" x14ac:dyDescent="0.25">
      <c r="B329" s="546">
        <v>42328</v>
      </c>
      <c r="C329" s="298">
        <v>3078</v>
      </c>
      <c r="D329" s="547">
        <v>26.76</v>
      </c>
      <c r="E329" s="299">
        <v>17.440000000000001</v>
      </c>
      <c r="F329" s="299">
        <v>-28696.448999999906</v>
      </c>
      <c r="G329" s="299">
        <f t="shared" si="66"/>
        <v>82367.28</v>
      </c>
      <c r="H329" s="301">
        <f t="shared" si="67"/>
        <v>-0.34828101644245141</v>
      </c>
      <c r="I329" s="299"/>
    </row>
    <row r="330" spans="2:12" x14ac:dyDescent="0.25">
      <c r="B330" s="546">
        <v>42331</v>
      </c>
      <c r="C330" s="298">
        <v>0</v>
      </c>
      <c r="D330" s="547" t="s">
        <v>128</v>
      </c>
      <c r="E330" s="299">
        <v>17.53</v>
      </c>
      <c r="F330" s="299">
        <v>-28051.068999999901</v>
      </c>
      <c r="G330" s="299">
        <f t="shared" si="66"/>
        <v>0</v>
      </c>
      <c r="H330" s="301" t="str">
        <f t="shared" si="67"/>
        <v>N/A</v>
      </c>
      <c r="I330" s="299"/>
    </row>
    <row r="331" spans="2:12" x14ac:dyDescent="0.25">
      <c r="B331" s="546">
        <v>42335</v>
      </c>
      <c r="C331" s="298">
        <v>3078</v>
      </c>
      <c r="D331" s="547">
        <v>26.85</v>
      </c>
      <c r="E331" s="299">
        <v>17.73</v>
      </c>
      <c r="F331" s="299">
        <f>C331*(E331-D331)</f>
        <v>-28071.360000000004</v>
      </c>
      <c r="G331" s="299">
        <f>D331*C331</f>
        <v>82644.3</v>
      </c>
      <c r="H331" s="300">
        <f>(E331-D331)/D331</f>
        <v>-0.33966480446927377</v>
      </c>
      <c r="I331" s="299"/>
    </row>
    <row r="332" spans="2:12" x14ac:dyDescent="0.25">
      <c r="B332" s="546">
        <v>42335</v>
      </c>
      <c r="C332" s="298">
        <v>3578</v>
      </c>
      <c r="D332" s="547">
        <v>25.55</v>
      </c>
      <c r="E332" s="299">
        <v>17.440000000000001</v>
      </c>
      <c r="F332" s="299">
        <f t="shared" ref="F332:F363" si="68">C332*(E332-D332)</f>
        <v>-29017.579999999998</v>
      </c>
      <c r="G332" s="299">
        <f t="shared" ref="G332:G361" si="69">D332*C332</f>
        <v>91417.900000000009</v>
      </c>
      <c r="H332" s="300">
        <f t="shared" ref="H332:H361" si="70">(E332-D332)/D332</f>
        <v>-0.31741682974559682</v>
      </c>
      <c r="I332" s="299"/>
    </row>
    <row r="333" spans="2:12" x14ac:dyDescent="0.25">
      <c r="B333" s="546">
        <v>42340</v>
      </c>
      <c r="C333" s="298">
        <v>4178</v>
      </c>
      <c r="D333" s="547">
        <v>24.29</v>
      </c>
      <c r="E333" s="299">
        <v>16.670000000000002</v>
      </c>
      <c r="F333" s="299">
        <f t="shared" si="68"/>
        <v>-31836.35999999999</v>
      </c>
      <c r="G333" s="299">
        <f t="shared" si="69"/>
        <v>101483.62</v>
      </c>
      <c r="H333" s="300">
        <f t="shared" si="70"/>
        <v>-0.31370934540963352</v>
      </c>
      <c r="I333" s="299"/>
    </row>
    <row r="334" spans="2:12" x14ac:dyDescent="0.25">
      <c r="B334" s="546">
        <v>42342</v>
      </c>
      <c r="C334" s="298">
        <v>4678</v>
      </c>
      <c r="D334" s="547">
        <v>23.39</v>
      </c>
      <c r="E334" s="299">
        <v>16.12</v>
      </c>
      <c r="F334" s="299">
        <f t="shared" si="68"/>
        <v>-34009.06</v>
      </c>
      <c r="G334" s="299">
        <f t="shared" si="69"/>
        <v>109418.42</v>
      </c>
      <c r="H334" s="300">
        <f t="shared" si="70"/>
        <v>-0.31081658828559211</v>
      </c>
      <c r="I334" s="299"/>
    </row>
    <row r="335" spans="2:12" x14ac:dyDescent="0.25">
      <c r="B335" s="546">
        <v>42342</v>
      </c>
      <c r="C335" s="298">
        <v>4178</v>
      </c>
      <c r="D335" s="547">
        <v>24.26</v>
      </c>
      <c r="E335" s="299">
        <v>16.12</v>
      </c>
      <c r="F335" s="299">
        <f t="shared" si="68"/>
        <v>-34008.920000000006</v>
      </c>
      <c r="G335" s="299">
        <f t="shared" si="69"/>
        <v>101358.28000000001</v>
      </c>
      <c r="H335" s="300">
        <f t="shared" si="70"/>
        <v>-0.33553173948887055</v>
      </c>
      <c r="I335" s="299"/>
    </row>
    <row r="336" spans="2:12" x14ac:dyDescent="0.25">
      <c r="B336" s="546">
        <v>42345</v>
      </c>
      <c r="C336" s="298">
        <v>4678</v>
      </c>
      <c r="D336" s="547">
        <v>23.24</v>
      </c>
      <c r="E336" s="299">
        <v>14.78</v>
      </c>
      <c r="F336" s="299">
        <f t="shared" si="68"/>
        <v>-39575.879999999997</v>
      </c>
      <c r="G336" s="299">
        <f t="shared" si="69"/>
        <v>108716.71999999999</v>
      </c>
      <c r="H336" s="300">
        <f t="shared" si="70"/>
        <v>-0.36402753872633387</v>
      </c>
      <c r="I336" s="299"/>
    </row>
    <row r="337" spans="2:14" x14ac:dyDescent="0.25">
      <c r="B337" s="546">
        <v>42347</v>
      </c>
      <c r="C337" s="298">
        <v>4778</v>
      </c>
      <c r="D337" s="547">
        <v>23.06</v>
      </c>
      <c r="E337" s="299">
        <v>14.92</v>
      </c>
      <c r="F337" s="299">
        <f t="shared" si="68"/>
        <v>-38892.919999999991</v>
      </c>
      <c r="G337" s="299">
        <f t="shared" si="69"/>
        <v>110180.68</v>
      </c>
      <c r="H337" s="300">
        <f t="shared" si="70"/>
        <v>-0.3529921942758022</v>
      </c>
      <c r="I337" s="299"/>
    </row>
    <row r="338" spans="2:14" x14ac:dyDescent="0.25">
      <c r="B338" s="546">
        <v>42348</v>
      </c>
      <c r="C338" s="298">
        <v>4178</v>
      </c>
      <c r="D338" s="547">
        <v>24.23</v>
      </c>
      <c r="E338" s="299">
        <v>14.74</v>
      </c>
      <c r="F338" s="299">
        <f t="shared" si="68"/>
        <v>-39649.22</v>
      </c>
      <c r="G338" s="299">
        <f t="shared" si="69"/>
        <v>101232.94</v>
      </c>
      <c r="H338" s="300">
        <f t="shared" si="70"/>
        <v>-0.39166322740404458</v>
      </c>
      <c r="I338" s="299"/>
    </row>
    <row r="339" spans="2:14" x14ac:dyDescent="0.25">
      <c r="B339" s="546">
        <v>42349</v>
      </c>
      <c r="C339" s="298">
        <v>3678</v>
      </c>
      <c r="D339" s="547">
        <v>25.57</v>
      </c>
      <c r="E339" s="299">
        <v>14.34</v>
      </c>
      <c r="F339" s="299">
        <f t="shared" si="68"/>
        <v>-41303.94</v>
      </c>
      <c r="G339" s="299">
        <f t="shared" si="69"/>
        <v>94046.46</v>
      </c>
      <c r="H339" s="300">
        <f t="shared" si="70"/>
        <v>-0.43918654673445445</v>
      </c>
      <c r="I339" s="299"/>
    </row>
    <row r="340" spans="2:14" x14ac:dyDescent="0.25">
      <c r="B340" s="546">
        <v>42352</v>
      </c>
      <c r="C340" s="298">
        <v>4178</v>
      </c>
      <c r="D340" s="547">
        <v>24.18</v>
      </c>
      <c r="E340" s="299">
        <v>13.96</v>
      </c>
      <c r="F340" s="299">
        <f t="shared" si="68"/>
        <v>-42699.159999999996</v>
      </c>
      <c r="G340" s="299">
        <f t="shared" si="69"/>
        <v>101024.04</v>
      </c>
      <c r="H340" s="300">
        <f t="shared" si="70"/>
        <v>-0.42266335814722905</v>
      </c>
      <c r="I340" s="299"/>
    </row>
    <row r="341" spans="2:14" x14ac:dyDescent="0.25">
      <c r="B341" s="546">
        <v>42355</v>
      </c>
      <c r="C341" s="298">
        <v>4678</v>
      </c>
      <c r="D341" s="547">
        <v>22.98</v>
      </c>
      <c r="E341" s="299">
        <v>12.78</v>
      </c>
      <c r="F341" s="299">
        <f t="shared" si="68"/>
        <v>-47715.600000000006</v>
      </c>
      <c r="G341" s="299">
        <f t="shared" si="69"/>
        <v>107500.44</v>
      </c>
      <c r="H341" s="300">
        <f t="shared" si="70"/>
        <v>-0.44386422976501311</v>
      </c>
      <c r="I341" s="299"/>
    </row>
    <row r="342" spans="2:14" x14ac:dyDescent="0.25">
      <c r="B342" s="546">
        <v>42356</v>
      </c>
      <c r="C342" s="298">
        <v>5178</v>
      </c>
      <c r="D342" s="547">
        <v>21.99</v>
      </c>
      <c r="E342" s="299">
        <v>12.95</v>
      </c>
      <c r="F342" s="299">
        <f t="shared" si="68"/>
        <v>-46809.119999999995</v>
      </c>
      <c r="G342" s="299">
        <f t="shared" si="69"/>
        <v>113864.21999999999</v>
      </c>
      <c r="H342" s="300">
        <f t="shared" si="70"/>
        <v>-0.41109595270577537</v>
      </c>
      <c r="I342" s="299"/>
      <c r="N342" s="70"/>
    </row>
    <row r="343" spans="2:14" x14ac:dyDescent="0.25">
      <c r="B343" s="546">
        <v>42356</v>
      </c>
      <c r="C343" s="298">
        <v>6178</v>
      </c>
      <c r="D343" s="547">
        <v>20.48</v>
      </c>
      <c r="E343" s="299">
        <v>12.76</v>
      </c>
      <c r="F343" s="299">
        <f t="shared" si="68"/>
        <v>-47694.16</v>
      </c>
      <c r="G343" s="299">
        <f t="shared" si="69"/>
        <v>126525.44</v>
      </c>
      <c r="H343" s="300">
        <f t="shared" si="70"/>
        <v>-0.376953125</v>
      </c>
      <c r="I343" s="299"/>
    </row>
    <row r="344" spans="2:14" x14ac:dyDescent="0.25">
      <c r="B344" s="546">
        <v>42356</v>
      </c>
      <c r="C344" s="298">
        <v>6400</v>
      </c>
      <c r="D344" s="547">
        <v>20.2</v>
      </c>
      <c r="E344" s="299">
        <v>12.68</v>
      </c>
      <c r="F344" s="299">
        <f t="shared" si="68"/>
        <v>-48128</v>
      </c>
      <c r="G344" s="299">
        <f t="shared" si="69"/>
        <v>129280</v>
      </c>
      <c r="H344" s="300">
        <f t="shared" si="70"/>
        <v>-0.37227722772277227</v>
      </c>
      <c r="I344" s="299"/>
    </row>
    <row r="345" spans="2:14" x14ac:dyDescent="0.25">
      <c r="B345" s="546">
        <v>42359</v>
      </c>
      <c r="C345" s="298">
        <v>5178</v>
      </c>
      <c r="D345" s="547">
        <v>21.96</v>
      </c>
      <c r="E345" s="299">
        <v>12.66</v>
      </c>
      <c r="F345" s="299">
        <f t="shared" si="68"/>
        <v>-48155.4</v>
      </c>
      <c r="G345" s="299">
        <f t="shared" si="69"/>
        <v>113708.88</v>
      </c>
      <c r="H345" s="300">
        <f t="shared" si="70"/>
        <v>-0.42349726775956287</v>
      </c>
      <c r="I345" s="299"/>
    </row>
    <row r="346" spans="2:14" x14ac:dyDescent="0.25">
      <c r="B346" s="546">
        <v>42361</v>
      </c>
      <c r="C346" s="298">
        <v>4178</v>
      </c>
      <c r="D346" s="547">
        <v>24.07</v>
      </c>
      <c r="E346" s="299">
        <v>13.96</v>
      </c>
      <c r="F346" s="299">
        <f t="shared" si="68"/>
        <v>-42239.579999999994</v>
      </c>
      <c r="G346" s="299">
        <f t="shared" si="69"/>
        <v>100564.46</v>
      </c>
      <c r="H346" s="300">
        <f t="shared" si="70"/>
        <v>-0.42002492729538843</v>
      </c>
      <c r="I346" s="299"/>
    </row>
    <row r="347" spans="2:14" x14ac:dyDescent="0.25">
      <c r="B347" s="546">
        <v>42361</v>
      </c>
      <c r="C347" s="298">
        <v>4178</v>
      </c>
      <c r="D347" s="547">
        <v>24.03</v>
      </c>
      <c r="E347" s="299">
        <v>13.96</v>
      </c>
      <c r="F347" s="299">
        <f t="shared" si="68"/>
        <v>-42072.46</v>
      </c>
      <c r="G347" s="299">
        <f t="shared" si="69"/>
        <v>100397.34000000001</v>
      </c>
      <c r="H347" s="300">
        <f t="shared" si="70"/>
        <v>-0.41905950894714938</v>
      </c>
      <c r="I347" s="299"/>
    </row>
    <row r="348" spans="2:14" x14ac:dyDescent="0.25">
      <c r="B348" s="546">
        <v>42366</v>
      </c>
      <c r="C348" s="319">
        <v>6678</v>
      </c>
      <c r="D348" s="548">
        <v>19.91</v>
      </c>
      <c r="E348" s="299">
        <v>13.09</v>
      </c>
      <c r="F348" s="299">
        <f t="shared" si="68"/>
        <v>-45543.96</v>
      </c>
      <c r="G348" s="299">
        <f t="shared" si="69"/>
        <v>132958.98000000001</v>
      </c>
      <c r="H348" s="300">
        <f t="shared" si="70"/>
        <v>-0.34254143646408841</v>
      </c>
      <c r="I348" s="299"/>
    </row>
    <row r="349" spans="2:14" x14ac:dyDescent="0.25">
      <c r="B349" s="546">
        <v>42367</v>
      </c>
      <c r="C349" s="319">
        <v>8678</v>
      </c>
      <c r="D349" s="548">
        <v>18.32</v>
      </c>
      <c r="E349" s="299">
        <v>13.03</v>
      </c>
      <c r="F349" s="299">
        <f t="shared" si="68"/>
        <v>-45906.62000000001</v>
      </c>
      <c r="G349" s="299">
        <f t="shared" si="69"/>
        <v>158980.96</v>
      </c>
      <c r="H349" s="300">
        <f t="shared" si="70"/>
        <v>-0.28875545851528389</v>
      </c>
      <c r="I349" s="299"/>
    </row>
    <row r="350" spans="2:14" x14ac:dyDescent="0.25">
      <c r="B350" s="546">
        <v>42368</v>
      </c>
      <c r="C350" s="298">
        <v>9678</v>
      </c>
      <c r="D350" s="547">
        <v>17.73</v>
      </c>
      <c r="E350" s="299">
        <v>12.38</v>
      </c>
      <c r="F350" s="299">
        <f t="shared" si="68"/>
        <v>-51777.299999999996</v>
      </c>
      <c r="G350" s="299">
        <f t="shared" si="69"/>
        <v>171590.94</v>
      </c>
      <c r="H350" s="301">
        <f t="shared" si="70"/>
        <v>-0.30174844895657077</v>
      </c>
      <c r="I350" s="299"/>
    </row>
    <row r="351" spans="2:14" x14ac:dyDescent="0.25">
      <c r="B351" s="546">
        <v>42369</v>
      </c>
      <c r="C351" s="298">
        <v>8678</v>
      </c>
      <c r="D351" s="547">
        <v>18.312999999999999</v>
      </c>
      <c r="E351" s="299">
        <v>12.59</v>
      </c>
      <c r="F351" s="299">
        <f t="shared" si="68"/>
        <v>-49664.193999999989</v>
      </c>
      <c r="G351" s="299">
        <f t="shared" si="69"/>
        <v>158920.21399999998</v>
      </c>
      <c r="H351" s="301">
        <f t="shared" si="70"/>
        <v>-0.3125102386282968</v>
      </c>
      <c r="I351" s="299"/>
    </row>
    <row r="352" spans="2:14" x14ac:dyDescent="0.25">
      <c r="B352" s="546">
        <v>42374</v>
      </c>
      <c r="C352" s="298">
        <v>7678</v>
      </c>
      <c r="D352" s="547">
        <v>19.010000000000002</v>
      </c>
      <c r="E352" s="299">
        <v>12.76</v>
      </c>
      <c r="F352" s="299">
        <f t="shared" si="68"/>
        <v>-47987.500000000015</v>
      </c>
      <c r="G352" s="299">
        <f t="shared" si="69"/>
        <v>145958.78</v>
      </c>
      <c r="H352" s="301">
        <f t="shared" si="70"/>
        <v>-0.32877432930036832</v>
      </c>
      <c r="I352" s="299"/>
    </row>
    <row r="353" spans="2:14" ht="15" customHeight="1" x14ac:dyDescent="0.25">
      <c r="B353" s="546">
        <v>42375</v>
      </c>
      <c r="C353" s="298">
        <v>8678</v>
      </c>
      <c r="D353" s="547">
        <v>18.257000000000001</v>
      </c>
      <c r="E353" s="299">
        <v>12.76</v>
      </c>
      <c r="F353" s="299">
        <f t="shared" si="68"/>
        <v>-47702.966000000015</v>
      </c>
      <c r="G353" s="299">
        <f t="shared" si="69"/>
        <v>158434.24600000001</v>
      </c>
      <c r="H353" s="301">
        <f t="shared" si="70"/>
        <v>-0.30108999287944355</v>
      </c>
      <c r="I353" s="299"/>
    </row>
    <row r="354" spans="2:14" x14ac:dyDescent="0.25">
      <c r="B354" s="546">
        <v>42375</v>
      </c>
      <c r="C354" s="298">
        <v>9678</v>
      </c>
      <c r="D354" s="547">
        <v>17.579999999999998</v>
      </c>
      <c r="E354" s="299">
        <v>11.28</v>
      </c>
      <c r="F354" s="299">
        <f t="shared" si="68"/>
        <v>-60971.399999999987</v>
      </c>
      <c r="G354" s="299">
        <f t="shared" si="69"/>
        <v>170139.24</v>
      </c>
      <c r="H354" s="301">
        <f t="shared" si="70"/>
        <v>-0.35836177474402725</v>
      </c>
      <c r="I354" s="299"/>
    </row>
    <row r="355" spans="2:14" x14ac:dyDescent="0.25">
      <c r="B355" s="546">
        <v>42398</v>
      </c>
      <c r="C355" s="298">
        <v>9278</v>
      </c>
      <c r="D355" s="547">
        <v>17.93</v>
      </c>
      <c r="E355" s="299">
        <v>9.56</v>
      </c>
      <c r="F355" s="299">
        <f t="shared" si="68"/>
        <v>-77656.859999999986</v>
      </c>
      <c r="G355" s="299">
        <f t="shared" si="69"/>
        <v>166354.54</v>
      </c>
      <c r="H355" s="301">
        <f t="shared" si="70"/>
        <v>-0.46681539319576126</v>
      </c>
      <c r="I355" s="299"/>
    </row>
    <row r="356" spans="2:14" x14ac:dyDescent="0.25">
      <c r="B356" s="546">
        <v>42402</v>
      </c>
      <c r="C356" s="298">
        <v>9678</v>
      </c>
      <c r="D356" s="547">
        <v>17.559999999999999</v>
      </c>
      <c r="E356" s="299">
        <v>8.74</v>
      </c>
      <c r="F356" s="299">
        <f t="shared" si="68"/>
        <v>-85359.959999999992</v>
      </c>
      <c r="G356" s="299">
        <f t="shared" si="69"/>
        <v>169945.68</v>
      </c>
      <c r="H356" s="301">
        <f t="shared" si="70"/>
        <v>-0.50227790432801822</v>
      </c>
      <c r="I356" s="299"/>
    </row>
    <row r="357" spans="2:14" x14ac:dyDescent="0.25">
      <c r="B357" s="546">
        <v>42411</v>
      </c>
      <c r="C357" s="298">
        <v>9678</v>
      </c>
      <c r="D357" s="547">
        <v>17.553999999999998</v>
      </c>
      <c r="E357" s="299">
        <v>7.13</v>
      </c>
      <c r="F357" s="299">
        <f t="shared" si="68"/>
        <v>-100883.47199999999</v>
      </c>
      <c r="G357" s="299">
        <f t="shared" si="69"/>
        <v>169887.61199999999</v>
      </c>
      <c r="H357" s="300">
        <f t="shared" si="70"/>
        <v>-0.59382476928335426</v>
      </c>
      <c r="I357" s="299"/>
    </row>
    <row r="358" spans="2:14" x14ac:dyDescent="0.25">
      <c r="B358" s="546">
        <v>42412</v>
      </c>
      <c r="C358" s="298">
        <v>9678</v>
      </c>
      <c r="D358" s="547">
        <v>17.55</v>
      </c>
      <c r="E358" s="299">
        <v>7.46</v>
      </c>
      <c r="F358" s="299">
        <f t="shared" si="68"/>
        <v>-97651.02</v>
      </c>
      <c r="G358" s="299">
        <f t="shared" si="69"/>
        <v>169848.9</v>
      </c>
      <c r="H358" s="300">
        <f t="shared" si="70"/>
        <v>-0.57492877492877492</v>
      </c>
      <c r="I358" s="299"/>
    </row>
    <row r="359" spans="2:14" x14ac:dyDescent="0.25">
      <c r="B359" s="546">
        <v>42416</v>
      </c>
      <c r="C359" s="298">
        <v>9178</v>
      </c>
      <c r="D359" s="547">
        <v>18.084</v>
      </c>
      <c r="E359" s="299">
        <v>7.49</v>
      </c>
      <c r="F359" s="299">
        <f t="shared" si="68"/>
        <v>-97231.731999999989</v>
      </c>
      <c r="G359" s="299">
        <f t="shared" si="69"/>
        <v>165974.95199999999</v>
      </c>
      <c r="H359" s="300">
        <f t="shared" si="70"/>
        <v>-0.58582172085821715</v>
      </c>
      <c r="I359" s="299"/>
    </row>
    <row r="360" spans="2:14" x14ac:dyDescent="0.25">
      <c r="B360" s="546">
        <v>42416</v>
      </c>
      <c r="C360" s="298">
        <v>9678</v>
      </c>
      <c r="D360" s="547">
        <v>17.536999999999999</v>
      </c>
      <c r="E360" s="299">
        <v>7.49</v>
      </c>
      <c r="F360" s="299">
        <f t="shared" si="68"/>
        <v>-97234.865999999995</v>
      </c>
      <c r="G360" s="299">
        <f t="shared" si="69"/>
        <v>169723.08599999998</v>
      </c>
      <c r="H360" s="300">
        <f t="shared" si="70"/>
        <v>-0.57290300507498426</v>
      </c>
      <c r="I360" s="299"/>
      <c r="N360" s="70"/>
    </row>
    <row r="361" spans="2:14" x14ac:dyDescent="0.25">
      <c r="B361" s="546">
        <v>42418</v>
      </c>
      <c r="C361" s="298">
        <v>13478</v>
      </c>
      <c r="D361" s="547">
        <v>14.673999999999999</v>
      </c>
      <c r="E361" s="299">
        <v>6.93</v>
      </c>
      <c r="F361" s="299">
        <f t="shared" si="68"/>
        <v>-104373.632</v>
      </c>
      <c r="G361" s="299">
        <f t="shared" si="69"/>
        <v>197776.17199999999</v>
      </c>
      <c r="H361" s="300">
        <f t="shared" si="70"/>
        <v>-0.52773613193403301</v>
      </c>
      <c r="I361" s="299"/>
    </row>
    <row r="362" spans="2:14" x14ac:dyDescent="0.25">
      <c r="B362" s="546">
        <v>42422</v>
      </c>
      <c r="C362" s="298">
        <v>10978</v>
      </c>
      <c r="D362" s="547">
        <v>16.314</v>
      </c>
      <c r="E362" s="299">
        <v>7.49</v>
      </c>
      <c r="F362" s="299">
        <f t="shared" si="68"/>
        <v>-96869.872000000003</v>
      </c>
      <c r="G362" s="299">
        <f>IF(C362=0, 0,D362*C362)</f>
        <v>179095.092</v>
      </c>
      <c r="H362" s="300">
        <f>IF(C362=0, D362, (E362-D362)/D362)</f>
        <v>-0.54088512933676591</v>
      </c>
      <c r="I362" s="299"/>
    </row>
    <row r="363" spans="2:14" x14ac:dyDescent="0.25">
      <c r="B363" s="546">
        <v>42422</v>
      </c>
      <c r="C363" s="298">
        <v>9978</v>
      </c>
      <c r="D363" s="547">
        <v>17.199000000000002</v>
      </c>
      <c r="E363" s="299">
        <v>7.49</v>
      </c>
      <c r="F363" s="299">
        <f t="shared" si="68"/>
        <v>-96876.402000000016</v>
      </c>
      <c r="G363" s="299">
        <f>IF(C363=0, 0,D363*C363)</f>
        <v>171611.622</v>
      </c>
      <c r="H363" s="300">
        <f>IF(C363=0, D363, (E363-D363)/D363)</f>
        <v>-0.56450956450956458</v>
      </c>
      <c r="I363" s="299"/>
    </row>
    <row r="364" spans="2:14" ht="15" customHeight="1" x14ac:dyDescent="0.25">
      <c r="B364" s="546">
        <v>42426</v>
      </c>
      <c r="C364" s="298">
        <v>9678</v>
      </c>
      <c r="D364" s="547">
        <v>17.489000000000001</v>
      </c>
      <c r="E364" s="299">
        <v>7.49</v>
      </c>
      <c r="F364" s="299">
        <f t="shared" ref="F364:F372" si="71">C364*(E364-D364)</f>
        <v>-96770.322</v>
      </c>
      <c r="G364" s="299">
        <f>IF(C364=0, 0,D364*C364)</f>
        <v>169258.54200000002</v>
      </c>
      <c r="H364" s="300">
        <f>IF(C364=0, D364, (E364-D364)/D364)</f>
        <v>-0.57173080221853734</v>
      </c>
      <c r="I364" s="299"/>
    </row>
    <row r="365" spans="2:14" x14ac:dyDescent="0.25">
      <c r="B365" s="546">
        <v>42426</v>
      </c>
      <c r="C365" s="298">
        <v>9178</v>
      </c>
      <c r="D365" s="547">
        <v>18.02</v>
      </c>
      <c r="E365" s="299">
        <v>7.76</v>
      </c>
      <c r="F365" s="299">
        <f t="shared" si="71"/>
        <v>-94166.28</v>
      </c>
      <c r="G365" s="299">
        <f t="shared" ref="G365:G372" si="72">IF(C365=0, 0,D365*C365)</f>
        <v>165387.56</v>
      </c>
      <c r="H365" s="300">
        <f t="shared" ref="H365:H372" si="73">IF(C365=0, D365, (E365-D365)/D365)</f>
        <v>-0.5693673695893452</v>
      </c>
      <c r="I365" s="299"/>
    </row>
    <row r="366" spans="2:14" x14ac:dyDescent="0.25">
      <c r="B366" s="546">
        <v>42426</v>
      </c>
      <c r="C366" s="298">
        <v>8178</v>
      </c>
      <c r="D366" s="547">
        <v>19.245999999999999</v>
      </c>
      <c r="E366" s="299">
        <v>8</v>
      </c>
      <c r="F366" s="299">
        <f t="shared" si="71"/>
        <v>-91969.787999999986</v>
      </c>
      <c r="G366" s="299">
        <f t="shared" si="72"/>
        <v>157393.788</v>
      </c>
      <c r="H366" s="300">
        <f t="shared" si="73"/>
        <v>-0.58432921126467829</v>
      </c>
      <c r="I366" s="299"/>
    </row>
    <row r="367" spans="2:14" x14ac:dyDescent="0.25">
      <c r="B367" s="546">
        <v>42426</v>
      </c>
      <c r="C367" s="298">
        <v>6678</v>
      </c>
      <c r="D367" s="547">
        <v>21.75</v>
      </c>
      <c r="E367" s="299">
        <v>8.1</v>
      </c>
      <c r="F367" s="299">
        <f t="shared" si="71"/>
        <v>-91154.7</v>
      </c>
      <c r="G367" s="299">
        <f t="shared" si="72"/>
        <v>145246.5</v>
      </c>
      <c r="H367" s="300">
        <f t="shared" si="73"/>
        <v>-0.62758620689655176</v>
      </c>
      <c r="I367" s="299"/>
    </row>
    <row r="368" spans="2:14" x14ac:dyDescent="0.25">
      <c r="B368" s="546">
        <v>42426</v>
      </c>
      <c r="C368" s="298">
        <v>8678</v>
      </c>
      <c r="D368" s="547">
        <v>18.568999999999999</v>
      </c>
      <c r="E368" s="299">
        <v>7.94</v>
      </c>
      <c r="F368" s="299">
        <f t="shared" si="71"/>
        <v>-92238.461999999985</v>
      </c>
      <c r="G368" s="299">
        <f t="shared" si="72"/>
        <v>161141.78199999998</v>
      </c>
      <c r="H368" s="300">
        <f t="shared" si="73"/>
        <v>-0.57240562227368186</v>
      </c>
      <c r="I368" s="299"/>
    </row>
    <row r="369" spans="2:9" x14ac:dyDescent="0.25">
      <c r="B369" s="546">
        <v>42429</v>
      </c>
      <c r="C369" s="298">
        <v>7678</v>
      </c>
      <c r="D369" s="547">
        <v>19.876000000000001</v>
      </c>
      <c r="E369" s="299">
        <v>8.2100000000000009</v>
      </c>
      <c r="F369" s="299">
        <f t="shared" si="71"/>
        <v>-89571.54800000001</v>
      </c>
      <c r="G369" s="299">
        <f t="shared" si="72"/>
        <v>152607.92800000001</v>
      </c>
      <c r="H369" s="300">
        <f t="shared" si="73"/>
        <v>-0.58693902193600322</v>
      </c>
      <c r="I369" s="299"/>
    </row>
    <row r="370" spans="2:9" x14ac:dyDescent="0.25">
      <c r="B370" s="546">
        <v>42429</v>
      </c>
      <c r="C370" s="298">
        <v>9678</v>
      </c>
      <c r="D370" s="547">
        <v>17.463000000000001</v>
      </c>
      <c r="E370" s="299">
        <v>8.2100000000000009</v>
      </c>
      <c r="F370" s="299">
        <f t="shared" si="71"/>
        <v>-89550.534</v>
      </c>
      <c r="G370" s="299">
        <f t="shared" si="72"/>
        <v>169006.91400000002</v>
      </c>
      <c r="H370" s="300">
        <f t="shared" si="73"/>
        <v>-0.5298631392086125</v>
      </c>
      <c r="I370" s="299"/>
    </row>
    <row r="371" spans="2:9" x14ac:dyDescent="0.25">
      <c r="B371" s="546">
        <v>42429</v>
      </c>
      <c r="C371" s="298">
        <v>9178</v>
      </c>
      <c r="D371" s="547">
        <v>17.981000000000002</v>
      </c>
      <c r="E371" s="299">
        <v>8.2100000000000009</v>
      </c>
      <c r="F371" s="299">
        <f t="shared" si="71"/>
        <v>-89678.238000000012</v>
      </c>
      <c r="G371" s="299">
        <f t="shared" si="72"/>
        <v>165029.61800000002</v>
      </c>
      <c r="H371" s="300">
        <f t="shared" si="73"/>
        <v>-0.5434069295367332</v>
      </c>
      <c r="I371" s="299"/>
    </row>
    <row r="372" spans="2:9" x14ac:dyDescent="0.25">
      <c r="B372" s="546">
        <v>42429</v>
      </c>
      <c r="C372" s="298">
        <v>9678</v>
      </c>
      <c r="D372" s="547">
        <v>17.459</v>
      </c>
      <c r="E372" s="299">
        <v>8.2100000000000009</v>
      </c>
      <c r="F372" s="299">
        <f t="shared" si="71"/>
        <v>-89511.821999999986</v>
      </c>
      <c r="G372" s="299">
        <f t="shared" si="72"/>
        <v>168968.20199999999</v>
      </c>
      <c r="H372" s="300">
        <f t="shared" si="73"/>
        <v>-0.5297554270004009</v>
      </c>
      <c r="I372" s="299"/>
    </row>
    <row r="373" spans="2:9" x14ac:dyDescent="0.25">
      <c r="B373" s="546">
        <v>42429</v>
      </c>
      <c r="C373" s="298">
        <v>9178</v>
      </c>
      <c r="D373" s="547">
        <v>17.975999999999999</v>
      </c>
      <c r="E373" s="299">
        <v>8.2100000000000009</v>
      </c>
      <c r="F373" s="299">
        <f t="shared" ref="F373:F384" si="74">C373*(E373-D373)</f>
        <v>-89632.347999999984</v>
      </c>
      <c r="G373" s="299">
        <f t="shared" ref="G373:G384" si="75">IF(C373=0, 0,D373*C373)</f>
        <v>164983.728</v>
      </c>
      <c r="H373" s="300">
        <f t="shared" ref="H373:H424" si="76">IF(C373=0, D373, (E373-D373)/D373)</f>
        <v>-0.54327992879394738</v>
      </c>
      <c r="I373" s="299" t="s">
        <v>185</v>
      </c>
    </row>
    <row r="374" spans="2:9" x14ac:dyDescent="0.25">
      <c r="B374" s="546">
        <v>42430</v>
      </c>
      <c r="C374" s="319">
        <v>10178</v>
      </c>
      <c r="D374" s="548">
        <v>16.974</v>
      </c>
      <c r="E374" s="299">
        <v>7.8</v>
      </c>
      <c r="F374" s="299">
        <f t="shared" si="74"/>
        <v>-93372.971999999994</v>
      </c>
      <c r="G374" s="299">
        <f t="shared" si="75"/>
        <v>172761.372</v>
      </c>
      <c r="H374" s="300">
        <f t="shared" si="76"/>
        <v>-0.54047366560622123</v>
      </c>
      <c r="I374" s="299"/>
    </row>
    <row r="375" spans="2:9" x14ac:dyDescent="0.25">
      <c r="B375" s="546">
        <v>42430</v>
      </c>
      <c r="C375" s="319">
        <v>9678</v>
      </c>
      <c r="D375" s="548">
        <v>17.440000000000001</v>
      </c>
      <c r="E375" s="299">
        <v>7.96</v>
      </c>
      <c r="F375" s="299">
        <f t="shared" si="74"/>
        <v>-91747.44</v>
      </c>
      <c r="G375" s="299">
        <f t="shared" si="75"/>
        <v>168784.32</v>
      </c>
      <c r="H375" s="300">
        <f t="shared" si="76"/>
        <v>-0.54357798165137616</v>
      </c>
      <c r="I375" s="299"/>
    </row>
    <row r="376" spans="2:9" x14ac:dyDescent="0.25">
      <c r="B376" s="546">
        <v>42431</v>
      </c>
      <c r="C376" s="298">
        <v>8678</v>
      </c>
      <c r="D376" s="547">
        <v>18.405999999999999</v>
      </c>
      <c r="E376" s="299">
        <v>9.1</v>
      </c>
      <c r="F376" s="299">
        <f t="shared" si="74"/>
        <v>-80757.467999999993</v>
      </c>
      <c r="G376" s="299">
        <f t="shared" si="75"/>
        <v>159727.26799999998</v>
      </c>
      <c r="H376" s="301">
        <f t="shared" si="76"/>
        <v>-0.50559600130392257</v>
      </c>
      <c r="I376" s="299"/>
    </row>
    <row r="377" spans="2:9" x14ac:dyDescent="0.25">
      <c r="B377" s="546">
        <v>42432</v>
      </c>
      <c r="C377" s="298">
        <v>9278</v>
      </c>
      <c r="D377" s="547">
        <v>17.771999999999998</v>
      </c>
      <c r="E377" s="299">
        <v>9.9700000000000006</v>
      </c>
      <c r="F377" s="299">
        <f t="shared" si="74"/>
        <v>-72386.955999999976</v>
      </c>
      <c r="G377" s="299">
        <f t="shared" si="75"/>
        <v>164888.61599999998</v>
      </c>
      <c r="H377" s="301">
        <f t="shared" si="76"/>
        <v>-0.43900517668242173</v>
      </c>
      <c r="I377" s="299"/>
    </row>
    <row r="378" spans="2:9" x14ac:dyDescent="0.25">
      <c r="B378" s="546">
        <v>42433</v>
      </c>
      <c r="C378" s="298">
        <v>9278</v>
      </c>
      <c r="D378" s="547">
        <v>17.771999999999998</v>
      </c>
      <c r="E378" s="299">
        <v>11</v>
      </c>
      <c r="F378" s="299">
        <f t="shared" si="74"/>
        <v>-62830.615999999987</v>
      </c>
      <c r="G378" s="299">
        <f t="shared" si="75"/>
        <v>164888.61599999998</v>
      </c>
      <c r="H378" s="301">
        <f t="shared" si="76"/>
        <v>-0.38104884087328378</v>
      </c>
      <c r="I378" s="299"/>
    </row>
    <row r="379" spans="2:9" x14ac:dyDescent="0.25">
      <c r="B379" s="546">
        <v>42439</v>
      </c>
      <c r="C379" s="298">
        <v>9278</v>
      </c>
      <c r="D379" s="547">
        <v>17.718</v>
      </c>
      <c r="E379" s="299">
        <v>10.59</v>
      </c>
      <c r="F379" s="299">
        <f t="shared" si="74"/>
        <v>-66133.584000000003</v>
      </c>
      <c r="G379" s="299">
        <f t="shared" si="75"/>
        <v>164387.60399999999</v>
      </c>
      <c r="H379" s="301">
        <f t="shared" si="76"/>
        <v>-0.40230274297324753</v>
      </c>
      <c r="I379" s="299" t="s">
        <v>184</v>
      </c>
    </row>
    <row r="380" spans="2:9" x14ac:dyDescent="0.25">
      <c r="B380" s="546">
        <v>42440</v>
      </c>
      <c r="C380" s="298">
        <v>9278</v>
      </c>
      <c r="D380" s="547">
        <v>17.712</v>
      </c>
      <c r="E380" s="299">
        <v>11.12</v>
      </c>
      <c r="F380" s="299">
        <f t="shared" si="74"/>
        <v>-61160.576000000008</v>
      </c>
      <c r="G380" s="299">
        <f t="shared" si="75"/>
        <v>164331.93599999999</v>
      </c>
      <c r="H380" s="301">
        <f t="shared" si="76"/>
        <v>-0.37217705510388438</v>
      </c>
      <c r="I380" s="299"/>
    </row>
    <row r="381" spans="2:9" x14ac:dyDescent="0.25">
      <c r="B381" s="546">
        <v>42446</v>
      </c>
      <c r="C381" s="298">
        <v>9278</v>
      </c>
      <c r="D381" s="547">
        <v>17.704999999999998</v>
      </c>
      <c r="E381" s="299">
        <v>11.45</v>
      </c>
      <c r="F381" s="299">
        <f t="shared" si="74"/>
        <v>-58033.889999999992</v>
      </c>
      <c r="G381" s="299">
        <f t="shared" si="75"/>
        <v>164266.99</v>
      </c>
      <c r="H381" s="301">
        <f t="shared" si="76"/>
        <v>-0.353290031064671</v>
      </c>
      <c r="I381" s="299"/>
    </row>
    <row r="382" spans="2:9" x14ac:dyDescent="0.25">
      <c r="B382" s="546">
        <v>42447</v>
      </c>
      <c r="C382" s="298">
        <v>7928</v>
      </c>
      <c r="D382" s="547">
        <v>18.734999999999999</v>
      </c>
      <c r="E382" s="299">
        <v>11.63</v>
      </c>
      <c r="F382" s="299">
        <f t="shared" si="74"/>
        <v>-56328.439999999988</v>
      </c>
      <c r="G382" s="299">
        <f t="shared" si="75"/>
        <v>148531.07999999999</v>
      </c>
      <c r="H382" s="301">
        <f t="shared" si="76"/>
        <v>-0.37923672271150249</v>
      </c>
      <c r="I382" s="299"/>
    </row>
    <row r="383" spans="2:9" x14ac:dyDescent="0.25">
      <c r="B383" s="546">
        <v>42450</v>
      </c>
      <c r="C383" s="298">
        <v>9278</v>
      </c>
      <c r="D383" s="547">
        <v>17.670000000000002</v>
      </c>
      <c r="E383" s="299">
        <v>11.43</v>
      </c>
      <c r="F383" s="299">
        <f t="shared" si="74"/>
        <v>-57894.720000000016</v>
      </c>
      <c r="G383" s="299">
        <f t="shared" si="75"/>
        <v>163942.26</v>
      </c>
      <c r="H383" s="300">
        <f t="shared" si="76"/>
        <v>-0.35314091680814946</v>
      </c>
      <c r="I383" s="299"/>
    </row>
    <row r="384" spans="2:9" x14ac:dyDescent="0.25">
      <c r="B384" s="546">
        <v>42451</v>
      </c>
      <c r="C384" s="298">
        <v>9628</v>
      </c>
      <c r="D384" s="547">
        <v>17.428000000000001</v>
      </c>
      <c r="E384" s="299">
        <v>11.31</v>
      </c>
      <c r="F384" s="299">
        <f t="shared" si="74"/>
        <v>-58904.104000000007</v>
      </c>
      <c r="G384" s="299">
        <f t="shared" si="75"/>
        <v>167796.78400000001</v>
      </c>
      <c r="H384" s="300">
        <f t="shared" si="76"/>
        <v>-0.35104429653431263</v>
      </c>
      <c r="I384" s="299"/>
    </row>
    <row r="385" spans="2:14" ht="15" customHeight="1" x14ac:dyDescent="0.25">
      <c r="B385" s="546">
        <v>42453</v>
      </c>
      <c r="C385" s="298">
        <v>13278</v>
      </c>
      <c r="D385" s="547">
        <v>15.5565</v>
      </c>
      <c r="E385" s="299">
        <v>10.29</v>
      </c>
      <c r="F385" s="299">
        <f t="shared" ref="F385:F424" si="77">C385*(E385-D385)</f>
        <v>-69928.587000000014</v>
      </c>
      <c r="G385" s="299">
        <f t="shared" ref="G385:G424" si="78">IF(C385=0, 0,D385*C385)</f>
        <v>206559.20699999999</v>
      </c>
      <c r="H385" s="300">
        <f t="shared" si="76"/>
        <v>-0.33854016006171056</v>
      </c>
      <c r="I385" s="299"/>
    </row>
    <row r="386" spans="2:14" x14ac:dyDescent="0.25">
      <c r="B386" s="546">
        <v>42459</v>
      </c>
      <c r="C386" s="298">
        <v>11278</v>
      </c>
      <c r="D386" s="547">
        <v>16.408899999999999</v>
      </c>
      <c r="E386" s="299">
        <v>10.53</v>
      </c>
      <c r="F386" s="299">
        <f t="shared" si="77"/>
        <v>-66302.234199999992</v>
      </c>
      <c r="G386" s="299">
        <f t="shared" si="78"/>
        <v>185059.5742</v>
      </c>
      <c r="H386" s="300">
        <f t="shared" si="76"/>
        <v>-0.35827508242478168</v>
      </c>
      <c r="I386" s="299"/>
    </row>
    <row r="387" spans="2:14" x14ac:dyDescent="0.25">
      <c r="B387" s="546">
        <v>42460</v>
      </c>
      <c r="C387" s="298">
        <v>9678</v>
      </c>
      <c r="D387" s="547">
        <v>17.311699999999998</v>
      </c>
      <c r="E387" s="299">
        <v>11.14</v>
      </c>
      <c r="F387" s="299">
        <f t="shared" si="77"/>
        <v>-59729.712599999977</v>
      </c>
      <c r="G387" s="299">
        <f t="shared" si="78"/>
        <v>167542.63259999998</v>
      </c>
      <c r="H387" s="300">
        <f t="shared" si="76"/>
        <v>-0.35650456049954643</v>
      </c>
      <c r="I387" s="299"/>
    </row>
    <row r="388" spans="2:14" x14ac:dyDescent="0.25">
      <c r="B388" s="546">
        <v>42461</v>
      </c>
      <c r="C388" s="298">
        <v>11678</v>
      </c>
      <c r="D388" s="547">
        <v>16.116</v>
      </c>
      <c r="E388" s="299">
        <v>10.53</v>
      </c>
      <c r="F388" s="299">
        <f t="shared" si="77"/>
        <v>-65233.308000000005</v>
      </c>
      <c r="G388" s="299">
        <f t="shared" si="78"/>
        <v>188202.64799999999</v>
      </c>
      <c r="H388" s="300">
        <f t="shared" si="76"/>
        <v>-0.34661206254653765</v>
      </c>
      <c r="I388" s="299"/>
    </row>
    <row r="389" spans="2:14" x14ac:dyDescent="0.25">
      <c r="B389" s="546">
        <v>42461</v>
      </c>
      <c r="C389" s="298">
        <v>9678</v>
      </c>
      <c r="D389" s="547">
        <v>17.266200000000001</v>
      </c>
      <c r="E389" s="299">
        <v>10.56</v>
      </c>
      <c r="F389" s="299">
        <f t="shared" si="77"/>
        <v>-64902.603600000009</v>
      </c>
      <c r="G389" s="299">
        <f t="shared" si="78"/>
        <v>167102.28360000002</v>
      </c>
      <c r="H389" s="300">
        <f t="shared" si="76"/>
        <v>-0.388400458699656</v>
      </c>
      <c r="I389" s="299"/>
    </row>
    <row r="390" spans="2:14" x14ac:dyDescent="0.25">
      <c r="B390" s="546">
        <v>42464</v>
      </c>
      <c r="C390" s="298">
        <v>9778</v>
      </c>
      <c r="D390" s="547">
        <v>17.196100000000001</v>
      </c>
      <c r="E390" s="299">
        <v>10.4</v>
      </c>
      <c r="F390" s="299">
        <f t="shared" si="77"/>
        <v>-66452.265800000008</v>
      </c>
      <c r="G390" s="299">
        <f t="shared" si="78"/>
        <v>168143.46580000001</v>
      </c>
      <c r="H390" s="300">
        <f t="shared" si="76"/>
        <v>-0.3952117049796175</v>
      </c>
      <c r="I390" s="299"/>
    </row>
    <row r="391" spans="2:14" x14ac:dyDescent="0.25">
      <c r="B391" s="546">
        <v>42465</v>
      </c>
      <c r="C391" s="298">
        <v>9678</v>
      </c>
      <c r="D391" s="547">
        <v>17.262699999999999</v>
      </c>
      <c r="E391" s="299">
        <v>10.63</v>
      </c>
      <c r="F391" s="299">
        <f t="shared" si="77"/>
        <v>-64191.270599999982</v>
      </c>
      <c r="G391" s="299">
        <f t="shared" si="78"/>
        <v>167068.4106</v>
      </c>
      <c r="H391" s="300">
        <f t="shared" si="76"/>
        <v>-0.38422147172806098</v>
      </c>
      <c r="I391" s="299"/>
      <c r="N391" s="29"/>
    </row>
    <row r="392" spans="2:14" x14ac:dyDescent="0.25">
      <c r="B392" s="546">
        <v>42469</v>
      </c>
      <c r="C392" s="298">
        <v>8678</v>
      </c>
      <c r="D392" s="547">
        <v>17.895700000000001</v>
      </c>
      <c r="E392" s="299">
        <v>11.78</v>
      </c>
      <c r="F392" s="299">
        <f t="shared" si="77"/>
        <v>-53072.044600000016</v>
      </c>
      <c r="G392" s="299">
        <f t="shared" si="78"/>
        <v>155298.88460000002</v>
      </c>
      <c r="H392" s="300">
        <f t="shared" si="76"/>
        <v>-0.34174131215878684</v>
      </c>
      <c r="I392" s="299"/>
    </row>
    <row r="393" spans="2:14" x14ac:dyDescent="0.25">
      <c r="B393" s="546">
        <v>42471</v>
      </c>
      <c r="C393" s="298">
        <v>9678</v>
      </c>
      <c r="D393" s="547">
        <v>17.2514</v>
      </c>
      <c r="E393" s="299">
        <v>11.67</v>
      </c>
      <c r="F393" s="299">
        <f t="shared" si="77"/>
        <v>-54016.789200000007</v>
      </c>
      <c r="G393" s="299">
        <f t="shared" si="78"/>
        <v>166959.04920000001</v>
      </c>
      <c r="H393" s="300">
        <f t="shared" si="76"/>
        <v>-0.32353316252593994</v>
      </c>
      <c r="I393" s="299"/>
    </row>
    <row r="394" spans="2:14" x14ac:dyDescent="0.25">
      <c r="B394" s="546">
        <v>42472</v>
      </c>
      <c r="C394" s="298">
        <v>8288</v>
      </c>
      <c r="D394" s="547">
        <v>17.96</v>
      </c>
      <c r="E394" s="299">
        <v>13.05</v>
      </c>
      <c r="F394" s="299">
        <f t="shared" si="77"/>
        <v>-40694.080000000002</v>
      </c>
      <c r="G394" s="299">
        <f t="shared" si="78"/>
        <v>148852.48000000001</v>
      </c>
      <c r="H394" s="300">
        <f t="shared" si="76"/>
        <v>-0.27338530066815142</v>
      </c>
      <c r="I394" s="299"/>
    </row>
    <row r="395" spans="2:14" x14ac:dyDescent="0.25">
      <c r="B395" s="546">
        <v>42473</v>
      </c>
      <c r="C395" s="298">
        <v>9258</v>
      </c>
      <c r="D395" s="547">
        <v>17.415800000000001</v>
      </c>
      <c r="E395" s="299">
        <v>12.92</v>
      </c>
      <c r="F395" s="299">
        <f t="shared" si="77"/>
        <v>-41622.116400000006</v>
      </c>
      <c r="G395" s="299">
        <f t="shared" si="78"/>
        <v>161235.47640000001</v>
      </c>
      <c r="H395" s="300">
        <f t="shared" si="76"/>
        <v>-0.2581449029042594</v>
      </c>
      <c r="I395" s="299"/>
    </row>
    <row r="396" spans="2:14" x14ac:dyDescent="0.25">
      <c r="B396" s="546">
        <v>42474</v>
      </c>
      <c r="C396" s="298">
        <v>9678</v>
      </c>
      <c r="D396" s="547">
        <v>17.2135</v>
      </c>
      <c r="E396" s="299">
        <v>13.11</v>
      </c>
      <c r="F396" s="299">
        <f t="shared" si="77"/>
        <v>-39713.673000000003</v>
      </c>
      <c r="G396" s="299">
        <f t="shared" si="78"/>
        <v>166592.253</v>
      </c>
      <c r="H396" s="300">
        <f t="shared" si="76"/>
        <v>-0.23838847416272113</v>
      </c>
      <c r="I396" s="299"/>
    </row>
    <row r="397" spans="2:14" x14ac:dyDescent="0.25">
      <c r="B397" s="546">
        <v>42474</v>
      </c>
      <c r="C397" s="298">
        <v>9178</v>
      </c>
      <c r="D397" s="547">
        <v>17.433299999999999</v>
      </c>
      <c r="E397" s="299">
        <v>13.11</v>
      </c>
      <c r="F397" s="299">
        <f t="shared" si="77"/>
        <v>-39679.2474</v>
      </c>
      <c r="G397" s="299">
        <f t="shared" si="78"/>
        <v>160002.82739999998</v>
      </c>
      <c r="H397" s="300">
        <f t="shared" si="76"/>
        <v>-0.24799091394056202</v>
      </c>
      <c r="I397" s="299"/>
    </row>
    <row r="398" spans="2:14" x14ac:dyDescent="0.25">
      <c r="B398" s="546">
        <v>42475</v>
      </c>
      <c r="C398" s="298">
        <v>9678</v>
      </c>
      <c r="D398" s="547">
        <v>17.205100000000002</v>
      </c>
      <c r="E398" s="299">
        <v>13.01</v>
      </c>
      <c r="F398" s="299">
        <f t="shared" si="77"/>
        <v>-40600.177800000019</v>
      </c>
      <c r="G398" s="299">
        <f t="shared" si="78"/>
        <v>166510.9578</v>
      </c>
      <c r="H398" s="300">
        <f t="shared" si="76"/>
        <v>-0.24382886469709572</v>
      </c>
      <c r="I398" s="299"/>
    </row>
    <row r="399" spans="2:14" x14ac:dyDescent="0.25">
      <c r="B399" s="546">
        <v>42478</v>
      </c>
      <c r="C399" s="298">
        <v>9178</v>
      </c>
      <c r="D399" s="547">
        <v>17.412400000000002</v>
      </c>
      <c r="E399" s="299">
        <v>13.36</v>
      </c>
      <c r="F399" s="299">
        <f t="shared" si="77"/>
        <v>-37192.92720000002</v>
      </c>
      <c r="G399" s="299">
        <f t="shared" si="78"/>
        <v>159811.00720000002</v>
      </c>
      <c r="H399" s="300">
        <f t="shared" si="76"/>
        <v>-0.232730697663734</v>
      </c>
      <c r="I399" s="299"/>
    </row>
    <row r="400" spans="2:14" x14ac:dyDescent="0.25">
      <c r="B400" s="546">
        <v>42484</v>
      </c>
      <c r="C400" s="319">
        <v>9178</v>
      </c>
      <c r="D400" s="548">
        <v>17.412400000000002</v>
      </c>
      <c r="E400" s="299">
        <v>14.34</v>
      </c>
      <c r="F400" s="299">
        <f t="shared" si="77"/>
        <v>-28198.487200000018</v>
      </c>
      <c r="G400" s="299">
        <f t="shared" si="78"/>
        <v>159811.00720000002</v>
      </c>
      <c r="H400" s="300">
        <f t="shared" si="76"/>
        <v>-0.17644896740254082</v>
      </c>
      <c r="I400" s="299"/>
    </row>
    <row r="401" spans="2:9" x14ac:dyDescent="0.25">
      <c r="B401" s="546">
        <v>42485</v>
      </c>
      <c r="C401" s="319">
        <v>9678</v>
      </c>
      <c r="D401" s="548">
        <v>17.233499999999999</v>
      </c>
      <c r="E401" s="299">
        <v>13.83</v>
      </c>
      <c r="F401" s="299">
        <f t="shared" si="77"/>
        <v>-32939.072999999997</v>
      </c>
      <c r="G401" s="299">
        <f t="shared" si="78"/>
        <v>166785.81299999999</v>
      </c>
      <c r="H401" s="300">
        <f t="shared" si="76"/>
        <v>-0.19749325441726867</v>
      </c>
      <c r="I401" s="299"/>
    </row>
    <row r="402" spans="2:9" x14ac:dyDescent="0.25">
      <c r="B402" s="546">
        <v>42486</v>
      </c>
      <c r="C402" s="298">
        <v>9178</v>
      </c>
      <c r="D402" s="547">
        <v>17.390599999999999</v>
      </c>
      <c r="E402" s="299">
        <v>14.44</v>
      </c>
      <c r="F402" s="299">
        <f t="shared" si="77"/>
        <v>-27080.606799999998</v>
      </c>
      <c r="G402" s="299">
        <f t="shared" si="78"/>
        <v>159610.92679999999</v>
      </c>
      <c r="H402" s="301">
        <f t="shared" si="76"/>
        <v>-0.16966637148804525</v>
      </c>
      <c r="I402" s="299"/>
    </row>
    <row r="403" spans="2:9" x14ac:dyDescent="0.25">
      <c r="B403" s="546">
        <v>42487</v>
      </c>
      <c r="C403" s="298">
        <v>9178</v>
      </c>
      <c r="D403" s="547">
        <v>17.376300000000001</v>
      </c>
      <c r="E403" s="299">
        <v>14.84</v>
      </c>
      <c r="F403" s="299">
        <f t="shared" si="77"/>
        <v>-23278.161400000005</v>
      </c>
      <c r="G403" s="299">
        <f t="shared" si="78"/>
        <v>159479.6814</v>
      </c>
      <c r="H403" s="301">
        <f t="shared" si="76"/>
        <v>-0.14596317973331496</v>
      </c>
      <c r="I403" s="299"/>
    </row>
    <row r="404" spans="2:9" x14ac:dyDescent="0.25">
      <c r="B404" s="546">
        <v>42488</v>
      </c>
      <c r="C404" s="298">
        <v>9678</v>
      </c>
      <c r="D404" s="547">
        <v>17.2287</v>
      </c>
      <c r="E404" s="299">
        <v>14.35</v>
      </c>
      <c r="F404" s="299">
        <f t="shared" si="77"/>
        <v>-27860.058600000004</v>
      </c>
      <c r="G404" s="299">
        <f t="shared" si="78"/>
        <v>166739.35860000001</v>
      </c>
      <c r="H404" s="301">
        <f t="shared" si="76"/>
        <v>-0.16708747612994598</v>
      </c>
      <c r="I404" s="299"/>
    </row>
    <row r="405" spans="2:9" x14ac:dyDescent="0.25">
      <c r="B405" s="546">
        <v>42489</v>
      </c>
      <c r="C405" s="298">
        <v>9678</v>
      </c>
      <c r="D405" s="547">
        <v>17.179200000000002</v>
      </c>
      <c r="E405" s="299">
        <v>14.09</v>
      </c>
      <c r="F405" s="299">
        <f t="shared" si="77"/>
        <v>-29897.277600000016</v>
      </c>
      <c r="G405" s="299">
        <f t="shared" si="78"/>
        <v>166260.29760000002</v>
      </c>
      <c r="H405" s="301">
        <f t="shared" si="76"/>
        <v>-0.17982211045916</v>
      </c>
      <c r="I405" s="299"/>
    </row>
    <row r="406" spans="2:9" x14ac:dyDescent="0.25">
      <c r="B406" s="546">
        <v>42492</v>
      </c>
      <c r="C406" s="298">
        <v>9678</v>
      </c>
      <c r="D406" s="547">
        <v>17.136399999999998</v>
      </c>
      <c r="E406" s="299">
        <v>13.55</v>
      </c>
      <c r="F406" s="299">
        <f t="shared" si="77"/>
        <v>-34709.179199999977</v>
      </c>
      <c r="G406" s="299">
        <f t="shared" si="78"/>
        <v>165846.07919999998</v>
      </c>
      <c r="H406" s="301">
        <f t="shared" si="76"/>
        <v>-0.20928549753740563</v>
      </c>
      <c r="I406" s="299"/>
    </row>
    <row r="407" spans="2:9" ht="15" customHeight="1" x14ac:dyDescent="0.25">
      <c r="B407" s="546">
        <v>42493</v>
      </c>
      <c r="C407" s="298">
        <v>9678</v>
      </c>
      <c r="D407" s="547">
        <v>17.1221</v>
      </c>
      <c r="E407" s="299">
        <v>12.79</v>
      </c>
      <c r="F407" s="299">
        <f t="shared" si="77"/>
        <v>-41926.063800000004</v>
      </c>
      <c r="G407" s="299">
        <f t="shared" si="78"/>
        <v>165707.6838</v>
      </c>
      <c r="H407" s="301">
        <f t="shared" si="76"/>
        <v>-0.25301218892542388</v>
      </c>
      <c r="I407" s="299"/>
    </row>
    <row r="408" spans="2:9" x14ac:dyDescent="0.25">
      <c r="B408" s="546">
        <v>42494</v>
      </c>
      <c r="C408" s="298">
        <v>11678</v>
      </c>
      <c r="D408" s="547">
        <v>16.316800000000001</v>
      </c>
      <c r="E408" s="299">
        <v>12.17</v>
      </c>
      <c r="F408" s="299">
        <f t="shared" si="77"/>
        <v>-48426.330400000006</v>
      </c>
      <c r="G408" s="299">
        <f t="shared" si="78"/>
        <v>190547.59040000002</v>
      </c>
      <c r="H408" s="301">
        <f t="shared" si="76"/>
        <v>-0.25414296920964896</v>
      </c>
      <c r="I408" s="299"/>
    </row>
    <row r="409" spans="2:9" x14ac:dyDescent="0.25">
      <c r="B409" s="546">
        <v>42495</v>
      </c>
      <c r="C409" s="298">
        <v>9678</v>
      </c>
      <c r="D409" s="547">
        <v>17.0684</v>
      </c>
      <c r="E409" s="299">
        <v>12.07</v>
      </c>
      <c r="F409" s="299">
        <f t="shared" si="77"/>
        <v>-48374.515200000002</v>
      </c>
      <c r="G409" s="299">
        <f t="shared" si="78"/>
        <v>165187.97520000002</v>
      </c>
      <c r="H409" s="300">
        <f t="shared" si="76"/>
        <v>-0.29284525790349419</v>
      </c>
      <c r="I409" s="299"/>
    </row>
    <row r="410" spans="2:9" x14ac:dyDescent="0.25">
      <c r="B410" s="546">
        <v>42499</v>
      </c>
      <c r="C410" s="298">
        <v>10678</v>
      </c>
      <c r="D410" s="547">
        <v>16.537600000000001</v>
      </c>
      <c r="E410" s="299">
        <v>11.44</v>
      </c>
      <c r="F410" s="299">
        <f t="shared" si="77"/>
        <v>-54432.172800000015</v>
      </c>
      <c r="G410" s="299">
        <f t="shared" si="78"/>
        <v>176588.49280000001</v>
      </c>
      <c r="H410" s="300">
        <f t="shared" si="76"/>
        <v>-0.30824303405572762</v>
      </c>
      <c r="I410" s="299"/>
    </row>
    <row r="411" spans="2:9" x14ac:dyDescent="0.25">
      <c r="B411" s="546">
        <v>42500</v>
      </c>
      <c r="C411" s="298">
        <v>9678</v>
      </c>
      <c r="D411" s="547">
        <v>17.042100000000001</v>
      </c>
      <c r="E411" s="299">
        <v>11.94</v>
      </c>
      <c r="F411" s="299">
        <f t="shared" si="77"/>
        <v>-49378.123800000016</v>
      </c>
      <c r="G411" s="299">
        <f t="shared" si="78"/>
        <v>164933.44380000001</v>
      </c>
      <c r="H411" s="300">
        <f t="shared" si="76"/>
        <v>-0.2993821184009014</v>
      </c>
      <c r="I411" s="299"/>
    </row>
    <row r="412" spans="2:9" x14ac:dyDescent="0.25">
      <c r="B412" s="546">
        <v>42502</v>
      </c>
      <c r="C412" s="298">
        <v>10678</v>
      </c>
      <c r="D412" s="547">
        <v>16.601800000000001</v>
      </c>
      <c r="E412" s="299">
        <v>12.33</v>
      </c>
      <c r="F412" s="299">
        <f t="shared" si="77"/>
        <v>-45614.280400000011</v>
      </c>
      <c r="G412" s="299">
        <f t="shared" si="78"/>
        <v>177274.02040000001</v>
      </c>
      <c r="H412" s="300">
        <f t="shared" si="76"/>
        <v>-0.25730944837306802</v>
      </c>
      <c r="I412" s="299"/>
    </row>
    <row r="413" spans="2:9" x14ac:dyDescent="0.25">
      <c r="B413" s="546">
        <v>42502</v>
      </c>
      <c r="C413" s="298">
        <v>9678</v>
      </c>
      <c r="D413" s="547">
        <v>17.0334</v>
      </c>
      <c r="E413" s="299">
        <v>12.33</v>
      </c>
      <c r="F413" s="299">
        <f t="shared" si="77"/>
        <v>-45519.5052</v>
      </c>
      <c r="G413" s="299">
        <f t="shared" si="78"/>
        <v>164849.2452</v>
      </c>
      <c r="H413" s="300">
        <f t="shared" si="76"/>
        <v>-0.27612807777660364</v>
      </c>
      <c r="I413" s="299"/>
    </row>
    <row r="414" spans="2:9" ht="15" customHeight="1" x14ac:dyDescent="0.25">
      <c r="B414" s="546">
        <v>42503</v>
      </c>
      <c r="C414" s="298">
        <v>9678</v>
      </c>
      <c r="D414" s="547">
        <v>17.029299999999999</v>
      </c>
      <c r="E414" s="299">
        <v>12.3</v>
      </c>
      <c r="F414" s="299">
        <f t="shared" si="77"/>
        <v>-45770.165399999983</v>
      </c>
      <c r="G414" s="299">
        <f t="shared" si="78"/>
        <v>164809.56539999999</v>
      </c>
      <c r="H414" s="300">
        <f t="shared" si="76"/>
        <v>-0.27771546687180321</v>
      </c>
      <c r="I414" s="299"/>
    </row>
    <row r="415" spans="2:9" x14ac:dyDescent="0.25">
      <c r="B415" s="546">
        <v>42506</v>
      </c>
      <c r="C415" s="298">
        <v>9678</v>
      </c>
      <c r="D415" s="547">
        <v>17.027699999999999</v>
      </c>
      <c r="E415" s="299">
        <v>12.78</v>
      </c>
      <c r="F415" s="299">
        <f t="shared" si="77"/>
        <v>-41109.240599999997</v>
      </c>
      <c r="G415" s="299">
        <f t="shared" si="78"/>
        <v>164794.08059999999</v>
      </c>
      <c r="H415" s="300">
        <f t="shared" si="76"/>
        <v>-0.24945823569830336</v>
      </c>
      <c r="I415" s="299"/>
    </row>
    <row r="416" spans="2:9" x14ac:dyDescent="0.25">
      <c r="B416" s="546">
        <v>42513</v>
      </c>
      <c r="C416" s="298">
        <v>9178</v>
      </c>
      <c r="D416" s="547">
        <v>17.244399999999999</v>
      </c>
      <c r="E416" s="299">
        <v>13.19</v>
      </c>
      <c r="F416" s="299">
        <f t="shared" si="77"/>
        <v>-37211.283199999991</v>
      </c>
      <c r="G416" s="299">
        <f t="shared" si="78"/>
        <v>158269.10319999998</v>
      </c>
      <c r="H416" s="300">
        <f t="shared" si="76"/>
        <v>-0.23511400802579385</v>
      </c>
      <c r="I416" s="299"/>
    </row>
    <row r="417" spans="2:9" x14ac:dyDescent="0.25">
      <c r="B417" s="546">
        <v>42514</v>
      </c>
      <c r="C417" s="298">
        <v>9678</v>
      </c>
      <c r="D417" s="547">
        <v>17.026</v>
      </c>
      <c r="E417" s="299">
        <v>13.02</v>
      </c>
      <c r="F417" s="299">
        <f t="shared" si="77"/>
        <v>-38770.067999999999</v>
      </c>
      <c r="G417" s="299">
        <f t="shared" si="78"/>
        <v>164777.628</v>
      </c>
      <c r="H417" s="300">
        <f t="shared" si="76"/>
        <v>-0.23528720779983556</v>
      </c>
      <c r="I417" s="299"/>
    </row>
    <row r="418" spans="2:9" x14ac:dyDescent="0.25">
      <c r="B418" s="546">
        <v>42515</v>
      </c>
      <c r="C418" s="298">
        <v>9178</v>
      </c>
      <c r="D418" s="547">
        <v>17.206800000000001</v>
      </c>
      <c r="E418" s="299">
        <v>13.54</v>
      </c>
      <c r="F418" s="299">
        <f t="shared" si="77"/>
        <v>-33653.890400000018</v>
      </c>
      <c r="G418" s="299">
        <f t="shared" si="78"/>
        <v>157924.0104</v>
      </c>
      <c r="H418" s="300">
        <f t="shared" si="76"/>
        <v>-0.21310179696399109</v>
      </c>
      <c r="I418" s="299"/>
    </row>
    <row r="419" spans="2:9" x14ac:dyDescent="0.25">
      <c r="B419" s="546">
        <v>42516</v>
      </c>
      <c r="C419" s="298">
        <v>9678</v>
      </c>
      <c r="D419" s="547">
        <v>17.003799999999998</v>
      </c>
      <c r="E419" s="299">
        <v>13.17</v>
      </c>
      <c r="F419" s="299">
        <f t="shared" si="77"/>
        <v>-37103.516399999986</v>
      </c>
      <c r="G419" s="299">
        <f t="shared" si="78"/>
        <v>164562.77639999997</v>
      </c>
      <c r="H419" s="300">
        <f t="shared" si="76"/>
        <v>-0.22546724849739463</v>
      </c>
      <c r="I419" s="299"/>
    </row>
    <row r="420" spans="2:9" x14ac:dyDescent="0.25">
      <c r="B420" s="546">
        <v>42517</v>
      </c>
      <c r="C420" s="298">
        <v>9678</v>
      </c>
      <c r="D420" s="547">
        <v>16.999700000000001</v>
      </c>
      <c r="E420" s="299">
        <v>12.9</v>
      </c>
      <c r="F420" s="299">
        <f t="shared" si="77"/>
        <v>-39676.8966</v>
      </c>
      <c r="G420" s="299">
        <f t="shared" si="78"/>
        <v>164523.09660000002</v>
      </c>
      <c r="H420" s="300">
        <f t="shared" si="76"/>
        <v>-0.2411630793484591</v>
      </c>
      <c r="I420" s="299"/>
    </row>
    <row r="421" spans="2:9" x14ac:dyDescent="0.25">
      <c r="B421" s="546">
        <v>42525</v>
      </c>
      <c r="C421" s="298">
        <v>9678</v>
      </c>
      <c r="D421" s="547">
        <v>16.9956</v>
      </c>
      <c r="E421" s="299">
        <v>13.32</v>
      </c>
      <c r="F421" s="299">
        <f t="shared" si="77"/>
        <v>-35572.456799999993</v>
      </c>
      <c r="G421" s="299">
        <f t="shared" si="78"/>
        <v>164483.41680000001</v>
      </c>
      <c r="H421" s="300">
        <f t="shared" si="76"/>
        <v>-0.21626773988561743</v>
      </c>
      <c r="I421" s="299"/>
    </row>
    <row r="422" spans="2:9" x14ac:dyDescent="0.25">
      <c r="B422" s="546">
        <v>42527</v>
      </c>
      <c r="C422" s="298">
        <v>8178</v>
      </c>
      <c r="D422" s="547">
        <v>17.568999999999999</v>
      </c>
      <c r="E422" s="299">
        <v>13.96</v>
      </c>
      <c r="F422" s="299">
        <f t="shared" si="77"/>
        <v>-29514.401999999984</v>
      </c>
      <c r="G422" s="299">
        <f t="shared" si="78"/>
        <v>143679.28200000001</v>
      </c>
      <c r="H422" s="300">
        <f t="shared" si="76"/>
        <v>-0.20541863509590746</v>
      </c>
      <c r="I422" s="299"/>
    </row>
    <row r="423" spans="2:9" x14ac:dyDescent="0.25">
      <c r="B423" s="546">
        <v>42528</v>
      </c>
      <c r="C423" s="298">
        <v>7678</v>
      </c>
      <c r="D423" s="547">
        <v>17.759599999999999</v>
      </c>
      <c r="E423" s="299">
        <v>14.62</v>
      </c>
      <c r="F423" s="299">
        <f t="shared" si="77"/>
        <v>-24105.848799999996</v>
      </c>
      <c r="G423" s="299">
        <f t="shared" si="78"/>
        <v>136358.20879999999</v>
      </c>
      <c r="H423" s="300">
        <f t="shared" si="76"/>
        <v>-0.17678326088425414</v>
      </c>
      <c r="I423" s="299"/>
    </row>
    <row r="424" spans="2:9" ht="15" customHeight="1" x14ac:dyDescent="0.25">
      <c r="B424" s="546">
        <v>42529</v>
      </c>
      <c r="C424" s="298">
        <v>8178</v>
      </c>
      <c r="D424" s="547">
        <v>17.5654</v>
      </c>
      <c r="E424" s="299">
        <v>14.53</v>
      </c>
      <c r="F424" s="299">
        <f t="shared" si="77"/>
        <v>-24823.50120000001</v>
      </c>
      <c r="G424" s="299">
        <f t="shared" si="78"/>
        <v>143649.8412</v>
      </c>
      <c r="H424" s="300">
        <f t="shared" si="76"/>
        <v>-0.17280562924840887</v>
      </c>
      <c r="I424" s="299"/>
    </row>
    <row r="425" spans="2:9" x14ac:dyDescent="0.25">
      <c r="B425" s="546">
        <v>42531</v>
      </c>
      <c r="C425" s="298">
        <v>8978</v>
      </c>
      <c r="D425" s="547">
        <v>17.1751</v>
      </c>
      <c r="E425" s="299">
        <v>13.42</v>
      </c>
      <c r="F425" s="299">
        <f t="shared" ref="F425:F433" si="79">C425*(E425-D425)</f>
        <v>-33713.287800000006</v>
      </c>
      <c r="G425" s="299">
        <f t="shared" ref="G425:G433" si="80">IF(C425=0, 0,D425*C425)</f>
        <v>154198.0478</v>
      </c>
      <c r="H425" s="300">
        <f t="shared" ref="H425:H433" si="81">IF(C425=0, D425, (E425-D425)/D425)</f>
        <v>-0.21863628159370255</v>
      </c>
      <c r="I425" s="299"/>
    </row>
    <row r="426" spans="2:9" x14ac:dyDescent="0.25">
      <c r="B426" s="546">
        <v>42531</v>
      </c>
      <c r="C426" s="319">
        <v>9278</v>
      </c>
      <c r="D426" s="548">
        <v>17.1052</v>
      </c>
      <c r="E426" s="299">
        <v>13.42</v>
      </c>
      <c r="F426" s="299">
        <f t="shared" si="79"/>
        <v>-34191.285600000003</v>
      </c>
      <c r="G426" s="299">
        <f t="shared" si="80"/>
        <v>158702.04560000001</v>
      </c>
      <c r="H426" s="300">
        <f t="shared" si="81"/>
        <v>-0.21544325702125669</v>
      </c>
      <c r="I426" s="299"/>
    </row>
    <row r="427" spans="2:9" x14ac:dyDescent="0.25">
      <c r="B427" s="546">
        <v>42532</v>
      </c>
      <c r="C427" s="298">
        <v>9278</v>
      </c>
      <c r="D427" s="547">
        <v>17.053000000000001</v>
      </c>
      <c r="E427" s="299">
        <v>13.42</v>
      </c>
      <c r="F427" s="299">
        <f t="shared" si="79"/>
        <v>-33706.974000000009</v>
      </c>
      <c r="G427" s="299">
        <f t="shared" si="80"/>
        <v>158217.734</v>
      </c>
      <c r="H427" s="300">
        <f t="shared" si="81"/>
        <v>-0.21304169354365804</v>
      </c>
      <c r="I427" s="299" t="s">
        <v>181</v>
      </c>
    </row>
    <row r="428" spans="2:9" x14ac:dyDescent="0.25">
      <c r="B428" s="546">
        <v>42535</v>
      </c>
      <c r="C428" s="298">
        <v>9678</v>
      </c>
      <c r="D428" s="547">
        <v>16.879300000000001</v>
      </c>
      <c r="E428" s="299">
        <v>13.23</v>
      </c>
      <c r="F428" s="299">
        <f t="shared" si="79"/>
        <v>-35317.9254</v>
      </c>
      <c r="G428" s="299">
        <f t="shared" si="80"/>
        <v>163357.86540000001</v>
      </c>
      <c r="H428" s="300">
        <f t="shared" si="81"/>
        <v>-0.21619972392220058</v>
      </c>
      <c r="I428" s="299" t="s">
        <v>213</v>
      </c>
    </row>
    <row r="429" spans="2:9" x14ac:dyDescent="0.25">
      <c r="B429" s="546">
        <v>42536</v>
      </c>
      <c r="C429" s="298">
        <v>9278</v>
      </c>
      <c r="D429" s="547">
        <v>17.027999999999999</v>
      </c>
      <c r="E429" s="299">
        <v>13.06</v>
      </c>
      <c r="F429" s="299">
        <f t="shared" si="79"/>
        <v>-36815.103999999985</v>
      </c>
      <c r="G429" s="299">
        <f t="shared" si="80"/>
        <v>157985.78399999999</v>
      </c>
      <c r="H429" s="300">
        <f t="shared" si="81"/>
        <v>-0.23302795395818643</v>
      </c>
      <c r="I429" s="299"/>
    </row>
    <row r="430" spans="2:9" x14ac:dyDescent="0.25">
      <c r="B430" s="546">
        <v>42537</v>
      </c>
      <c r="C430" s="319">
        <v>9278</v>
      </c>
      <c r="D430" s="548">
        <v>17.0168</v>
      </c>
      <c r="E430" s="299">
        <v>12.67</v>
      </c>
      <c r="F430" s="299">
        <f t="shared" si="79"/>
        <v>-40329.610399999998</v>
      </c>
      <c r="G430" s="299">
        <f t="shared" si="80"/>
        <v>157881.87039999999</v>
      </c>
      <c r="H430" s="300">
        <f t="shared" si="81"/>
        <v>-0.25544168116214566</v>
      </c>
      <c r="I430" s="299"/>
    </row>
    <row r="431" spans="2:9" ht="15" customHeight="1" x14ac:dyDescent="0.25">
      <c r="B431" s="546">
        <v>42538</v>
      </c>
      <c r="C431" s="319">
        <v>9278</v>
      </c>
      <c r="D431" s="548">
        <v>17.0061</v>
      </c>
      <c r="E431" s="299">
        <v>13.16</v>
      </c>
      <c r="F431" s="299">
        <f t="shared" si="79"/>
        <v>-35684.1158</v>
      </c>
      <c r="G431" s="299">
        <f t="shared" si="80"/>
        <v>157782.59580000001</v>
      </c>
      <c r="H431" s="300">
        <f t="shared" si="81"/>
        <v>-0.2261600249322302</v>
      </c>
      <c r="I431" s="299"/>
    </row>
    <row r="432" spans="2:9" x14ac:dyDescent="0.25">
      <c r="B432" s="546">
        <v>42541</v>
      </c>
      <c r="C432" s="298">
        <v>7678</v>
      </c>
      <c r="D432" s="547">
        <v>17.568000000000001</v>
      </c>
      <c r="E432" s="299">
        <v>14.48</v>
      </c>
      <c r="F432" s="299">
        <f t="shared" si="79"/>
        <v>-23709.664000000008</v>
      </c>
      <c r="G432" s="299">
        <f t="shared" si="80"/>
        <v>134887.10400000002</v>
      </c>
      <c r="H432" s="301">
        <f t="shared" si="81"/>
        <v>-0.17577413479052828</v>
      </c>
      <c r="I432" s="299"/>
    </row>
    <row r="433" spans="2:9" x14ac:dyDescent="0.25">
      <c r="B433" s="546">
        <v>42542</v>
      </c>
      <c r="C433" s="298">
        <v>6800</v>
      </c>
      <c r="D433" s="547">
        <v>17.892099999999999</v>
      </c>
      <c r="E433" s="299">
        <v>15.09</v>
      </c>
      <c r="F433" s="299">
        <f t="shared" si="79"/>
        <v>-19054.279999999995</v>
      </c>
      <c r="G433" s="299">
        <f t="shared" si="80"/>
        <v>121666.28</v>
      </c>
      <c r="H433" s="301">
        <f t="shared" si="81"/>
        <v>-0.15661101827063337</v>
      </c>
      <c r="I433" s="299"/>
    </row>
    <row r="434" spans="2:9" x14ac:dyDescent="0.25">
      <c r="B434" s="546">
        <v>42543</v>
      </c>
      <c r="C434" s="298">
        <v>7300</v>
      </c>
      <c r="D434" s="547">
        <v>17.6769</v>
      </c>
      <c r="E434" s="299">
        <v>14.75</v>
      </c>
      <c r="F434" s="299">
        <f t="shared" ref="F434:F442" si="82">C434*(E434-D434)</f>
        <v>-21366.37</v>
      </c>
      <c r="G434" s="299">
        <f t="shared" ref="G434:G442" si="83">IF(C434=0, 0,D434*C434)</f>
        <v>129041.37</v>
      </c>
      <c r="H434" s="301">
        <f t="shared" ref="H434:H442" si="84">IF(C434=0, D434, (E434-D434)/D434)</f>
        <v>-0.16557767481854849</v>
      </c>
      <c r="I434" s="299"/>
    </row>
    <row r="435" spans="2:9" x14ac:dyDescent="0.25">
      <c r="B435" s="546">
        <v>42544</v>
      </c>
      <c r="C435" s="298">
        <v>6800</v>
      </c>
      <c r="D435" s="547">
        <v>17.856100000000001</v>
      </c>
      <c r="E435" s="299">
        <v>15.27</v>
      </c>
      <c r="F435" s="299">
        <f t="shared" si="82"/>
        <v>-17585.480000000014</v>
      </c>
      <c r="G435" s="299">
        <f t="shared" si="83"/>
        <v>121421.48000000001</v>
      </c>
      <c r="H435" s="301">
        <f t="shared" si="84"/>
        <v>-0.1448300580753917</v>
      </c>
      <c r="I435" s="299"/>
    </row>
    <row r="436" spans="2:9" x14ac:dyDescent="0.25">
      <c r="B436" s="546">
        <v>42545</v>
      </c>
      <c r="C436" s="298">
        <v>7678</v>
      </c>
      <c r="D436" s="547">
        <v>17.462</v>
      </c>
      <c r="E436" s="299">
        <v>14.41</v>
      </c>
      <c r="F436" s="299">
        <f t="shared" si="82"/>
        <v>-23433.255999999998</v>
      </c>
      <c r="G436" s="299">
        <f t="shared" si="83"/>
        <v>134073.236</v>
      </c>
      <c r="H436" s="301">
        <f t="shared" si="84"/>
        <v>-0.17477952124613444</v>
      </c>
      <c r="I436" s="299"/>
    </row>
    <row r="437" spans="2:9" ht="15" customHeight="1" x14ac:dyDescent="0.25">
      <c r="B437" s="546">
        <v>42545</v>
      </c>
      <c r="C437" s="298">
        <v>8013</v>
      </c>
      <c r="D437" s="547">
        <v>17.32</v>
      </c>
      <c r="E437" s="299">
        <v>14.68</v>
      </c>
      <c r="F437" s="299">
        <f t="shared" si="82"/>
        <v>-21154.320000000003</v>
      </c>
      <c r="G437" s="299">
        <f t="shared" si="83"/>
        <v>138785.16</v>
      </c>
      <c r="H437" s="301">
        <f t="shared" si="84"/>
        <v>-0.15242494226327949</v>
      </c>
      <c r="I437" s="299"/>
    </row>
    <row r="438" spans="2:9" x14ac:dyDescent="0.25">
      <c r="B438" s="546">
        <v>42548</v>
      </c>
      <c r="C438" s="298">
        <v>8978</v>
      </c>
      <c r="D438" s="547">
        <v>16.943300000000001</v>
      </c>
      <c r="E438" s="299">
        <v>13.66</v>
      </c>
      <c r="F438" s="299">
        <f t="shared" si="82"/>
        <v>-29477.467400000005</v>
      </c>
      <c r="G438" s="299">
        <f t="shared" si="83"/>
        <v>152116.9474</v>
      </c>
      <c r="H438" s="301">
        <f t="shared" si="84"/>
        <v>-0.19378161279089673</v>
      </c>
      <c r="I438" s="299"/>
    </row>
    <row r="439" spans="2:9" x14ac:dyDescent="0.25">
      <c r="B439" s="546">
        <v>42548</v>
      </c>
      <c r="C439" s="298">
        <v>9278</v>
      </c>
      <c r="D439" s="547">
        <v>16.834599999999998</v>
      </c>
      <c r="E439" s="299">
        <v>13.66</v>
      </c>
      <c r="F439" s="299">
        <f t="shared" si="82"/>
        <v>-29453.938799999982</v>
      </c>
      <c r="G439" s="299">
        <f t="shared" si="83"/>
        <v>156191.41879999998</v>
      </c>
      <c r="H439" s="300">
        <f t="shared" si="84"/>
        <v>-0.18857590913951019</v>
      </c>
      <c r="I439" s="299"/>
    </row>
    <row r="440" spans="2:9" x14ac:dyDescent="0.25">
      <c r="B440" s="546">
        <v>42549</v>
      </c>
      <c r="C440" s="298">
        <v>8178</v>
      </c>
      <c r="D440" s="547">
        <v>17.124400000000001</v>
      </c>
      <c r="E440" s="299">
        <v>14.78</v>
      </c>
      <c r="F440" s="299">
        <f t="shared" si="82"/>
        <v>-19172.503200000017</v>
      </c>
      <c r="G440" s="299">
        <f t="shared" si="83"/>
        <v>140043.3432</v>
      </c>
      <c r="H440" s="300">
        <f t="shared" si="84"/>
        <v>-0.13690406671182651</v>
      </c>
      <c r="I440" s="299">
        <v>17</v>
      </c>
    </row>
    <row r="441" spans="2:9" x14ac:dyDescent="0.25">
      <c r="B441" s="546">
        <v>42552</v>
      </c>
      <c r="C441" s="298">
        <v>7678</v>
      </c>
      <c r="D441" s="547">
        <v>17.2315</v>
      </c>
      <c r="E441" s="299">
        <v>15.48</v>
      </c>
      <c r="F441" s="299">
        <f t="shared" si="82"/>
        <v>-13448.017</v>
      </c>
      <c r="G441" s="299">
        <f t="shared" si="83"/>
        <v>132303.45699999999</v>
      </c>
      <c r="H441" s="300">
        <f t="shared" si="84"/>
        <v>-0.1016452427240809</v>
      </c>
      <c r="I441" s="299">
        <v>17</v>
      </c>
    </row>
    <row r="442" spans="2:9" x14ac:dyDescent="0.25">
      <c r="B442" s="546">
        <v>42552</v>
      </c>
      <c r="C442" s="298">
        <v>7300</v>
      </c>
      <c r="D442" s="547">
        <v>17.313400000000001</v>
      </c>
      <c r="E442" s="299">
        <v>15.65</v>
      </c>
      <c r="F442" s="299">
        <f t="shared" si="82"/>
        <v>-12142.820000000009</v>
      </c>
      <c r="G442" s="299">
        <f t="shared" si="83"/>
        <v>126387.82</v>
      </c>
      <c r="H442" s="300">
        <f t="shared" si="84"/>
        <v>-9.6075871868032903E-2</v>
      </c>
      <c r="I442" s="299"/>
    </row>
    <row r="443" spans="2:9" x14ac:dyDescent="0.25">
      <c r="B443" s="546">
        <v>42552</v>
      </c>
      <c r="C443" s="298">
        <v>6800</v>
      </c>
      <c r="D443" s="547">
        <v>17.446100000000001</v>
      </c>
      <c r="E443" s="299">
        <v>15.7</v>
      </c>
      <c r="F443" s="299">
        <f t="shared" ref="F443:F464" si="85">C443*(E443-D443)</f>
        <v>-11873.480000000014</v>
      </c>
      <c r="G443" s="299">
        <f t="shared" ref="G443:G464" si="86">IF(C443=0, 0,D443*C443)</f>
        <v>118633.48000000001</v>
      </c>
      <c r="H443" s="300">
        <f t="shared" ref="H443:H464" si="87">IF(C443=0, D443, (E443-D443)/D443)</f>
        <v>-0.10008540590733757</v>
      </c>
      <c r="I443" s="299"/>
    </row>
    <row r="444" spans="2:9" x14ac:dyDescent="0.25">
      <c r="B444" s="546">
        <v>42552</v>
      </c>
      <c r="C444" s="298">
        <v>6000</v>
      </c>
      <c r="D444" s="547">
        <v>17.668199999999999</v>
      </c>
      <c r="E444" s="299">
        <v>15.68</v>
      </c>
      <c r="F444" s="299">
        <f t="shared" si="85"/>
        <v>-11929.199999999995</v>
      </c>
      <c r="G444" s="299">
        <f t="shared" si="86"/>
        <v>106009.2</v>
      </c>
      <c r="H444" s="300">
        <f t="shared" si="87"/>
        <v>-0.11252985589929926</v>
      </c>
      <c r="I444" s="299"/>
    </row>
    <row r="445" spans="2:9" x14ac:dyDescent="0.25">
      <c r="B445" s="546">
        <v>42556</v>
      </c>
      <c r="C445" s="298">
        <v>8178</v>
      </c>
      <c r="D445" s="547">
        <v>16.978899999999999</v>
      </c>
      <c r="E445" s="299">
        <v>14.72</v>
      </c>
      <c r="F445" s="299">
        <f t="shared" si="85"/>
        <v>-18473.284199999991</v>
      </c>
      <c r="G445" s="299">
        <f t="shared" si="86"/>
        <v>138853.4442</v>
      </c>
      <c r="H445" s="300">
        <f t="shared" si="87"/>
        <v>-0.13304159869013887</v>
      </c>
      <c r="I445" s="299">
        <v>16.75</v>
      </c>
    </row>
    <row r="446" spans="2:9" x14ac:dyDescent="0.25">
      <c r="B446" s="546">
        <v>42556</v>
      </c>
      <c r="C446" s="298">
        <v>8678</v>
      </c>
      <c r="D446" s="547">
        <v>16.843</v>
      </c>
      <c r="E446" s="299">
        <v>14.72</v>
      </c>
      <c r="F446" s="299">
        <f t="shared" si="85"/>
        <v>-18423.393999999993</v>
      </c>
      <c r="G446" s="299">
        <f t="shared" si="86"/>
        <v>146163.554</v>
      </c>
      <c r="H446" s="300">
        <f t="shared" si="87"/>
        <v>-0.12604642878347083</v>
      </c>
      <c r="I446" s="299"/>
    </row>
    <row r="447" spans="2:9" x14ac:dyDescent="0.25">
      <c r="B447" s="546">
        <v>42557</v>
      </c>
      <c r="C447" s="298">
        <v>8178</v>
      </c>
      <c r="D447" s="547">
        <v>16.960599999999999</v>
      </c>
      <c r="E447" s="299">
        <v>14.84</v>
      </c>
      <c r="F447" s="299">
        <f t="shared" si="85"/>
        <v>-17342.266799999998</v>
      </c>
      <c r="G447" s="299">
        <f t="shared" si="86"/>
        <v>138703.7868</v>
      </c>
      <c r="H447" s="300">
        <f t="shared" si="87"/>
        <v>-0.12503095409360515</v>
      </c>
      <c r="I447" s="299">
        <v>16.75</v>
      </c>
    </row>
    <row r="448" spans="2:9" x14ac:dyDescent="0.25">
      <c r="B448" s="546">
        <v>42557</v>
      </c>
      <c r="C448" s="298">
        <v>8678</v>
      </c>
      <c r="D448" s="547">
        <v>16.835000000000001</v>
      </c>
      <c r="E448" s="299">
        <v>14.84</v>
      </c>
      <c r="F448" s="299">
        <f t="shared" si="85"/>
        <v>-17312.610000000008</v>
      </c>
      <c r="G448" s="299">
        <f t="shared" si="86"/>
        <v>146094.13</v>
      </c>
      <c r="H448" s="300">
        <f t="shared" si="87"/>
        <v>-0.11850311850311855</v>
      </c>
      <c r="I448" s="299"/>
    </row>
    <row r="449" spans="2:9" x14ac:dyDescent="0.25">
      <c r="B449" s="546">
        <v>42559</v>
      </c>
      <c r="C449" s="298">
        <v>8678</v>
      </c>
      <c r="D449" s="547">
        <v>16.835000000000001</v>
      </c>
      <c r="E449" s="299">
        <v>14.92</v>
      </c>
      <c r="F449" s="299">
        <f t="shared" si="85"/>
        <v>-16618.370000000006</v>
      </c>
      <c r="G449" s="299">
        <f t="shared" si="86"/>
        <v>146094.13</v>
      </c>
      <c r="H449" s="300">
        <f t="shared" si="87"/>
        <v>-0.1137511137511138</v>
      </c>
      <c r="I449" s="299"/>
    </row>
    <row r="450" spans="2:9" x14ac:dyDescent="0.25">
      <c r="B450" s="546">
        <v>42562</v>
      </c>
      <c r="C450" s="298">
        <v>8678</v>
      </c>
      <c r="D450" s="547">
        <v>16.835000000000001</v>
      </c>
      <c r="E450" s="299">
        <v>14.69</v>
      </c>
      <c r="F450" s="299">
        <f t="shared" si="85"/>
        <v>-18614.310000000012</v>
      </c>
      <c r="G450" s="299">
        <f t="shared" si="86"/>
        <v>146094.13</v>
      </c>
      <c r="H450" s="300">
        <f t="shared" si="87"/>
        <v>-0.12741312741312749</v>
      </c>
      <c r="I450" s="299"/>
    </row>
    <row r="451" spans="2:9" x14ac:dyDescent="0.25">
      <c r="B451" s="546">
        <v>42563</v>
      </c>
      <c r="C451" s="298">
        <v>8678</v>
      </c>
      <c r="D451" s="547">
        <v>16.835000000000001</v>
      </c>
      <c r="E451" s="299">
        <v>15.6</v>
      </c>
      <c r="F451" s="299">
        <f t="shared" si="85"/>
        <v>-10717.330000000011</v>
      </c>
      <c r="G451" s="299">
        <f t="shared" si="86"/>
        <v>146094.13</v>
      </c>
      <c r="H451" s="300">
        <f t="shared" si="87"/>
        <v>-7.3359073359073421E-2</v>
      </c>
      <c r="I451" s="299"/>
    </row>
    <row r="452" spans="2:9" x14ac:dyDescent="0.25">
      <c r="B452" s="546">
        <v>42564</v>
      </c>
      <c r="C452" s="298">
        <v>8738</v>
      </c>
      <c r="D452" s="547">
        <v>16.816099999999999</v>
      </c>
      <c r="E452" s="299">
        <v>15.29</v>
      </c>
      <c r="F452" s="299">
        <f t="shared" si="85"/>
        <v>-13335.061799999996</v>
      </c>
      <c r="G452" s="299">
        <f t="shared" si="86"/>
        <v>146939.08179999999</v>
      </c>
      <c r="H452" s="300">
        <f t="shared" si="87"/>
        <v>-9.0752314745987453E-2</v>
      </c>
      <c r="I452" s="299"/>
    </row>
    <row r="453" spans="2:9" x14ac:dyDescent="0.25">
      <c r="B453" s="546">
        <v>42566</v>
      </c>
      <c r="C453" s="298">
        <v>8738</v>
      </c>
      <c r="D453" s="547">
        <v>16.816099999999999</v>
      </c>
      <c r="E453" s="299">
        <v>15.21</v>
      </c>
      <c r="F453" s="299">
        <f t="shared" si="85"/>
        <v>-14034.101799999982</v>
      </c>
      <c r="G453" s="299">
        <f t="shared" si="86"/>
        <v>146939.08179999999</v>
      </c>
      <c r="H453" s="300">
        <f t="shared" si="87"/>
        <v>-9.5509660384988079E-2</v>
      </c>
      <c r="I453" s="299"/>
    </row>
    <row r="454" spans="2:9" x14ac:dyDescent="0.25">
      <c r="B454" s="546">
        <v>42570</v>
      </c>
      <c r="C454" s="298">
        <v>9138</v>
      </c>
      <c r="D454" s="547">
        <v>16.733499999999999</v>
      </c>
      <c r="E454" s="299">
        <v>14.75</v>
      </c>
      <c r="F454" s="299">
        <f t="shared" si="85"/>
        <v>-18125.222999999994</v>
      </c>
      <c r="G454" s="299">
        <f t="shared" si="86"/>
        <v>152910.723</v>
      </c>
      <c r="H454" s="300">
        <f t="shared" si="87"/>
        <v>-0.1185346759494427</v>
      </c>
      <c r="I454" s="299"/>
    </row>
    <row r="455" spans="2:9" x14ac:dyDescent="0.25">
      <c r="B455" s="546">
        <v>42571</v>
      </c>
      <c r="C455" s="319">
        <v>9138</v>
      </c>
      <c r="D455" s="548">
        <v>16.7227</v>
      </c>
      <c r="E455" s="299">
        <v>14.84</v>
      </c>
      <c r="F455" s="299">
        <f t="shared" si="85"/>
        <v>-17204.112599999997</v>
      </c>
      <c r="G455" s="299">
        <f t="shared" si="86"/>
        <v>152812.03260000001</v>
      </c>
      <c r="H455" s="300">
        <f t="shared" si="87"/>
        <v>-0.11258349429218965</v>
      </c>
      <c r="I455" s="299"/>
    </row>
    <row r="456" spans="2:9" x14ac:dyDescent="0.25">
      <c r="B456" s="546">
        <v>42572</v>
      </c>
      <c r="C456" s="298">
        <v>9138</v>
      </c>
      <c r="D456" s="547">
        <v>16.718900000000001</v>
      </c>
      <c r="E456" s="299">
        <v>14.42</v>
      </c>
      <c r="F456" s="299">
        <f t="shared" si="85"/>
        <v>-21007.348200000015</v>
      </c>
      <c r="G456" s="299">
        <f t="shared" si="86"/>
        <v>152777.3082</v>
      </c>
      <c r="H456" s="300">
        <f t="shared" si="87"/>
        <v>-0.13750306539305823</v>
      </c>
      <c r="I456" s="299"/>
    </row>
    <row r="457" spans="2:9" x14ac:dyDescent="0.25">
      <c r="B457" s="546">
        <v>42573</v>
      </c>
      <c r="C457" s="298">
        <v>9278</v>
      </c>
      <c r="D457" s="547">
        <v>16.679099999999998</v>
      </c>
      <c r="E457" s="299">
        <v>14.11</v>
      </c>
      <c r="F457" s="299">
        <f t="shared" si="85"/>
        <v>-23836.109799999987</v>
      </c>
      <c r="G457" s="299">
        <f t="shared" si="86"/>
        <v>154748.68979999999</v>
      </c>
      <c r="H457" s="300">
        <f t="shared" si="87"/>
        <v>-0.15403109280476759</v>
      </c>
      <c r="I457" s="299"/>
    </row>
    <row r="458" spans="2:9" ht="15" customHeight="1" x14ac:dyDescent="0.25">
      <c r="B458" s="546">
        <v>42576</v>
      </c>
      <c r="C458" s="298">
        <v>9478</v>
      </c>
      <c r="D458" s="547">
        <v>16.613099999999999</v>
      </c>
      <c r="E458" s="299">
        <v>13.58</v>
      </c>
      <c r="F458" s="299">
        <f t="shared" si="85"/>
        <v>-28747.721799999992</v>
      </c>
      <c r="G458" s="299">
        <f t="shared" si="86"/>
        <v>157458.96179999999</v>
      </c>
      <c r="H458" s="300">
        <f t="shared" si="87"/>
        <v>-0.18257278894366491</v>
      </c>
      <c r="I458" s="299"/>
    </row>
    <row r="459" spans="2:9" x14ac:dyDescent="0.25">
      <c r="B459" s="546">
        <v>42577</v>
      </c>
      <c r="C459" s="319">
        <v>9278</v>
      </c>
      <c r="D459" s="548">
        <v>16.674199999999999</v>
      </c>
      <c r="E459" s="299">
        <v>13.78</v>
      </c>
      <c r="F459" s="299">
        <f t="shared" si="85"/>
        <v>-26852.387599999998</v>
      </c>
      <c r="G459" s="299">
        <f t="shared" si="86"/>
        <v>154703.22759999998</v>
      </c>
      <c r="H459" s="300">
        <f t="shared" si="87"/>
        <v>-0.17357354475776948</v>
      </c>
      <c r="I459" s="299">
        <v>16.53</v>
      </c>
    </row>
    <row r="460" spans="2:9" x14ac:dyDescent="0.25">
      <c r="B460" s="546">
        <v>42578</v>
      </c>
      <c r="C460" s="319">
        <v>9478</v>
      </c>
      <c r="D460" s="548">
        <v>16.6004</v>
      </c>
      <c r="E460" s="299">
        <v>13.13</v>
      </c>
      <c r="F460" s="299">
        <f t="shared" si="85"/>
        <v>-32892.451199999996</v>
      </c>
      <c r="G460" s="299">
        <f t="shared" si="86"/>
        <v>157338.5912</v>
      </c>
      <c r="H460" s="300">
        <f t="shared" si="87"/>
        <v>-0.20905520348907253</v>
      </c>
      <c r="I460" s="299"/>
    </row>
    <row r="461" spans="2:9" x14ac:dyDescent="0.25">
      <c r="B461" s="546">
        <v>42580</v>
      </c>
      <c r="C461" s="298">
        <v>9478</v>
      </c>
      <c r="D461" s="547">
        <v>16.599</v>
      </c>
      <c r="E461" s="299">
        <v>13.64</v>
      </c>
      <c r="F461" s="299">
        <f t="shared" si="85"/>
        <v>-28045.401999999998</v>
      </c>
      <c r="G461" s="299">
        <f t="shared" si="86"/>
        <v>157325.32200000001</v>
      </c>
      <c r="H461" s="301">
        <f t="shared" si="87"/>
        <v>-0.17826375082836313</v>
      </c>
      <c r="I461" s="299"/>
    </row>
    <row r="462" spans="2:9" x14ac:dyDescent="0.25">
      <c r="B462" s="546">
        <v>42580</v>
      </c>
      <c r="C462" s="298">
        <v>9278</v>
      </c>
      <c r="D462" s="547">
        <v>16.664000000000001</v>
      </c>
      <c r="E462" s="299">
        <v>13.64</v>
      </c>
      <c r="F462" s="299">
        <f t="shared" si="85"/>
        <v>-28056.67200000001</v>
      </c>
      <c r="G462" s="299">
        <f t="shared" si="86"/>
        <v>154608.592</v>
      </c>
      <c r="H462" s="301">
        <f t="shared" si="87"/>
        <v>-0.18146903504560732</v>
      </c>
      <c r="I462" s="299">
        <v>16.53</v>
      </c>
    </row>
    <row r="463" spans="2:9" x14ac:dyDescent="0.25">
      <c r="B463" s="546">
        <v>42583</v>
      </c>
      <c r="C463" s="298">
        <v>9478</v>
      </c>
      <c r="D463" s="547">
        <v>16.5871</v>
      </c>
      <c r="E463" s="299">
        <v>12.92</v>
      </c>
      <c r="F463" s="299">
        <f t="shared" si="85"/>
        <v>-34756.773799999995</v>
      </c>
      <c r="G463" s="299">
        <f t="shared" si="86"/>
        <v>157212.5338</v>
      </c>
      <c r="H463" s="301">
        <f t="shared" si="87"/>
        <v>-0.22108144280796521</v>
      </c>
      <c r="I463" s="299"/>
    </row>
    <row r="464" spans="2:9" x14ac:dyDescent="0.25">
      <c r="B464" s="546">
        <v>42584</v>
      </c>
      <c r="C464" s="298">
        <v>9678</v>
      </c>
      <c r="D464" s="547">
        <v>16.5063</v>
      </c>
      <c r="E464" s="299">
        <v>12.9</v>
      </c>
      <c r="F464" s="299">
        <f t="shared" si="85"/>
        <v>-34901.771399999991</v>
      </c>
      <c r="G464" s="299">
        <f t="shared" si="86"/>
        <v>159747.97140000001</v>
      </c>
      <c r="H464" s="301">
        <f t="shared" si="87"/>
        <v>-0.21848021664455386</v>
      </c>
      <c r="I464" s="299"/>
    </row>
    <row r="465" spans="2:9" x14ac:dyDescent="0.25">
      <c r="B465" s="546">
        <v>42585</v>
      </c>
      <c r="C465" s="298">
        <v>10078</v>
      </c>
      <c r="D465" s="547">
        <v>16.5063</v>
      </c>
      <c r="E465" s="299">
        <v>12.9</v>
      </c>
      <c r="F465" s="299">
        <f t="shared" ref="F465:F480" si="88">C465*(E465-D465)</f>
        <v>-36344.291399999995</v>
      </c>
      <c r="G465" s="299">
        <f t="shared" ref="G465:G480" si="89">IF(C465=0, 0,D465*C465)</f>
        <v>166350.4914</v>
      </c>
      <c r="H465" s="301">
        <f t="shared" ref="H465:H480" si="90">IF(C465=0, D465, (E465-D465)/D465)</f>
        <v>-0.21848021664455386</v>
      </c>
      <c r="I465" s="299"/>
    </row>
    <row r="466" spans="2:9" x14ac:dyDescent="0.25">
      <c r="B466" s="546">
        <v>42586</v>
      </c>
      <c r="C466" s="298">
        <v>9678</v>
      </c>
      <c r="D466" s="547">
        <v>16.489799999999999</v>
      </c>
      <c r="E466" s="299">
        <v>13.41</v>
      </c>
      <c r="F466" s="299">
        <f t="shared" si="88"/>
        <v>-29806.304399999986</v>
      </c>
      <c r="G466" s="299">
        <f t="shared" si="89"/>
        <v>159588.28439999997</v>
      </c>
      <c r="H466" s="301">
        <f t="shared" si="90"/>
        <v>-0.1867700032747516</v>
      </c>
      <c r="I466" s="299"/>
    </row>
    <row r="467" spans="2:9" x14ac:dyDescent="0.25">
      <c r="B467" s="546">
        <v>42586</v>
      </c>
      <c r="C467" s="298">
        <v>9278</v>
      </c>
      <c r="D467" s="547">
        <v>16.609200000000001</v>
      </c>
      <c r="E467" s="299">
        <v>13.66</v>
      </c>
      <c r="F467" s="299">
        <f t="shared" si="88"/>
        <v>-27362.67760000001</v>
      </c>
      <c r="G467" s="299">
        <f t="shared" si="89"/>
        <v>154100.15760000001</v>
      </c>
      <c r="H467" s="301">
        <f t="shared" si="90"/>
        <v>-0.17756424150470829</v>
      </c>
      <c r="I467" s="299">
        <v>16.53</v>
      </c>
    </row>
    <row r="468" spans="2:9" x14ac:dyDescent="0.25">
      <c r="B468" s="546">
        <v>42586</v>
      </c>
      <c r="C468" s="298">
        <v>9138</v>
      </c>
      <c r="D468" s="547">
        <v>16.6511</v>
      </c>
      <c r="E468" s="299">
        <v>13.87</v>
      </c>
      <c r="F468" s="299">
        <f t="shared" si="88"/>
        <v>-25413.691800000004</v>
      </c>
      <c r="G468" s="299">
        <f t="shared" si="89"/>
        <v>152157.7518</v>
      </c>
      <c r="H468" s="300">
        <f t="shared" si="90"/>
        <v>-0.1670219985466426</v>
      </c>
      <c r="I468" s="299"/>
    </row>
    <row r="469" spans="2:9" x14ac:dyDescent="0.25">
      <c r="B469" s="546">
        <v>42593</v>
      </c>
      <c r="C469" s="298">
        <v>8678</v>
      </c>
      <c r="D469" s="547">
        <v>16.760300000000001</v>
      </c>
      <c r="E469" s="299">
        <v>14.61</v>
      </c>
      <c r="F469" s="299">
        <f t="shared" si="88"/>
        <v>-18660.303400000012</v>
      </c>
      <c r="G469" s="299">
        <f t="shared" si="89"/>
        <v>145445.88340000002</v>
      </c>
      <c r="H469" s="300">
        <f t="shared" si="90"/>
        <v>-0.12829722618330228</v>
      </c>
      <c r="I469" s="299"/>
    </row>
    <row r="470" spans="2:9" x14ac:dyDescent="0.25">
      <c r="B470" s="546">
        <v>42597</v>
      </c>
      <c r="C470" s="298">
        <v>8678</v>
      </c>
      <c r="D470" s="547">
        <v>16.7471</v>
      </c>
      <c r="E470" s="299">
        <v>14.9</v>
      </c>
      <c r="F470" s="299">
        <f t="shared" si="88"/>
        <v>-16029.133799999994</v>
      </c>
      <c r="G470" s="299">
        <f t="shared" si="89"/>
        <v>145331.33379999999</v>
      </c>
      <c r="H470" s="300">
        <f t="shared" si="90"/>
        <v>-0.11029372249523794</v>
      </c>
      <c r="I470" s="299"/>
    </row>
    <row r="471" spans="2:9" x14ac:dyDescent="0.25">
      <c r="B471" s="546">
        <v>42598</v>
      </c>
      <c r="C471" s="298">
        <v>8178</v>
      </c>
      <c r="D471" s="547">
        <v>16.8429</v>
      </c>
      <c r="E471" s="299">
        <v>15.17</v>
      </c>
      <c r="F471" s="299">
        <f t="shared" si="88"/>
        <v>-13680.976200000003</v>
      </c>
      <c r="G471" s="299">
        <f t="shared" si="89"/>
        <v>137741.23620000001</v>
      </c>
      <c r="H471" s="300">
        <f t="shared" si="90"/>
        <v>-9.9323750660515728E-2</v>
      </c>
      <c r="I471" s="299">
        <v>16.75</v>
      </c>
    </row>
    <row r="472" spans="2:9" x14ac:dyDescent="0.25">
      <c r="B472" s="546">
        <v>42599</v>
      </c>
      <c r="C472" s="298">
        <v>7178</v>
      </c>
      <c r="D472" s="547">
        <v>17.009899999999998</v>
      </c>
      <c r="E472" s="299">
        <v>15.7</v>
      </c>
      <c r="F472" s="299">
        <f t="shared" si="88"/>
        <v>-9402.4621999999927</v>
      </c>
      <c r="G472" s="299">
        <f t="shared" si="89"/>
        <v>122097.06219999999</v>
      </c>
      <c r="H472" s="300">
        <f t="shared" si="90"/>
        <v>-7.7008095285686515E-2</v>
      </c>
      <c r="I472" s="299"/>
    </row>
    <row r="473" spans="2:9" x14ac:dyDescent="0.25">
      <c r="B473" s="546">
        <v>42600</v>
      </c>
      <c r="C473" s="298">
        <v>5500</v>
      </c>
      <c r="D473" s="547">
        <v>17.185600000000001</v>
      </c>
      <c r="E473" s="299">
        <v>16.68</v>
      </c>
      <c r="F473" s="299">
        <f t="shared" si="88"/>
        <v>-2780.8000000000065</v>
      </c>
      <c r="G473" s="299">
        <f t="shared" si="89"/>
        <v>94520.8</v>
      </c>
      <c r="H473" s="300">
        <f t="shared" si="90"/>
        <v>-2.9419979517735846E-2</v>
      </c>
      <c r="I473" s="299"/>
    </row>
    <row r="474" spans="2:9" x14ac:dyDescent="0.25">
      <c r="B474" s="546">
        <v>42601</v>
      </c>
      <c r="C474" s="298">
        <v>5000</v>
      </c>
      <c r="D474" s="547">
        <v>17.222200000000001</v>
      </c>
      <c r="E474" s="299">
        <v>16.8</v>
      </c>
      <c r="F474" s="299">
        <f t="shared" si="88"/>
        <v>-2111.0000000000005</v>
      </c>
      <c r="G474" s="299">
        <f t="shared" si="89"/>
        <v>86111</v>
      </c>
      <c r="H474" s="300">
        <f t="shared" si="90"/>
        <v>-2.4514870341768188E-2</v>
      </c>
      <c r="I474" s="299"/>
    </row>
    <row r="475" spans="2:9" x14ac:dyDescent="0.25">
      <c r="B475" s="546">
        <v>42604</v>
      </c>
      <c r="C475" s="298">
        <v>6000</v>
      </c>
      <c r="D475" s="547">
        <v>16.9651</v>
      </c>
      <c r="E475" s="299">
        <v>15.64</v>
      </c>
      <c r="F475" s="299">
        <f t="shared" si="88"/>
        <v>-7950.599999999994</v>
      </c>
      <c r="G475" s="299">
        <f t="shared" si="89"/>
        <v>101790.59999999999</v>
      </c>
      <c r="H475" s="300">
        <f t="shared" si="90"/>
        <v>-7.8107408739117312E-2</v>
      </c>
      <c r="I475" s="299"/>
    </row>
    <row r="476" spans="2:9" x14ac:dyDescent="0.25">
      <c r="B476" s="546">
        <v>42604</v>
      </c>
      <c r="C476" s="298">
        <v>6500</v>
      </c>
      <c r="D476" s="547">
        <v>16.850899999999999</v>
      </c>
      <c r="E476" s="299">
        <v>15.64</v>
      </c>
      <c r="F476" s="299">
        <f t="shared" si="88"/>
        <v>-7870.8499999999922</v>
      </c>
      <c r="G476" s="299">
        <f t="shared" si="89"/>
        <v>109530.84999999999</v>
      </c>
      <c r="H476" s="300">
        <f t="shared" si="90"/>
        <v>-7.1859663282079822E-2</v>
      </c>
      <c r="I476" s="299"/>
    </row>
    <row r="477" spans="2:9" x14ac:dyDescent="0.25">
      <c r="B477" s="546">
        <v>42605</v>
      </c>
      <c r="C477" s="298">
        <v>6000</v>
      </c>
      <c r="D477" s="547">
        <v>16.923500000000001</v>
      </c>
      <c r="E477" s="299">
        <v>16.43</v>
      </c>
      <c r="F477" s="299">
        <f t="shared" si="88"/>
        <v>-2961.0000000000055</v>
      </c>
      <c r="G477" s="299">
        <f t="shared" si="89"/>
        <v>101541</v>
      </c>
      <c r="H477" s="300">
        <f t="shared" si="90"/>
        <v>-2.9160634620498178E-2</v>
      </c>
      <c r="I477" s="299"/>
    </row>
    <row r="478" spans="2:9" ht="15" customHeight="1" x14ac:dyDescent="0.25">
      <c r="B478" s="546">
        <v>42605</v>
      </c>
      <c r="C478" s="298">
        <v>5500</v>
      </c>
      <c r="D478" s="547">
        <v>16.9848</v>
      </c>
      <c r="E478" s="299">
        <v>16.43</v>
      </c>
      <c r="F478" s="299">
        <f t="shared" si="88"/>
        <v>-3051.400000000001</v>
      </c>
      <c r="G478" s="299">
        <f t="shared" si="89"/>
        <v>93416.4</v>
      </c>
      <c r="H478" s="300">
        <f t="shared" si="90"/>
        <v>-3.266450002355048E-2</v>
      </c>
      <c r="I478" s="299"/>
    </row>
    <row r="479" spans="2:9" x14ac:dyDescent="0.25">
      <c r="B479" s="546">
        <v>42605</v>
      </c>
      <c r="C479" s="298">
        <v>5000</v>
      </c>
      <c r="D479" s="547">
        <v>17.035299999999999</v>
      </c>
      <c r="E479" s="299">
        <v>16.43</v>
      </c>
      <c r="F479" s="299">
        <f t="shared" si="88"/>
        <v>-3026.4999999999986</v>
      </c>
      <c r="G479" s="299">
        <f t="shared" si="89"/>
        <v>85176.5</v>
      </c>
      <c r="H479" s="300">
        <f t="shared" si="90"/>
        <v>-3.5532100990296606E-2</v>
      </c>
      <c r="I479" s="299"/>
    </row>
    <row r="480" spans="2:9" x14ac:dyDescent="0.25">
      <c r="B480" s="546">
        <v>42606</v>
      </c>
      <c r="C480" s="298">
        <v>5178</v>
      </c>
      <c r="D480" s="547">
        <v>17.0017</v>
      </c>
      <c r="E480" s="299">
        <v>16.059999999999999</v>
      </c>
      <c r="F480" s="299">
        <f t="shared" si="88"/>
        <v>-4876.1226000000042</v>
      </c>
      <c r="G480" s="299">
        <f t="shared" si="89"/>
        <v>88034.802599999995</v>
      </c>
      <c r="H480" s="300">
        <f t="shared" si="90"/>
        <v>-5.5388578789179958E-2</v>
      </c>
      <c r="I480" s="299"/>
    </row>
    <row r="481" spans="2:9" x14ac:dyDescent="0.25">
      <c r="B481" s="546">
        <v>42607</v>
      </c>
      <c r="C481" s="298">
        <v>5178</v>
      </c>
      <c r="D481" s="547">
        <v>17.0017</v>
      </c>
      <c r="E481" s="299">
        <v>16.010000000000002</v>
      </c>
      <c r="F481" s="299">
        <f>C481*(E481-D481)</f>
        <v>-5135.0225999999902</v>
      </c>
      <c r="G481" s="299">
        <f>IF(C481=0, 0,D481*C481)</f>
        <v>88034.802599999995</v>
      </c>
      <c r="H481" s="300">
        <f>IF(C481=0, D481, (E481-D481)/D481)</f>
        <v>-5.8329461171529789E-2</v>
      </c>
      <c r="I481" s="299"/>
    </row>
    <row r="482" spans="2:9" x14ac:dyDescent="0.25">
      <c r="B482" s="546">
        <v>42608</v>
      </c>
      <c r="C482" s="298">
        <v>6178</v>
      </c>
      <c r="D482" s="547">
        <v>16.825800000000001</v>
      </c>
      <c r="E482" s="299">
        <v>15.95</v>
      </c>
      <c r="F482" s="299">
        <f>C482*(E482-D482)</f>
        <v>-5410.6924000000108</v>
      </c>
      <c r="G482" s="299">
        <f>IF(C482=0, 0,D482*C482)</f>
        <v>103949.79240000001</v>
      </c>
      <c r="H482" s="300">
        <f>IF(C482=0, D482, (E482-D482)/D482)</f>
        <v>-5.2051016890727435E-2</v>
      </c>
      <c r="I482" s="299"/>
    </row>
    <row r="483" spans="2:9" x14ac:dyDescent="0.25">
      <c r="B483" s="546">
        <v>42611</v>
      </c>
      <c r="C483" s="298">
        <v>6178</v>
      </c>
      <c r="D483" s="547">
        <v>16.825800000000001</v>
      </c>
      <c r="E483" s="299">
        <v>15.99</v>
      </c>
      <c r="F483" s="299">
        <f t="shared" ref="F483:F488" si="91">C483*(E483-D483)</f>
        <v>-5163.5724000000046</v>
      </c>
      <c r="G483" s="299">
        <f t="shared" ref="G483:G488" si="92">IF(C483=0, 0,D483*C483)</f>
        <v>103949.79240000001</v>
      </c>
      <c r="H483" s="300">
        <f t="shared" ref="H483:H488" si="93">IF(C483=0, D483, (E483-D483)/D483)</f>
        <v>-4.9673715365688452E-2</v>
      </c>
      <c r="I483" s="299"/>
    </row>
    <row r="484" spans="2:9" x14ac:dyDescent="0.25">
      <c r="B484" s="546">
        <v>42612</v>
      </c>
      <c r="C484" s="298">
        <v>6678</v>
      </c>
      <c r="D484" s="547">
        <v>16.739999999999998</v>
      </c>
      <c r="E484" s="299">
        <v>15.55</v>
      </c>
      <c r="F484" s="377">
        <f t="shared" si="91"/>
        <v>-7946.8199999999852</v>
      </c>
      <c r="G484" s="299">
        <f t="shared" si="92"/>
        <v>111789.71999999999</v>
      </c>
      <c r="H484" s="301">
        <f t="shared" si="93"/>
        <v>-7.1087216248506446E-2</v>
      </c>
      <c r="I484" s="318"/>
    </row>
    <row r="485" spans="2:9" x14ac:dyDescent="0.25">
      <c r="B485" s="546">
        <v>42612</v>
      </c>
      <c r="C485" s="298">
        <v>7178</v>
      </c>
      <c r="D485" s="547">
        <v>16.6571</v>
      </c>
      <c r="E485" s="299">
        <v>15.55</v>
      </c>
      <c r="F485" s="299">
        <f t="shared" si="91"/>
        <v>-7946.7637999999934</v>
      </c>
      <c r="G485" s="299">
        <f t="shared" si="92"/>
        <v>119564.66379999999</v>
      </c>
      <c r="H485" s="300">
        <f t="shared" si="93"/>
        <v>-6.6464150422342369E-2</v>
      </c>
      <c r="I485" s="299"/>
    </row>
    <row r="486" spans="2:9" x14ac:dyDescent="0.25">
      <c r="B486" s="546">
        <v>42613</v>
      </c>
      <c r="C486" s="298">
        <v>7678</v>
      </c>
      <c r="D486" s="547">
        <v>16.565200000000001</v>
      </c>
      <c r="E486" s="299">
        <v>15.02</v>
      </c>
      <c r="F486" s="299">
        <f t="shared" si="91"/>
        <v>-11864.04560000001</v>
      </c>
      <c r="G486" s="299">
        <f t="shared" si="92"/>
        <v>127187.60560000001</v>
      </c>
      <c r="H486" s="300">
        <f t="shared" si="93"/>
        <v>-9.3279887957887692E-2</v>
      </c>
      <c r="I486" s="299" t="s">
        <v>252</v>
      </c>
    </row>
    <row r="487" spans="2:9" ht="15" customHeight="1" x14ac:dyDescent="0.25">
      <c r="B487" s="546">
        <v>42613</v>
      </c>
      <c r="C487" s="298">
        <v>8178</v>
      </c>
      <c r="D487" s="547">
        <v>16.474399999999999</v>
      </c>
      <c r="E487" s="299">
        <v>15.02</v>
      </c>
      <c r="F487" s="299">
        <f t="shared" si="91"/>
        <v>-11894.083199999997</v>
      </c>
      <c r="G487" s="299">
        <f t="shared" si="92"/>
        <v>134727.64319999999</v>
      </c>
      <c r="H487" s="300">
        <f t="shared" si="93"/>
        <v>-8.8282426067110162E-2</v>
      </c>
      <c r="I487" s="299" t="s">
        <v>253</v>
      </c>
    </row>
    <row r="488" spans="2:9" x14ac:dyDescent="0.25">
      <c r="B488" s="546">
        <v>42615</v>
      </c>
      <c r="C488" s="298">
        <v>7678</v>
      </c>
      <c r="D488" s="547">
        <v>16.528099999999998</v>
      </c>
      <c r="E488" s="299">
        <v>15.49</v>
      </c>
      <c r="F488" s="299">
        <f t="shared" si="91"/>
        <v>-7970.5317999999861</v>
      </c>
      <c r="G488" s="299">
        <f t="shared" si="92"/>
        <v>126902.75179999998</v>
      </c>
      <c r="H488" s="300">
        <f t="shared" si="93"/>
        <v>-6.2808187268953986E-2</v>
      </c>
      <c r="I488" s="299">
        <v>16.350000000000001</v>
      </c>
    </row>
    <row r="489" spans="2:9" x14ac:dyDescent="0.25">
      <c r="B489" s="546">
        <v>42616</v>
      </c>
      <c r="C489" s="298">
        <v>7678</v>
      </c>
      <c r="D489" s="547">
        <v>16.528099999999998</v>
      </c>
      <c r="E489" s="299">
        <v>15.64</v>
      </c>
      <c r="F489" s="299">
        <f>C489*(E489-D489)</f>
        <v>-6818.8317999999836</v>
      </c>
      <c r="G489" s="299">
        <f>IF(C489=0, 0,D489*C489)</f>
        <v>126902.75179999998</v>
      </c>
      <c r="H489" s="300">
        <f>IF(C489=0, D489, (E489-D489)/D489)</f>
        <v>-5.3732733950060681E-2</v>
      </c>
      <c r="I489" s="299"/>
    </row>
    <row r="490" spans="2:9" x14ac:dyDescent="0.25">
      <c r="B490" s="546">
        <v>42621</v>
      </c>
      <c r="C490" s="298">
        <v>7178</v>
      </c>
      <c r="D490" s="547">
        <v>16.545400000000001</v>
      </c>
      <c r="E490" s="299">
        <v>16.739999999999998</v>
      </c>
      <c r="F490" s="299">
        <f>C490*(E490-D490)</f>
        <v>1396.8387999999832</v>
      </c>
      <c r="G490" s="299">
        <f>IF(C490=0, 0,D490*C490)</f>
        <v>118762.8812</v>
      </c>
      <c r="H490" s="300">
        <f>IF(C490=0, D490, (E490-D490)/D490)</f>
        <v>1.1761577235968768E-2</v>
      </c>
      <c r="I490" s="299"/>
    </row>
    <row r="491" spans="2:9" x14ac:dyDescent="0.25">
      <c r="B491" s="546">
        <v>42621</v>
      </c>
      <c r="C491" s="319">
        <v>6678</v>
      </c>
      <c r="D491" s="548">
        <v>16.532299999999999</v>
      </c>
      <c r="E491" s="299">
        <v>16.739999999999998</v>
      </c>
      <c r="F491" s="299">
        <f>C491*(E491-D491)</f>
        <v>1387.0205999999941</v>
      </c>
      <c r="G491" s="299">
        <f>IF(C491=0, 0,D491*C491)</f>
        <v>110402.6994</v>
      </c>
      <c r="H491" s="300">
        <f>IF(C491=0, D491, (E491-D491)/D491)</f>
        <v>1.256328520532528E-2</v>
      </c>
      <c r="I491" s="299"/>
    </row>
    <row r="492" spans="2:9" x14ac:dyDescent="0.25">
      <c r="B492" s="546">
        <v>42621</v>
      </c>
      <c r="C492" s="298">
        <v>6458</v>
      </c>
      <c r="D492" s="547">
        <v>16.524263999999999</v>
      </c>
      <c r="E492" s="299">
        <v>16.739999999999998</v>
      </c>
      <c r="F492" s="299">
        <f>C492*(E492-D492)</f>
        <v>1393.2230879999981</v>
      </c>
      <c r="G492" s="299">
        <f>IF(C492=0, 0,D492*C492)</f>
        <v>106713.69691199998</v>
      </c>
      <c r="H492" s="300">
        <f>IF(C492=0, D492, (E492-D492)/D492)</f>
        <v>1.3055710075801242E-2</v>
      </c>
      <c r="I492" s="299"/>
    </row>
    <row r="493" spans="2:9" x14ac:dyDescent="0.25">
      <c r="B493" s="546">
        <v>42622</v>
      </c>
      <c r="C493" s="298">
        <v>7178</v>
      </c>
      <c r="D493" s="547">
        <v>16.477945999999999</v>
      </c>
      <c r="E493" s="299">
        <v>15.67</v>
      </c>
      <c r="F493" s="299">
        <f>C493*(E493-D493)</f>
        <v>-5799.4363879999955</v>
      </c>
      <c r="G493" s="299">
        <f>IF(C493=0, 0,D493*C493)</f>
        <v>118278.696388</v>
      </c>
      <c r="H493" s="300">
        <f>IF(C493=0, D493, (E493-D493)/D493)</f>
        <v>-4.9031960658203359E-2</v>
      </c>
      <c r="I493" s="299"/>
    </row>
    <row r="494" spans="2:9" x14ac:dyDescent="0.25">
      <c r="B494" s="546">
        <v>42622</v>
      </c>
      <c r="C494" s="298">
        <v>7678</v>
      </c>
      <c r="D494" s="547">
        <v>16.430541999999999</v>
      </c>
      <c r="E494" s="299">
        <v>15.67</v>
      </c>
      <c r="F494" s="299">
        <f t="shared" ref="F494:F500" si="94">C494*(E494-D494)</f>
        <v>-5839.4414759999936</v>
      </c>
      <c r="G494" s="299">
        <f t="shared" ref="G494:G500" si="95">IF(C494=0, 0,D494*C494)</f>
        <v>126153.70147599999</v>
      </c>
      <c r="H494" s="300">
        <f t="shared" ref="H494:H500" si="96">IF(C494=0, D494, (E494-D494)/D494)</f>
        <v>-4.6288308687564853E-2</v>
      </c>
      <c r="I494" s="299">
        <v>16.350000000000001</v>
      </c>
    </row>
    <row r="495" spans="2:9" x14ac:dyDescent="0.25">
      <c r="B495" s="546">
        <v>42625</v>
      </c>
      <c r="C495" s="319">
        <v>7678</v>
      </c>
      <c r="D495" s="548">
        <v>16.412330000000001</v>
      </c>
      <c r="E495" s="299">
        <v>15.47</v>
      </c>
      <c r="F495" s="299">
        <f t="shared" si="94"/>
        <v>-7235.2097400000011</v>
      </c>
      <c r="G495" s="299">
        <f t="shared" si="95"/>
        <v>126013.86974000001</v>
      </c>
      <c r="H495" s="300">
        <f t="shared" si="96"/>
        <v>-5.7415979327737135E-2</v>
      </c>
      <c r="I495" s="299"/>
    </row>
    <row r="496" spans="2:9" x14ac:dyDescent="0.25">
      <c r="B496" s="546">
        <v>42625</v>
      </c>
      <c r="C496" s="319">
        <v>7678</v>
      </c>
      <c r="D496" s="548">
        <v>16.355817999999999</v>
      </c>
      <c r="E496" s="299">
        <v>15.47</v>
      </c>
      <c r="F496" s="299">
        <f t="shared" si="94"/>
        <v>-6801.3106039999893</v>
      </c>
      <c r="G496" s="299">
        <f t="shared" si="95"/>
        <v>125579.970604</v>
      </c>
      <c r="H496" s="300">
        <f t="shared" si="96"/>
        <v>-5.4159198885680847E-2</v>
      </c>
      <c r="I496" s="299" t="s">
        <v>267</v>
      </c>
    </row>
    <row r="497" spans="2:9" x14ac:dyDescent="0.25">
      <c r="B497" s="546">
        <v>42626</v>
      </c>
      <c r="C497" s="298">
        <v>8278</v>
      </c>
      <c r="D497" s="547">
        <v>16.25066</v>
      </c>
      <c r="E497" s="299">
        <v>14.34</v>
      </c>
      <c r="F497" s="299">
        <f t="shared" si="94"/>
        <v>-15816.44348</v>
      </c>
      <c r="G497" s="299">
        <f t="shared" si="95"/>
        <v>134522.96348000001</v>
      </c>
      <c r="H497" s="301">
        <f t="shared" si="96"/>
        <v>-0.11757430159759666</v>
      </c>
      <c r="I497" s="299"/>
    </row>
    <row r="498" spans="2:9" x14ac:dyDescent="0.25">
      <c r="B498" s="546">
        <v>42626</v>
      </c>
      <c r="C498" s="298">
        <v>8678</v>
      </c>
      <c r="D498" s="547">
        <v>16.18149</v>
      </c>
      <c r="E498" s="299">
        <v>14.34</v>
      </c>
      <c r="F498" s="299">
        <f t="shared" si="94"/>
        <v>-15980.450220000002</v>
      </c>
      <c r="G498" s="299">
        <f t="shared" si="95"/>
        <v>140422.97021999999</v>
      </c>
      <c r="H498" s="301">
        <f t="shared" si="96"/>
        <v>-0.11380225183218605</v>
      </c>
      <c r="I498" s="299"/>
    </row>
    <row r="499" spans="2:9" x14ac:dyDescent="0.25">
      <c r="B499" s="546">
        <v>42626</v>
      </c>
      <c r="C499" s="298">
        <v>8978</v>
      </c>
      <c r="D499" s="547">
        <v>16.124635000000001</v>
      </c>
      <c r="E499" s="299">
        <v>14.34</v>
      </c>
      <c r="F499" s="299">
        <f t="shared" si="94"/>
        <v>-16022.453030000013</v>
      </c>
      <c r="G499" s="299">
        <f t="shared" si="95"/>
        <v>144766.97303000002</v>
      </c>
      <c r="H499" s="301">
        <f t="shared" si="96"/>
        <v>-0.11067754401882594</v>
      </c>
      <c r="I499" s="299"/>
    </row>
    <row r="500" spans="2:9" x14ac:dyDescent="0.25">
      <c r="B500" s="546">
        <v>42626</v>
      </c>
      <c r="C500" s="298">
        <v>9278</v>
      </c>
      <c r="D500" s="547">
        <v>16.064019999999999</v>
      </c>
      <c r="E500" s="299">
        <v>14.34</v>
      </c>
      <c r="F500" s="299">
        <f t="shared" si="94"/>
        <v>-15995.457559999995</v>
      </c>
      <c r="G500" s="299">
        <f t="shared" si="95"/>
        <v>149041.97756</v>
      </c>
      <c r="H500" s="301">
        <f t="shared" si="96"/>
        <v>-0.10732182853357998</v>
      </c>
      <c r="I500" s="299" t="s">
        <v>268</v>
      </c>
    </row>
    <row r="501" spans="2:9" x14ac:dyDescent="0.25">
      <c r="B501" s="546">
        <v>42627</v>
      </c>
      <c r="C501" s="298">
        <v>9478</v>
      </c>
      <c r="D501" s="547">
        <v>16.020790999999999</v>
      </c>
      <c r="E501" s="299">
        <v>14.01</v>
      </c>
      <c r="F501" s="299">
        <f t="shared" ref="F501:F508" si="97">C501*(E501-D501)</f>
        <v>-19058.277097999995</v>
      </c>
      <c r="G501" s="299">
        <f t="shared" ref="G501:G508" si="98">IF(C501=0, 0,D501*C501)</f>
        <v>151845.05709799999</v>
      </c>
      <c r="H501" s="301">
        <f t="shared" ref="H501:H508" si="99">IF(C501=0, D501, (E501-D501)/D501)</f>
        <v>-0.1255113433537707</v>
      </c>
      <c r="I501" s="299"/>
    </row>
    <row r="502" spans="2:9" x14ac:dyDescent="0.25">
      <c r="B502" s="546">
        <v>42628</v>
      </c>
      <c r="C502" s="298">
        <v>9478</v>
      </c>
      <c r="D502" s="547">
        <v>16.015726999999998</v>
      </c>
      <c r="E502" s="299">
        <v>14.26</v>
      </c>
      <c r="F502" s="299">
        <f t="shared" si="97"/>
        <v>-16640.780505999985</v>
      </c>
      <c r="G502" s="299">
        <f t="shared" si="98"/>
        <v>151797.06050599998</v>
      </c>
      <c r="H502" s="301">
        <f t="shared" si="99"/>
        <v>-0.1096251827968845</v>
      </c>
      <c r="I502" s="299"/>
    </row>
    <row r="503" spans="2:9" x14ac:dyDescent="0.25">
      <c r="B503" s="546">
        <v>42629</v>
      </c>
      <c r="C503" s="298">
        <v>9478</v>
      </c>
      <c r="D503" s="547">
        <v>16.015726999999998</v>
      </c>
      <c r="E503" s="299">
        <v>14.24</v>
      </c>
      <c r="F503" s="299">
        <f t="shared" si="97"/>
        <v>-16830.340505999982</v>
      </c>
      <c r="G503" s="299">
        <f t="shared" si="98"/>
        <v>151797.06050599998</v>
      </c>
      <c r="H503" s="301">
        <f t="shared" si="99"/>
        <v>-0.1108739553315312</v>
      </c>
      <c r="I503" s="299"/>
    </row>
    <row r="504" spans="2:9" x14ac:dyDescent="0.25">
      <c r="B504" s="546">
        <v>42632</v>
      </c>
      <c r="C504" s="298">
        <v>9678</v>
      </c>
      <c r="D504" s="547">
        <v>15.975311</v>
      </c>
      <c r="E504" s="299">
        <v>14.09</v>
      </c>
      <c r="F504" s="299">
        <f t="shared" si="97"/>
        <v>-18246.039857999996</v>
      </c>
      <c r="G504" s="299">
        <f t="shared" si="98"/>
        <v>154609.05985799999</v>
      </c>
      <c r="H504" s="300">
        <f t="shared" si="99"/>
        <v>-0.11801404054043141</v>
      </c>
      <c r="I504" s="299"/>
    </row>
    <row r="505" spans="2:9" x14ac:dyDescent="0.25">
      <c r="B505" s="546">
        <v>42633</v>
      </c>
      <c r="C505" s="298">
        <v>9878</v>
      </c>
      <c r="D505" s="547">
        <v>15.937544000000001</v>
      </c>
      <c r="E505" s="299">
        <v>13.87</v>
      </c>
      <c r="F505" s="299">
        <f t="shared" si="97"/>
        <v>-20423.199632000014</v>
      </c>
      <c r="G505" s="299">
        <f t="shared" si="98"/>
        <v>157431.05963200002</v>
      </c>
      <c r="H505" s="300">
        <f t="shared" si="99"/>
        <v>-0.12972789282966068</v>
      </c>
      <c r="I505" s="299"/>
    </row>
    <row r="506" spans="2:9" x14ac:dyDescent="0.25">
      <c r="B506" s="546">
        <v>42633</v>
      </c>
      <c r="C506" s="298">
        <v>10000</v>
      </c>
      <c r="D506" s="547">
        <v>15.915126000000001</v>
      </c>
      <c r="E506" s="299">
        <v>13.87</v>
      </c>
      <c r="F506" s="299">
        <f t="shared" si="97"/>
        <v>-20451.260000000017</v>
      </c>
      <c r="G506" s="299">
        <f t="shared" si="98"/>
        <v>159151.26</v>
      </c>
      <c r="H506" s="300">
        <f t="shared" si="99"/>
        <v>-0.12850203008132022</v>
      </c>
      <c r="I506" s="299"/>
    </row>
    <row r="507" spans="2:9" x14ac:dyDescent="0.25">
      <c r="B507" s="546">
        <v>42634</v>
      </c>
      <c r="C507" s="298">
        <v>9678</v>
      </c>
      <c r="D507" s="547">
        <v>15.969538999999999</v>
      </c>
      <c r="E507" s="299">
        <v>14.65</v>
      </c>
      <c r="F507" s="299">
        <f t="shared" si="97"/>
        <v>-12770.498441999989</v>
      </c>
      <c r="G507" s="299">
        <f t="shared" si="98"/>
        <v>154553.19844199999</v>
      </c>
      <c r="H507" s="300">
        <f t="shared" si="99"/>
        <v>-8.2628496664806608E-2</v>
      </c>
      <c r="I507" s="299"/>
    </row>
    <row r="508" spans="2:9" x14ac:dyDescent="0.25">
      <c r="B508" s="546">
        <v>42634</v>
      </c>
      <c r="C508" s="298">
        <v>9278</v>
      </c>
      <c r="D508" s="547">
        <v>16.026872999999998</v>
      </c>
      <c r="E508" s="299">
        <v>14.65</v>
      </c>
      <c r="F508" s="299">
        <f t="shared" si="97"/>
        <v>-12774.627693999981</v>
      </c>
      <c r="G508" s="299">
        <f t="shared" si="98"/>
        <v>148697.32769399998</v>
      </c>
      <c r="H508" s="300">
        <f t="shared" si="99"/>
        <v>-8.5910270830747718E-2</v>
      </c>
      <c r="I508" s="299">
        <v>16</v>
      </c>
    </row>
    <row r="509" spans="2:9" x14ac:dyDescent="0.25">
      <c r="B509" s="546">
        <v>42635</v>
      </c>
      <c r="C509" s="298">
        <v>9278</v>
      </c>
      <c r="D509" s="547">
        <v>16.026872999999998</v>
      </c>
      <c r="E509" s="299">
        <v>14.87</v>
      </c>
      <c r="F509" s="299">
        <f t="shared" ref="F509:F520" si="100">C509*(E509-D509)</f>
        <v>-10733.467693999992</v>
      </c>
      <c r="G509" s="299">
        <f t="shared" ref="G509:G520" si="101">IF(C509=0, 0,D509*C509)</f>
        <v>148697.32769399998</v>
      </c>
      <c r="H509" s="300">
        <f t="shared" ref="H509:H520" si="102">IF(C509=0, D509, (E509-D509)/D509)</f>
        <v>-7.2183326092369937E-2</v>
      </c>
      <c r="I509" s="299"/>
    </row>
    <row r="510" spans="2:9" x14ac:dyDescent="0.25">
      <c r="B510" s="546">
        <v>42636</v>
      </c>
      <c r="C510" s="298">
        <v>9478</v>
      </c>
      <c r="D510" s="547">
        <v>15.992122</v>
      </c>
      <c r="E510" s="299">
        <v>14.49</v>
      </c>
      <c r="F510" s="299">
        <f t="shared" si="100"/>
        <v>-14237.112315999999</v>
      </c>
      <c r="G510" s="299">
        <f t="shared" si="101"/>
        <v>151573.33231600001</v>
      </c>
      <c r="H510" s="300">
        <f t="shared" si="102"/>
        <v>-9.39288732289561E-2</v>
      </c>
      <c r="I510" s="299"/>
    </row>
    <row r="511" spans="2:9" x14ac:dyDescent="0.25">
      <c r="B511" s="546">
        <v>42639</v>
      </c>
      <c r="C511" s="298">
        <v>9278</v>
      </c>
      <c r="D511" s="547">
        <v>16.019549999999999</v>
      </c>
      <c r="E511" s="299">
        <v>14.41</v>
      </c>
      <c r="F511" s="299">
        <f t="shared" si="100"/>
        <v>-14933.404899999989</v>
      </c>
      <c r="G511" s="299">
        <f t="shared" si="101"/>
        <v>148629.38489999998</v>
      </c>
      <c r="H511" s="300">
        <f t="shared" si="102"/>
        <v>-0.10047410819904422</v>
      </c>
      <c r="I511" s="299">
        <v>16</v>
      </c>
    </row>
    <row r="512" spans="2:9" ht="15" customHeight="1" x14ac:dyDescent="0.25">
      <c r="B512" s="546">
        <v>42639</v>
      </c>
      <c r="C512" s="298">
        <v>9478</v>
      </c>
      <c r="D512" s="547">
        <v>15.987468</v>
      </c>
      <c r="E512" s="299">
        <v>14.41</v>
      </c>
      <c r="F512" s="299">
        <f t="shared" si="100"/>
        <v>-14951.241703999996</v>
      </c>
      <c r="G512" s="299">
        <f t="shared" si="101"/>
        <v>151529.221704</v>
      </c>
      <c r="H512" s="300">
        <f t="shared" si="102"/>
        <v>-9.8669032519721048E-2</v>
      </c>
      <c r="I512" s="299"/>
    </row>
    <row r="513" spans="2:9" x14ac:dyDescent="0.25">
      <c r="B513" s="546">
        <v>42639</v>
      </c>
      <c r="C513" s="298">
        <v>9678</v>
      </c>
      <c r="D513" s="547">
        <v>15.954266000000001</v>
      </c>
      <c r="E513" s="299">
        <v>14.41</v>
      </c>
      <c r="F513" s="299">
        <f t="shared" si="100"/>
        <v>-14945.406348000004</v>
      </c>
      <c r="G513" s="299">
        <f t="shared" si="101"/>
        <v>154405.386348</v>
      </c>
      <c r="H513" s="300">
        <f t="shared" si="102"/>
        <v>-9.6793296538994669E-2</v>
      </c>
      <c r="I513" s="299"/>
    </row>
    <row r="514" spans="2:9" x14ac:dyDescent="0.25">
      <c r="B514" s="546">
        <v>42640</v>
      </c>
      <c r="C514" s="298">
        <v>10000</v>
      </c>
      <c r="D514" s="547">
        <v>15.890373</v>
      </c>
      <c r="E514" s="299">
        <v>14.06</v>
      </c>
      <c r="F514" s="299">
        <f t="shared" si="100"/>
        <v>-18303.73</v>
      </c>
      <c r="G514" s="299">
        <f t="shared" si="101"/>
        <v>158903.73000000001</v>
      </c>
      <c r="H514" s="300">
        <f t="shared" si="102"/>
        <v>-0.11518754153851517</v>
      </c>
      <c r="I514" s="299"/>
    </row>
    <row r="515" spans="2:9" x14ac:dyDescent="0.25">
      <c r="B515" s="546">
        <v>42641</v>
      </c>
      <c r="C515" s="298">
        <v>9278</v>
      </c>
      <c r="D515" s="547">
        <v>15.968</v>
      </c>
      <c r="E515" s="299">
        <v>15.18</v>
      </c>
      <c r="F515" s="299">
        <f t="shared" si="100"/>
        <v>-7311.0640000000021</v>
      </c>
      <c r="G515" s="299">
        <f t="shared" si="101"/>
        <v>148151.10399999999</v>
      </c>
      <c r="H515" s="300">
        <f t="shared" si="102"/>
        <v>-4.9348697394789594E-2</v>
      </c>
      <c r="I515" s="299" t="s">
        <v>279</v>
      </c>
    </row>
    <row r="516" spans="2:9" x14ac:dyDescent="0.25">
      <c r="B516" s="546">
        <v>42641</v>
      </c>
      <c r="C516" s="298">
        <v>8978</v>
      </c>
      <c r="D516" s="547">
        <v>15.991466000000001</v>
      </c>
      <c r="E516" s="299">
        <v>15.18</v>
      </c>
      <c r="F516" s="299">
        <f t="shared" si="100"/>
        <v>-7285.3417480000098</v>
      </c>
      <c r="G516" s="299">
        <f t="shared" si="101"/>
        <v>143571.38174800001</v>
      </c>
      <c r="H516" s="300">
        <f t="shared" si="102"/>
        <v>-5.0743690415875634E-2</v>
      </c>
      <c r="I516" s="299"/>
    </row>
    <row r="517" spans="2:9" x14ac:dyDescent="0.25">
      <c r="B517" s="546">
        <v>42642</v>
      </c>
      <c r="C517" s="298">
        <v>8678</v>
      </c>
      <c r="D517" s="547">
        <v>16.016100000000002</v>
      </c>
      <c r="E517" s="299">
        <v>15.9</v>
      </c>
      <c r="F517" s="299">
        <f t="shared" si="100"/>
        <v>-1007.5158000000105</v>
      </c>
      <c r="G517" s="299">
        <f t="shared" si="101"/>
        <v>138987.71580000001</v>
      </c>
      <c r="H517" s="300">
        <f t="shared" si="102"/>
        <v>-7.2489557382884214E-3</v>
      </c>
      <c r="I517" s="299"/>
    </row>
    <row r="518" spans="2:9" x14ac:dyDescent="0.25">
      <c r="B518" s="546">
        <v>42642</v>
      </c>
      <c r="C518" s="298">
        <v>7978</v>
      </c>
      <c r="D518" s="547">
        <v>16.036825</v>
      </c>
      <c r="E518" s="299">
        <v>15.9</v>
      </c>
      <c r="F518" s="299">
        <f t="shared" si="100"/>
        <v>-1091.5898499999998</v>
      </c>
      <c r="G518" s="299">
        <f t="shared" si="101"/>
        <v>127941.78985</v>
      </c>
      <c r="H518" s="300">
        <f t="shared" si="102"/>
        <v>-8.5319257396648009E-3</v>
      </c>
      <c r="I518" s="299"/>
    </row>
    <row r="519" spans="2:9" x14ac:dyDescent="0.25">
      <c r="B519" s="546">
        <v>42642</v>
      </c>
      <c r="C519" s="298">
        <v>7764</v>
      </c>
      <c r="D519" s="547">
        <v>16.038399999999999</v>
      </c>
      <c r="E519" s="299">
        <v>15.9</v>
      </c>
      <c r="F519" s="299">
        <f t="shared" si="100"/>
        <v>-1074.5375999999919</v>
      </c>
      <c r="G519" s="299">
        <f t="shared" si="101"/>
        <v>124522.1376</v>
      </c>
      <c r="H519" s="300">
        <f t="shared" si="102"/>
        <v>-8.6292897047086353E-3</v>
      </c>
      <c r="I519" s="299"/>
    </row>
    <row r="520" spans="2:9" x14ac:dyDescent="0.25">
      <c r="B520" s="546">
        <v>42642</v>
      </c>
      <c r="C520" s="298">
        <v>8178</v>
      </c>
      <c r="D520" s="547">
        <v>16.019235999999999</v>
      </c>
      <c r="E520" s="299">
        <v>15.9</v>
      </c>
      <c r="F520" s="299">
        <f t="shared" si="100"/>
        <v>-975.11200799999187</v>
      </c>
      <c r="G520" s="299">
        <f t="shared" si="101"/>
        <v>131005.31200799999</v>
      </c>
      <c r="H520" s="300">
        <f t="shared" si="102"/>
        <v>-7.4433012910228059E-3</v>
      </c>
      <c r="I520" s="299" t="s">
        <v>280</v>
      </c>
    </row>
    <row r="521" spans="2:9" x14ac:dyDescent="0.25">
      <c r="B521" s="546">
        <v>42643</v>
      </c>
      <c r="C521" s="298">
        <v>8178</v>
      </c>
      <c r="D521" s="547">
        <v>16.019235999999999</v>
      </c>
      <c r="E521" s="299">
        <v>15.81</v>
      </c>
      <c r="F521" s="299">
        <f>C521*(E521-D521)</f>
        <v>-1711.1320079999907</v>
      </c>
      <c r="G521" s="299">
        <f>IF(C521=0, 0,D521*C521)</f>
        <v>131005.31200799999</v>
      </c>
      <c r="H521" s="300">
        <f>IF(C521=0, D521, (E521-D521)/D521)</f>
        <v>-1.3061546755413234E-2</v>
      </c>
      <c r="I521" s="299"/>
    </row>
    <row r="522" spans="2:9" x14ac:dyDescent="0.25">
      <c r="B522" s="546">
        <v>42646</v>
      </c>
      <c r="C522" s="298">
        <v>8178</v>
      </c>
      <c r="D522" s="547">
        <v>16.019235999999999</v>
      </c>
      <c r="E522" s="299">
        <v>15.98</v>
      </c>
      <c r="F522" s="299">
        <f t="shared" ref="F522:F531" si="103">C522*(E522-D522)</f>
        <v>-320.8720079999913</v>
      </c>
      <c r="G522" s="299">
        <f t="shared" ref="G522:G531" si="104">IF(C522=0, 0,D522*C522)</f>
        <v>131005.31200799999</v>
      </c>
      <c r="H522" s="300">
        <f t="shared" ref="H522:H531" si="105">IF(C522=0, D522, (E522-D522)/D522)</f>
        <v>-2.4493053226757469E-3</v>
      </c>
      <c r="I522" s="299"/>
    </row>
    <row r="523" spans="2:9" x14ac:dyDescent="0.25">
      <c r="B523" s="546">
        <v>42647</v>
      </c>
      <c r="C523" s="298">
        <v>8678</v>
      </c>
      <c r="D523" s="547">
        <v>16.010061</v>
      </c>
      <c r="E523" s="299">
        <v>15.63</v>
      </c>
      <c r="F523" s="299">
        <f t="shared" si="103"/>
        <v>-3298.169357999996</v>
      </c>
      <c r="G523" s="299">
        <f t="shared" si="104"/>
        <v>138935.309358</v>
      </c>
      <c r="H523" s="300">
        <f t="shared" si="105"/>
        <v>-2.3738885192255015E-2</v>
      </c>
      <c r="I523" s="299"/>
    </row>
    <row r="524" spans="2:9" x14ac:dyDescent="0.25">
      <c r="B524" s="546">
        <v>42647</v>
      </c>
      <c r="C524" s="298">
        <v>9178</v>
      </c>
      <c r="D524" s="547">
        <v>15.988811</v>
      </c>
      <c r="E524" s="299">
        <v>15.63</v>
      </c>
      <c r="F524" s="299">
        <f t="shared" si="103"/>
        <v>-3293.1673579999938</v>
      </c>
      <c r="G524" s="299">
        <f t="shared" si="104"/>
        <v>146745.30735799999</v>
      </c>
      <c r="H524" s="300">
        <f t="shared" si="105"/>
        <v>-2.2441381038277287E-2</v>
      </c>
      <c r="I524" s="299"/>
    </row>
    <row r="525" spans="2:9" x14ac:dyDescent="0.25">
      <c r="B525" s="546">
        <v>42648</v>
      </c>
      <c r="C525" s="298">
        <v>8178</v>
      </c>
      <c r="D525" s="547">
        <v>15.977725</v>
      </c>
      <c r="E525" s="299">
        <v>16.12</v>
      </c>
      <c r="F525" s="299">
        <f t="shared" si="103"/>
        <v>1163.524950000012</v>
      </c>
      <c r="G525" s="299">
        <f t="shared" si="104"/>
        <v>130665.83504999999</v>
      </c>
      <c r="H525" s="300">
        <f t="shared" si="105"/>
        <v>8.904584351026288E-3</v>
      </c>
      <c r="I525" s="299">
        <v>15.75</v>
      </c>
    </row>
    <row r="526" spans="2:9" x14ac:dyDescent="0.25">
      <c r="B526" s="546">
        <v>42648</v>
      </c>
      <c r="C526" s="319">
        <v>7678</v>
      </c>
      <c r="D526" s="548">
        <v>15.951529000000001</v>
      </c>
      <c r="E526" s="299">
        <v>16.12</v>
      </c>
      <c r="F526" s="299">
        <f t="shared" si="103"/>
        <v>1293.5203380000021</v>
      </c>
      <c r="G526" s="299">
        <f t="shared" si="104"/>
        <v>122475.839662</v>
      </c>
      <c r="H526" s="300">
        <f t="shared" si="105"/>
        <v>1.0561432700275958E-2</v>
      </c>
      <c r="I526" s="299" t="s">
        <v>284</v>
      </c>
    </row>
    <row r="527" spans="2:9" x14ac:dyDescent="0.25">
      <c r="B527" s="546">
        <v>42649</v>
      </c>
      <c r="C527" s="298">
        <v>8678</v>
      </c>
      <c r="D527" s="547">
        <v>15.941579000000001</v>
      </c>
      <c r="E527" s="299">
        <v>16.079999999999998</v>
      </c>
      <c r="F527" s="299">
        <f t="shared" si="103"/>
        <v>1201.2174379999781</v>
      </c>
      <c r="G527" s="299">
        <f t="shared" si="104"/>
        <v>138341.022562</v>
      </c>
      <c r="H527" s="300">
        <f t="shared" si="105"/>
        <v>8.683016908174369E-3</v>
      </c>
      <c r="I527" s="299"/>
    </row>
    <row r="528" spans="2:9" x14ac:dyDescent="0.25">
      <c r="B528" s="546">
        <v>42650</v>
      </c>
      <c r="C528" s="298">
        <v>8978</v>
      </c>
      <c r="D528" s="547">
        <v>15.935176999999999</v>
      </c>
      <c r="E528" s="299">
        <v>15.56</v>
      </c>
      <c r="F528" s="299">
        <f t="shared" si="103"/>
        <v>-3368.3391059999908</v>
      </c>
      <c r="G528" s="299">
        <f t="shared" si="104"/>
        <v>143066.01910599999</v>
      </c>
      <c r="H528" s="300">
        <f t="shared" si="105"/>
        <v>-2.354394933925108E-2</v>
      </c>
      <c r="I528" s="299"/>
    </row>
    <row r="529" spans="2:9" x14ac:dyDescent="0.25">
      <c r="B529" s="546">
        <v>42650</v>
      </c>
      <c r="C529" s="298">
        <v>9278</v>
      </c>
      <c r="D529" s="547">
        <v>15.923692000000001</v>
      </c>
      <c r="E529" s="299">
        <v>15.56</v>
      </c>
      <c r="F529" s="299">
        <f t="shared" si="103"/>
        <v>-3374.3343760000034</v>
      </c>
      <c r="G529" s="299">
        <f t="shared" si="104"/>
        <v>147740.01437600001</v>
      </c>
      <c r="H529" s="300">
        <f t="shared" si="105"/>
        <v>-2.2839678134945106E-2</v>
      </c>
      <c r="I529" s="299">
        <v>15.8</v>
      </c>
    </row>
    <row r="530" spans="2:9" x14ac:dyDescent="0.25">
      <c r="B530" s="546">
        <v>42653</v>
      </c>
      <c r="C530" s="319">
        <v>9678</v>
      </c>
      <c r="D530" s="548">
        <v>15.9153</v>
      </c>
      <c r="E530" s="299">
        <v>15.72</v>
      </c>
      <c r="F530" s="299">
        <f t="shared" si="103"/>
        <v>-1890.1133999999961</v>
      </c>
      <c r="G530" s="299">
        <f t="shared" si="104"/>
        <v>154028.27340000001</v>
      </c>
      <c r="H530" s="300">
        <f t="shared" si="105"/>
        <v>-1.2271210721758281E-2</v>
      </c>
      <c r="I530" s="299"/>
    </row>
    <row r="531" spans="2:9" x14ac:dyDescent="0.25">
      <c r="B531" s="546">
        <v>42661</v>
      </c>
      <c r="C531" s="319">
        <v>10000</v>
      </c>
      <c r="D531" s="548">
        <v>15.901258</v>
      </c>
      <c r="E531" s="299">
        <v>14.2</v>
      </c>
      <c r="F531" s="299">
        <f t="shared" si="103"/>
        <v>-17012.580000000009</v>
      </c>
      <c r="G531" s="299">
        <f t="shared" si="104"/>
        <v>159012.58000000002</v>
      </c>
      <c r="H531" s="300">
        <f t="shared" si="105"/>
        <v>-0.10698889358313669</v>
      </c>
      <c r="I531" s="299"/>
    </row>
    <row r="532" spans="2:9" x14ac:dyDescent="0.25">
      <c r="B532" s="546">
        <v>42663</v>
      </c>
      <c r="C532" s="298">
        <v>10000</v>
      </c>
      <c r="D532" s="547">
        <v>15.901258</v>
      </c>
      <c r="E532" s="299">
        <v>14.7</v>
      </c>
      <c r="F532" s="299">
        <f>C532*(E532-D532)</f>
        <v>-12012.580000000011</v>
      </c>
      <c r="G532" s="299">
        <f>IF(C532=0, 0,D532*C532)</f>
        <v>159012.58000000002</v>
      </c>
      <c r="H532" s="301">
        <f>IF(C532=0, D532, (E532-D532)/D532)</f>
        <v>-7.5544840540289399E-2</v>
      </c>
      <c r="I532" s="299"/>
    </row>
    <row r="533" spans="2:9" x14ac:dyDescent="0.25">
      <c r="B533" s="546">
        <v>42668</v>
      </c>
      <c r="C533" s="298">
        <v>11000</v>
      </c>
      <c r="D533" s="547">
        <v>15.74728</v>
      </c>
      <c r="E533" s="299">
        <v>14.18</v>
      </c>
      <c r="F533" s="299">
        <f>C533*(E533-D533)</f>
        <v>-17240.080000000002</v>
      </c>
      <c r="G533" s="299">
        <f>IF(C533=0, 0,D533*C533)</f>
        <v>173220.08</v>
      </c>
      <c r="H533" s="301">
        <f>IF(C533=0, D533, (E533-D533)/D533)</f>
        <v>-9.9527029429844413E-2</v>
      </c>
      <c r="I533" s="299"/>
    </row>
    <row r="534" spans="2:9" x14ac:dyDescent="0.25">
      <c r="B534" s="546">
        <v>42670</v>
      </c>
      <c r="C534" s="298">
        <v>11500</v>
      </c>
      <c r="D534" s="547">
        <v>15.679137000000001</v>
      </c>
      <c r="E534" s="299">
        <v>13.95</v>
      </c>
      <c r="F534" s="299">
        <f>C534*(E534-D534)</f>
        <v>-19885.075500000017</v>
      </c>
      <c r="G534" s="299">
        <f>IF(C534=0, 0,D534*C534)</f>
        <v>180310.07550000001</v>
      </c>
      <c r="H534" s="301">
        <f>IF(C534=0, D534, (E534-D534)/D534)</f>
        <v>-0.11028266415428357</v>
      </c>
      <c r="I534" s="299"/>
    </row>
    <row r="535" spans="2:9" x14ac:dyDescent="0.25">
      <c r="B535" s="546">
        <v>42670</v>
      </c>
      <c r="C535" s="298">
        <v>12000</v>
      </c>
      <c r="D535" s="547">
        <v>15.6113</v>
      </c>
      <c r="E535" s="299">
        <v>13.95</v>
      </c>
      <c r="F535" s="299">
        <f t="shared" ref="F535:F542" si="106">C535*(E535-D535)</f>
        <v>-19935.600000000009</v>
      </c>
      <c r="G535" s="299">
        <f t="shared" ref="G535:G542" si="107">IF(C535=0, 0,D535*C535)</f>
        <v>187335.6</v>
      </c>
      <c r="H535" s="301">
        <f t="shared" ref="H535:H542" si="108">IF(C535=0, D535, (E535-D535)/D535)</f>
        <v>-0.10641650599245422</v>
      </c>
      <c r="I535" s="299"/>
    </row>
    <row r="536" spans="2:9" x14ac:dyDescent="0.25">
      <c r="B536" s="546">
        <v>42670</v>
      </c>
      <c r="C536" s="298">
        <v>12500</v>
      </c>
      <c r="D536" s="547">
        <v>15.542006000000001</v>
      </c>
      <c r="E536" s="299">
        <v>13.95</v>
      </c>
      <c r="F536" s="299">
        <f t="shared" si="106"/>
        <v>-19900.075000000015</v>
      </c>
      <c r="G536" s="299">
        <f t="shared" si="107"/>
        <v>194275.07500000001</v>
      </c>
      <c r="H536" s="301">
        <f t="shared" si="108"/>
        <v>-0.10243246592492637</v>
      </c>
      <c r="I536" s="299"/>
    </row>
    <row r="537" spans="2:9" x14ac:dyDescent="0.25">
      <c r="B537" s="546">
        <v>42671</v>
      </c>
      <c r="C537" s="298">
        <v>12500</v>
      </c>
      <c r="D537" s="547">
        <v>15.536431</v>
      </c>
      <c r="E537" s="299">
        <v>13.72</v>
      </c>
      <c r="F537" s="299">
        <f t="shared" si="106"/>
        <v>-22705.387499999997</v>
      </c>
      <c r="G537" s="299">
        <f t="shared" si="107"/>
        <v>194205.38750000001</v>
      </c>
      <c r="H537" s="301">
        <f t="shared" si="108"/>
        <v>-0.11691430290521676</v>
      </c>
      <c r="I537" s="299"/>
    </row>
    <row r="538" spans="2:9" x14ac:dyDescent="0.25">
      <c r="B538" s="546">
        <v>42674</v>
      </c>
      <c r="C538" s="298">
        <v>12500</v>
      </c>
      <c r="D538" s="547">
        <v>15.5313</v>
      </c>
      <c r="E538" s="299">
        <v>13.18</v>
      </c>
      <c r="F538" s="299">
        <f t="shared" si="106"/>
        <v>-29391.250000000004</v>
      </c>
      <c r="G538" s="299">
        <f t="shared" si="107"/>
        <v>194141.25</v>
      </c>
      <c r="H538" s="301">
        <f t="shared" si="108"/>
        <v>-0.15139106192012261</v>
      </c>
      <c r="I538" s="299"/>
    </row>
    <row r="539" spans="2:9" x14ac:dyDescent="0.25">
      <c r="B539" s="546">
        <v>42676</v>
      </c>
      <c r="C539" s="298">
        <v>12500</v>
      </c>
      <c r="D539" s="547">
        <v>15.528746</v>
      </c>
      <c r="E539" s="299">
        <v>12.78</v>
      </c>
      <c r="F539" s="299">
        <f t="shared" si="106"/>
        <v>-34359.325000000004</v>
      </c>
      <c r="G539" s="299">
        <f t="shared" si="107"/>
        <v>194109.32500000001</v>
      </c>
      <c r="H539" s="300">
        <f t="shared" si="108"/>
        <v>-0.17701017197396368</v>
      </c>
      <c r="I539" s="299"/>
    </row>
    <row r="540" spans="2:9" x14ac:dyDescent="0.25">
      <c r="B540" s="546">
        <v>42677</v>
      </c>
      <c r="C540" s="298">
        <v>10000</v>
      </c>
      <c r="D540" s="547">
        <v>15.813000000000001</v>
      </c>
      <c r="E540" s="299">
        <v>14.15</v>
      </c>
      <c r="F540" s="299">
        <f t="shared" si="106"/>
        <v>-16630.000000000004</v>
      </c>
      <c r="G540" s="299">
        <f t="shared" si="107"/>
        <v>158130</v>
      </c>
      <c r="H540" s="300">
        <f t="shared" si="108"/>
        <v>-0.10516663504711314</v>
      </c>
      <c r="I540" s="299"/>
    </row>
    <row r="541" spans="2:9" x14ac:dyDescent="0.25">
      <c r="B541" s="546">
        <v>42678</v>
      </c>
      <c r="C541" s="298">
        <v>11000</v>
      </c>
      <c r="D541" s="547">
        <v>15.62</v>
      </c>
      <c r="E541" s="299">
        <v>13.69</v>
      </c>
      <c r="F541" s="299">
        <f t="shared" si="106"/>
        <v>-21229.999999999996</v>
      </c>
      <c r="G541" s="299">
        <f t="shared" si="107"/>
        <v>171820</v>
      </c>
      <c r="H541" s="300">
        <f t="shared" si="108"/>
        <v>-0.12355953905249678</v>
      </c>
      <c r="I541" s="299"/>
    </row>
    <row r="542" spans="2:9" x14ac:dyDescent="0.25">
      <c r="B542" s="546">
        <v>42701</v>
      </c>
      <c r="C542" s="298">
        <v>7678</v>
      </c>
      <c r="D542" s="547">
        <v>15.484220000000001</v>
      </c>
      <c r="E542" s="299">
        <v>16.28</v>
      </c>
      <c r="F542" s="299">
        <f t="shared" si="106"/>
        <v>6109.9988400000047</v>
      </c>
      <c r="G542" s="299">
        <f t="shared" si="107"/>
        <v>118887.84116000001</v>
      </c>
      <c r="H542" s="300">
        <f t="shared" si="108"/>
        <v>5.1392966516879801E-2</v>
      </c>
      <c r="I542" s="299" t="s">
        <v>295</v>
      </c>
    </row>
    <row r="543" spans="2:9" x14ac:dyDescent="0.25">
      <c r="B543" s="546">
        <v>42702</v>
      </c>
      <c r="C543" s="298">
        <v>8178</v>
      </c>
      <c r="D543" s="547">
        <v>15.519399999999999</v>
      </c>
      <c r="E543" s="299">
        <v>15.62</v>
      </c>
      <c r="F543" s="299">
        <f t="shared" ref="F543:F560" si="109">C543*(E543-D543)</f>
        <v>822.70680000000016</v>
      </c>
      <c r="G543" s="299">
        <f t="shared" ref="G543:G560" si="110">IF(C543=0, 0,D543*C543)</f>
        <v>126917.6532</v>
      </c>
      <c r="H543" s="300">
        <f t="shared" ref="H543:H560" si="111">IF(C543=0, D543, (E543-D543)/D543)</f>
        <v>6.4822093637640649E-3</v>
      </c>
      <c r="I543" s="299" t="s">
        <v>299</v>
      </c>
    </row>
    <row r="544" spans="2:9" x14ac:dyDescent="0.25">
      <c r="B544" s="546">
        <v>42702</v>
      </c>
      <c r="C544" s="298">
        <v>8678</v>
      </c>
      <c r="D544" s="547">
        <v>15.5304</v>
      </c>
      <c r="E544" s="299">
        <v>15.54</v>
      </c>
      <c r="F544" s="299">
        <f t="shared" si="109"/>
        <v>83.308799999990825</v>
      </c>
      <c r="G544" s="299">
        <f t="shared" si="110"/>
        <v>134772.8112</v>
      </c>
      <c r="H544" s="300">
        <f t="shared" si="111"/>
        <v>6.1814248184199655E-4</v>
      </c>
      <c r="I544" s="299"/>
    </row>
    <row r="545" spans="1:10" x14ac:dyDescent="0.25">
      <c r="B545" s="546">
        <v>42703</v>
      </c>
      <c r="C545" s="298">
        <v>8978</v>
      </c>
      <c r="D545" s="547">
        <v>15.5053</v>
      </c>
      <c r="E545" s="299">
        <v>14.95</v>
      </c>
      <c r="F545" s="299">
        <f t="shared" si="109"/>
        <v>-4985.4834000000074</v>
      </c>
      <c r="G545" s="299">
        <f t="shared" si="110"/>
        <v>139206.5834</v>
      </c>
      <c r="H545" s="300">
        <f t="shared" si="111"/>
        <v>-3.5813560524465882E-2</v>
      </c>
      <c r="I545" s="299"/>
    </row>
    <row r="546" spans="1:10" x14ac:dyDescent="0.25">
      <c r="B546" s="546">
        <v>42704</v>
      </c>
      <c r="C546" s="298">
        <v>5178</v>
      </c>
      <c r="D546" s="547">
        <v>14.3947</v>
      </c>
      <c r="E546" s="299">
        <v>18.059999999999999</v>
      </c>
      <c r="F546" s="299">
        <f t="shared" si="109"/>
        <v>18978.923399999992</v>
      </c>
      <c r="G546" s="299">
        <f t="shared" si="110"/>
        <v>74535.756600000008</v>
      </c>
      <c r="H546" s="300">
        <f t="shared" si="111"/>
        <v>0.25462843963403187</v>
      </c>
      <c r="I546" s="299"/>
    </row>
    <row r="547" spans="1:10" x14ac:dyDescent="0.25">
      <c r="B547" s="546">
        <v>42705</v>
      </c>
      <c r="C547" s="298">
        <v>4678</v>
      </c>
      <c r="D547" s="547">
        <v>13.905799999999999</v>
      </c>
      <c r="E547" s="299">
        <v>17.89</v>
      </c>
      <c r="F547" s="299">
        <f t="shared" si="109"/>
        <v>18638.087600000006</v>
      </c>
      <c r="G547" s="299">
        <f t="shared" si="110"/>
        <v>65051.332399999999</v>
      </c>
      <c r="H547" s="300">
        <f t="shared" si="111"/>
        <v>0.28651354111234173</v>
      </c>
      <c r="I547" s="299"/>
    </row>
    <row r="548" spans="1:10" x14ac:dyDescent="0.25">
      <c r="B548" s="546">
        <v>42705</v>
      </c>
      <c r="C548" s="298">
        <v>5000</v>
      </c>
      <c r="D548" s="547">
        <v>14.1645</v>
      </c>
      <c r="E548" s="299">
        <v>17.89</v>
      </c>
      <c r="F548" s="299">
        <f t="shared" si="109"/>
        <v>18627.5</v>
      </c>
      <c r="G548" s="299">
        <f t="shared" si="110"/>
        <v>70822.5</v>
      </c>
      <c r="H548" s="300">
        <f t="shared" si="111"/>
        <v>0.2630166966712556</v>
      </c>
      <c r="I548" s="299"/>
    </row>
    <row r="549" spans="1:10" x14ac:dyDescent="0.25">
      <c r="B549" s="546">
        <v>42708</v>
      </c>
      <c r="C549" s="298">
        <v>5000</v>
      </c>
      <c r="D549" s="547">
        <v>14.1645</v>
      </c>
      <c r="E549" s="299">
        <v>18.2</v>
      </c>
      <c r="F549" s="299">
        <f t="shared" si="109"/>
        <v>20177.499999999996</v>
      </c>
      <c r="G549" s="299">
        <f t="shared" si="110"/>
        <v>70822.5</v>
      </c>
      <c r="H549" s="300">
        <f t="shared" si="111"/>
        <v>0.28490239683716323</v>
      </c>
      <c r="I549" s="299"/>
    </row>
    <row r="550" spans="1:10" x14ac:dyDescent="0.25">
      <c r="B550" s="546">
        <v>42711</v>
      </c>
      <c r="C550" s="298">
        <v>5000</v>
      </c>
      <c r="D550" s="547">
        <v>14.143514</v>
      </c>
      <c r="E550" s="299">
        <v>18.420000000000002</v>
      </c>
      <c r="F550" s="299">
        <f t="shared" si="109"/>
        <v>21382.430000000011</v>
      </c>
      <c r="G550" s="299">
        <f t="shared" si="110"/>
        <v>70717.569999999992</v>
      </c>
      <c r="H550" s="300">
        <f t="shared" si="111"/>
        <v>0.3023637548631834</v>
      </c>
      <c r="I550" s="299"/>
    </row>
    <row r="551" spans="1:10" x14ac:dyDescent="0.25">
      <c r="B551" s="546">
        <v>42713</v>
      </c>
      <c r="C551" s="298">
        <v>5000</v>
      </c>
      <c r="D551" s="547">
        <v>14.127554</v>
      </c>
      <c r="E551" s="299">
        <v>18.25</v>
      </c>
      <c r="F551" s="299">
        <f t="shared" si="109"/>
        <v>20612.23</v>
      </c>
      <c r="G551" s="299">
        <f t="shared" si="110"/>
        <v>70637.77</v>
      </c>
      <c r="H551" s="300">
        <f t="shared" si="111"/>
        <v>0.29180182216964096</v>
      </c>
      <c r="I551" s="299"/>
    </row>
    <row r="552" spans="1:10" x14ac:dyDescent="0.25">
      <c r="B552" s="546">
        <v>42716</v>
      </c>
      <c r="C552" s="298">
        <v>5000</v>
      </c>
      <c r="D552" s="547">
        <v>14.0276</v>
      </c>
      <c r="E552" s="299">
        <v>18.489999999999998</v>
      </c>
      <c r="F552" s="299">
        <f t="shared" si="109"/>
        <v>22311.999999999993</v>
      </c>
      <c r="G552" s="299">
        <f t="shared" si="110"/>
        <v>70138</v>
      </c>
      <c r="H552" s="300">
        <f t="shared" si="111"/>
        <v>0.3181157147338104</v>
      </c>
      <c r="I552" s="299" t="s">
        <v>184</v>
      </c>
    </row>
    <row r="553" spans="1:10" x14ac:dyDescent="0.25">
      <c r="B553" s="546">
        <v>42718</v>
      </c>
      <c r="C553" s="298">
        <v>5000</v>
      </c>
      <c r="D553" s="547">
        <v>14.025399999999999</v>
      </c>
      <c r="E553" s="299">
        <v>18.2</v>
      </c>
      <c r="F553" s="299">
        <f t="shared" si="109"/>
        <v>20873</v>
      </c>
      <c r="G553" s="299">
        <f t="shared" si="110"/>
        <v>70127</v>
      </c>
      <c r="H553" s="300">
        <f t="shared" si="111"/>
        <v>0.29764569994438661</v>
      </c>
      <c r="I553" s="299">
        <v>13.8</v>
      </c>
    </row>
    <row r="554" spans="1:10" x14ac:dyDescent="0.25">
      <c r="B554" s="546">
        <v>42726</v>
      </c>
      <c r="C554" s="298">
        <v>5000</v>
      </c>
      <c r="D554" s="547">
        <v>14.025399999999999</v>
      </c>
      <c r="E554" s="299">
        <v>18.04</v>
      </c>
      <c r="F554" s="299">
        <f t="shared" si="109"/>
        <v>20073</v>
      </c>
      <c r="G554" s="299">
        <f t="shared" si="110"/>
        <v>70127</v>
      </c>
      <c r="H554" s="300">
        <f t="shared" si="111"/>
        <v>0.28623782565916123</v>
      </c>
      <c r="I554" s="299"/>
    </row>
    <row r="555" spans="1:10" x14ac:dyDescent="0.25">
      <c r="B555" s="546">
        <v>42733</v>
      </c>
      <c r="C555" s="298">
        <v>6000</v>
      </c>
      <c r="D555" s="547">
        <v>14.627558000000001</v>
      </c>
      <c r="E555" s="299">
        <v>17.57</v>
      </c>
      <c r="F555" s="377">
        <f t="shared" si="109"/>
        <v>17654.651999999998</v>
      </c>
      <c r="G555" s="299">
        <f t="shared" si="110"/>
        <v>87765.347999999998</v>
      </c>
      <c r="H555" s="301">
        <f t="shared" si="111"/>
        <v>0.20115743174629694</v>
      </c>
      <c r="I555" s="299"/>
      <c r="J555" s="3"/>
    </row>
    <row r="556" spans="1:10" x14ac:dyDescent="0.25">
      <c r="B556" s="546">
        <v>42734</v>
      </c>
      <c r="C556" s="298">
        <v>6000</v>
      </c>
      <c r="D556" s="547">
        <v>14.562623</v>
      </c>
      <c r="E556" s="299">
        <v>17.309999999999999</v>
      </c>
      <c r="F556" s="377">
        <f t="shared" si="109"/>
        <v>16484.261999999992</v>
      </c>
      <c r="G556" s="299">
        <f t="shared" si="110"/>
        <v>87375.737999999998</v>
      </c>
      <c r="H556" s="301">
        <f t="shared" si="111"/>
        <v>0.18865948806063293</v>
      </c>
      <c r="I556" s="299"/>
    </row>
    <row r="557" spans="1:10" x14ac:dyDescent="0.25">
      <c r="B557" s="546">
        <v>42739</v>
      </c>
      <c r="C557" s="298">
        <v>5500</v>
      </c>
      <c r="D557" s="547">
        <v>14.242898</v>
      </c>
      <c r="E557" s="299">
        <v>18.05</v>
      </c>
      <c r="F557" s="377">
        <f t="shared" si="109"/>
        <v>20939.061000000002</v>
      </c>
      <c r="G557" s="299">
        <f t="shared" si="110"/>
        <v>78335.938999999998</v>
      </c>
      <c r="H557" s="301">
        <f t="shared" si="111"/>
        <v>0.26729827033796072</v>
      </c>
      <c r="I557" s="299"/>
    </row>
    <row r="558" spans="1:10" x14ac:dyDescent="0.25">
      <c r="B558" s="546">
        <v>42741</v>
      </c>
      <c r="C558" s="298">
        <v>6000</v>
      </c>
      <c r="D558" s="547">
        <v>14.54599</v>
      </c>
      <c r="E558" s="299">
        <v>17.98</v>
      </c>
      <c r="F558" s="377">
        <f t="shared" si="109"/>
        <v>20604.060000000005</v>
      </c>
      <c r="G558" s="299">
        <f t="shared" si="110"/>
        <v>87275.94</v>
      </c>
      <c r="H558" s="301">
        <f t="shared" si="111"/>
        <v>0.23607949682352322</v>
      </c>
      <c r="I558" s="299"/>
    </row>
    <row r="559" spans="1:10" x14ac:dyDescent="0.25">
      <c r="B559" s="546">
        <v>42748</v>
      </c>
      <c r="C559" s="298">
        <v>6000</v>
      </c>
      <c r="D559" s="547">
        <v>14.527687999999999</v>
      </c>
      <c r="E559" s="299">
        <v>17.46</v>
      </c>
      <c r="F559" s="377">
        <f t="shared" si="109"/>
        <v>17593.872000000007</v>
      </c>
      <c r="G559" s="299">
        <f t="shared" si="110"/>
        <v>87166.127999999997</v>
      </c>
      <c r="H559" s="301">
        <f t="shared" si="111"/>
        <v>0.20184299112150547</v>
      </c>
      <c r="I559" s="299"/>
    </row>
    <row r="560" spans="1:10" x14ac:dyDescent="0.25">
      <c r="A560" s="183" t="s">
        <v>322</v>
      </c>
      <c r="B560" s="546">
        <v>42754</v>
      </c>
      <c r="C560" s="298">
        <v>6000</v>
      </c>
      <c r="D560" s="547">
        <v>14.527687999999999</v>
      </c>
      <c r="E560" s="299">
        <v>17.27</v>
      </c>
      <c r="F560" s="377">
        <f t="shared" si="109"/>
        <v>16453.871999999999</v>
      </c>
      <c r="G560" s="299">
        <f t="shared" si="110"/>
        <v>87166.127999999997</v>
      </c>
      <c r="H560" s="301">
        <f t="shared" si="111"/>
        <v>0.1887645164185795</v>
      </c>
      <c r="I560" s="299"/>
    </row>
    <row r="561" spans="1:9" x14ac:dyDescent="0.25">
      <c r="A561" t="s">
        <v>322</v>
      </c>
      <c r="B561" s="546">
        <v>42760</v>
      </c>
      <c r="C561" s="298">
        <v>6000</v>
      </c>
      <c r="D561" s="547">
        <v>14.527687999999999</v>
      </c>
      <c r="E561" s="299">
        <v>17.75</v>
      </c>
      <c r="F561" s="377">
        <f t="shared" ref="F561:F575" si="112">C561*(E561-D561)</f>
        <v>19333.872000000003</v>
      </c>
      <c r="G561" s="299">
        <f t="shared" ref="G561:G575" si="113">IF(C561=0, 0,D561*C561)</f>
        <v>87166.127999999997</v>
      </c>
      <c r="H561" s="301">
        <f t="shared" ref="H561:H575" si="114">IF(C561=0, D561, (E561-D561)/D561)</f>
        <v>0.22180487356281334</v>
      </c>
      <c r="I561" s="299"/>
    </row>
    <row r="562" spans="1:9" x14ac:dyDescent="0.25">
      <c r="A562" t="s">
        <v>354</v>
      </c>
      <c r="B562" s="546">
        <v>42761</v>
      </c>
      <c r="C562" s="298">
        <v>6000</v>
      </c>
      <c r="D562" s="547">
        <v>14.50817</v>
      </c>
      <c r="E562" s="299">
        <v>17.75</v>
      </c>
      <c r="F562" s="377">
        <f t="shared" si="112"/>
        <v>19450.98</v>
      </c>
      <c r="G562" s="299">
        <f t="shared" si="113"/>
        <v>87049.02</v>
      </c>
      <c r="H562" s="301">
        <f t="shared" si="114"/>
        <v>0.22344858104088938</v>
      </c>
      <c r="I562" s="299"/>
    </row>
    <row r="563" spans="1:9" x14ac:dyDescent="0.25">
      <c r="A563" t="s">
        <v>357</v>
      </c>
      <c r="B563" s="546">
        <v>42762</v>
      </c>
      <c r="C563" s="298">
        <v>6100</v>
      </c>
      <c r="D563" s="547">
        <v>14.553610000000001</v>
      </c>
      <c r="E563" s="299">
        <v>17.41</v>
      </c>
      <c r="F563" s="377">
        <f t="shared" si="112"/>
        <v>17423.978999999996</v>
      </c>
      <c r="G563" s="299">
        <f t="shared" si="113"/>
        <v>88777.021000000008</v>
      </c>
      <c r="H563" s="301">
        <f t="shared" si="114"/>
        <v>0.19626676817641803</v>
      </c>
      <c r="I563" s="299"/>
    </row>
    <row r="564" spans="1:9" x14ac:dyDescent="0.25">
      <c r="A564" t="s">
        <v>367</v>
      </c>
      <c r="B564" s="546">
        <v>42765</v>
      </c>
      <c r="C564" s="298">
        <v>6900</v>
      </c>
      <c r="D564" s="547">
        <v>14.793915999999999</v>
      </c>
      <c r="E564" s="299">
        <v>16.53</v>
      </c>
      <c r="F564" s="377">
        <f t="shared" si="112"/>
        <v>11978.979600000011</v>
      </c>
      <c r="G564" s="299">
        <f t="shared" si="113"/>
        <v>102078.02039999999</v>
      </c>
      <c r="H564" s="301">
        <f t="shared" si="114"/>
        <v>0.11735121383682331</v>
      </c>
      <c r="I564" s="299"/>
    </row>
    <row r="565" spans="1:9" x14ac:dyDescent="0.25">
      <c r="A565" t="s">
        <v>368</v>
      </c>
      <c r="B565" s="546">
        <v>42766</v>
      </c>
      <c r="C565" s="298">
        <v>6900</v>
      </c>
      <c r="D565" s="547">
        <v>14.783497000000001</v>
      </c>
      <c r="E565" s="299">
        <v>16.75</v>
      </c>
      <c r="F565" s="377">
        <f t="shared" si="112"/>
        <v>13568.870699999996</v>
      </c>
      <c r="G565" s="299">
        <f t="shared" si="113"/>
        <v>102006.1293</v>
      </c>
      <c r="H565" s="301">
        <f t="shared" si="114"/>
        <v>0.13302015078029233</v>
      </c>
      <c r="I565" s="299"/>
    </row>
    <row r="566" spans="1:9" x14ac:dyDescent="0.25">
      <c r="B566" s="546">
        <v>42767</v>
      </c>
      <c r="C566" s="298">
        <v>6000</v>
      </c>
      <c r="D566" s="547">
        <v>14.442175000000001</v>
      </c>
      <c r="E566" s="299">
        <v>16.59</v>
      </c>
      <c r="F566" s="377">
        <f t="shared" si="112"/>
        <v>12886.949999999995</v>
      </c>
      <c r="G566" s="299">
        <f t="shared" si="113"/>
        <v>86653.05</v>
      </c>
      <c r="H566" s="301">
        <f t="shared" si="114"/>
        <v>0.14871894295699914</v>
      </c>
      <c r="I566" s="299"/>
    </row>
    <row r="567" spans="1:9" x14ac:dyDescent="0.25">
      <c r="B567" s="546">
        <v>42767</v>
      </c>
      <c r="C567" s="298">
        <v>7000</v>
      </c>
      <c r="D567" s="547">
        <v>14.725436</v>
      </c>
      <c r="E567" s="299">
        <v>16.59</v>
      </c>
      <c r="F567" s="377">
        <f t="shared" si="112"/>
        <v>13051.947999999999</v>
      </c>
      <c r="G567" s="299">
        <f t="shared" si="113"/>
        <v>103078.052</v>
      </c>
      <c r="H567" s="301">
        <f t="shared" si="114"/>
        <v>0.1266219893251378</v>
      </c>
      <c r="I567" s="299"/>
    </row>
    <row r="568" spans="1:9" x14ac:dyDescent="0.25">
      <c r="B568" s="546">
        <v>42767</v>
      </c>
      <c r="C568" s="298">
        <v>7200</v>
      </c>
      <c r="D568" s="547">
        <v>14.771951</v>
      </c>
      <c r="E568" s="299">
        <v>16.59</v>
      </c>
      <c r="F568" s="377">
        <f t="shared" si="112"/>
        <v>13089.952800000001</v>
      </c>
      <c r="G568" s="299">
        <f t="shared" si="113"/>
        <v>106358.0472</v>
      </c>
      <c r="H568" s="301">
        <f t="shared" si="114"/>
        <v>0.12307439958337259</v>
      </c>
      <c r="I568" s="299"/>
    </row>
    <row r="569" spans="1:9" x14ac:dyDescent="0.25">
      <c r="A569" t="s">
        <v>372</v>
      </c>
      <c r="B569" s="546">
        <v>42767</v>
      </c>
      <c r="C569" s="298">
        <v>6500</v>
      </c>
      <c r="D569" s="547">
        <v>14.578353999999999</v>
      </c>
      <c r="E569" s="299">
        <v>16.59</v>
      </c>
      <c r="F569" s="377">
        <f t="shared" si="112"/>
        <v>13075.699000000004</v>
      </c>
      <c r="G569" s="299">
        <f t="shared" si="113"/>
        <v>94759.300999999992</v>
      </c>
      <c r="H569" s="301">
        <f t="shared" si="114"/>
        <v>0.13798855481215511</v>
      </c>
      <c r="I569" s="299"/>
    </row>
    <row r="570" spans="1:9" x14ac:dyDescent="0.25">
      <c r="A570" t="s">
        <v>374</v>
      </c>
      <c r="B570" s="546">
        <v>42768</v>
      </c>
      <c r="C570" s="298">
        <v>6000</v>
      </c>
      <c r="D570" s="547">
        <v>14.368788</v>
      </c>
      <c r="E570" s="299">
        <v>16.68</v>
      </c>
      <c r="F570" s="377">
        <f t="shared" si="112"/>
        <v>13867.271999999995</v>
      </c>
      <c r="G570" s="299">
        <f>IF(C570=0, 0,D570*C570)</f>
        <v>86212.728000000003</v>
      </c>
      <c r="H570" s="301">
        <f t="shared" si="114"/>
        <v>0.16084947456946261</v>
      </c>
      <c r="I570" s="299"/>
    </row>
    <row r="571" spans="1:9" x14ac:dyDescent="0.25">
      <c r="A571" t="s">
        <v>381</v>
      </c>
      <c r="B571" s="546">
        <v>42769</v>
      </c>
      <c r="C571" s="298">
        <v>5300</v>
      </c>
      <c r="D571" s="547">
        <v>14.006677</v>
      </c>
      <c r="E571" s="299">
        <v>17.23</v>
      </c>
      <c r="F571" s="377">
        <f t="shared" si="112"/>
        <v>17083.611900000004</v>
      </c>
      <c r="G571" s="299">
        <f t="shared" si="113"/>
        <v>74235.388099999996</v>
      </c>
      <c r="H571" s="301">
        <f t="shared" si="114"/>
        <v>0.2301276027140485</v>
      </c>
      <c r="I571" s="299"/>
    </row>
    <row r="572" spans="1:9" x14ac:dyDescent="0.25">
      <c r="A572" t="s">
        <v>391</v>
      </c>
      <c r="B572" s="546">
        <v>42772</v>
      </c>
      <c r="C572" s="298">
        <v>6000</v>
      </c>
      <c r="D572" s="547">
        <v>14.311230999999999</v>
      </c>
      <c r="E572" s="299">
        <v>16.52</v>
      </c>
      <c r="F572" s="377">
        <f t="shared" si="112"/>
        <v>13252.614000000001</v>
      </c>
      <c r="G572" s="299">
        <f t="shared" si="113"/>
        <v>85867.385999999999</v>
      </c>
      <c r="H572" s="301">
        <f t="shared" si="114"/>
        <v>0.15433815581622576</v>
      </c>
      <c r="I572" s="299"/>
    </row>
    <row r="573" spans="1:9" x14ac:dyDescent="0.25">
      <c r="A573" t="s">
        <v>396</v>
      </c>
      <c r="B573" s="546">
        <v>42773</v>
      </c>
      <c r="C573" s="298">
        <v>6600</v>
      </c>
      <c r="D573" s="547">
        <v>14.461574000000001</v>
      </c>
      <c r="E573" s="299">
        <v>16.03</v>
      </c>
      <c r="F573" s="377">
        <f t="shared" si="112"/>
        <v>10351.611600000004</v>
      </c>
      <c r="G573" s="299">
        <f t="shared" si="113"/>
        <v>95446.388400000011</v>
      </c>
      <c r="H573" s="301">
        <f t="shared" si="114"/>
        <v>0.10845472283998965</v>
      </c>
      <c r="I573" s="299"/>
    </row>
    <row r="574" spans="1:9" x14ac:dyDescent="0.25">
      <c r="A574" t="s">
        <v>419</v>
      </c>
      <c r="B574" s="546">
        <v>42781</v>
      </c>
      <c r="C574" s="298">
        <v>5700</v>
      </c>
      <c r="D574" s="547">
        <v>14.140828000000001</v>
      </c>
      <c r="E574" s="299">
        <v>16.3</v>
      </c>
      <c r="F574" s="377">
        <f t="shared" si="112"/>
        <v>12307.2804</v>
      </c>
      <c r="G574" s="299">
        <f t="shared" si="113"/>
        <v>80602.719600000011</v>
      </c>
      <c r="H574" s="301">
        <f t="shared" si="114"/>
        <v>0.1526906345229572</v>
      </c>
      <c r="I574" s="299"/>
    </row>
    <row r="575" spans="1:9" x14ac:dyDescent="0.25">
      <c r="A575" t="s">
        <v>421</v>
      </c>
      <c r="B575" s="546">
        <v>42782</v>
      </c>
      <c r="C575" s="298">
        <v>5700</v>
      </c>
      <c r="D575" s="547">
        <v>14.103</v>
      </c>
      <c r="E575" s="299">
        <v>16.170000000000002</v>
      </c>
      <c r="F575" s="377">
        <f t="shared" si="112"/>
        <v>11781.900000000011</v>
      </c>
      <c r="G575" s="299">
        <f t="shared" si="113"/>
        <v>80387.100000000006</v>
      </c>
      <c r="H575" s="301">
        <f t="shared" si="114"/>
        <v>0.14656456073175933</v>
      </c>
      <c r="I575" s="299"/>
    </row>
    <row r="576" spans="1:9" x14ac:dyDescent="0.25">
      <c r="B576" s="546"/>
      <c r="C576" s="298"/>
      <c r="D576" s="547"/>
      <c r="E576" s="299"/>
      <c r="F576" s="377"/>
      <c r="G576" s="299"/>
      <c r="H576" s="301"/>
      <c r="I576" s="299"/>
    </row>
    <row r="577" spans="1:13" x14ac:dyDescent="0.25">
      <c r="B577" s="546"/>
      <c r="C577" s="298"/>
      <c r="D577" s="547"/>
      <c r="E577" s="299"/>
      <c r="F577" s="377"/>
      <c r="G577" s="299"/>
      <c r="H577" s="301"/>
      <c r="I577" s="299"/>
    </row>
    <row r="578" spans="1:13" x14ac:dyDescent="0.25">
      <c r="B578" s="546"/>
      <c r="C578" s="298"/>
      <c r="D578" s="547"/>
      <c r="E578" s="299"/>
      <c r="F578" s="377"/>
      <c r="G578" s="299"/>
      <c r="H578" s="301"/>
      <c r="I578" s="299"/>
    </row>
    <row r="579" spans="1:13" x14ac:dyDescent="0.25">
      <c r="B579" s="546"/>
      <c r="C579" s="298"/>
      <c r="D579" s="547"/>
      <c r="E579" s="299"/>
      <c r="F579" s="377"/>
      <c r="G579" s="299"/>
      <c r="H579" s="301"/>
      <c r="I579" s="299"/>
    </row>
    <row r="583" spans="1:13" x14ac:dyDescent="0.25">
      <c r="L583" t="s">
        <v>65</v>
      </c>
      <c r="M583" s="184">
        <f>K846+M846-F846</f>
        <v>14615.571000001626</v>
      </c>
    </row>
    <row r="584" spans="1:13" x14ac:dyDescent="0.25">
      <c r="A584" s="440" t="s">
        <v>1</v>
      </c>
      <c r="B584" s="513" t="s">
        <v>2</v>
      </c>
      <c r="C584" s="440" t="s">
        <v>4</v>
      </c>
      <c r="D584" s="514" t="s">
        <v>5</v>
      </c>
      <c r="E584" s="441" t="s">
        <v>90</v>
      </c>
      <c r="F584" s="441" t="s">
        <v>60</v>
      </c>
      <c r="G584" s="440" t="s">
        <v>3</v>
      </c>
      <c r="H584" s="515" t="s">
        <v>6</v>
      </c>
      <c r="I584" s="514" t="s">
        <v>7</v>
      </c>
      <c r="J584" s="441" t="s">
        <v>89</v>
      </c>
      <c r="K584" s="441" t="s">
        <v>61</v>
      </c>
      <c r="L584" s="440" t="s">
        <v>37</v>
      </c>
      <c r="M584" s="441" t="s">
        <v>38</v>
      </c>
    </row>
    <row r="585" spans="1:13" x14ac:dyDescent="0.25">
      <c r="A585" s="442" t="s">
        <v>50</v>
      </c>
      <c r="B585" s="473">
        <v>42187</v>
      </c>
      <c r="C585" s="427">
        <v>1000</v>
      </c>
      <c r="D585" s="428">
        <v>27.25</v>
      </c>
      <c r="E585" s="429">
        <v>0</v>
      </c>
      <c r="F585" s="429">
        <f>C585*D585+E585</f>
        <v>27250</v>
      </c>
      <c r="G585" s="426">
        <v>42187</v>
      </c>
      <c r="H585" s="443">
        <v>2000</v>
      </c>
      <c r="I585" s="428">
        <v>27.34</v>
      </c>
      <c r="J585" s="429">
        <v>-5.49</v>
      </c>
      <c r="K585" s="429">
        <f>H585*I585-J585</f>
        <v>54685.49</v>
      </c>
      <c r="L585" s="426">
        <v>42257</v>
      </c>
      <c r="M585" s="429">
        <v>850.5</v>
      </c>
    </row>
    <row r="586" spans="1:13" x14ac:dyDescent="0.25">
      <c r="A586" s="444" t="s">
        <v>71</v>
      </c>
      <c r="B586" s="473">
        <v>42187</v>
      </c>
      <c r="C586" s="427">
        <v>80</v>
      </c>
      <c r="D586" s="428">
        <v>27.152249999999999</v>
      </c>
      <c r="E586" s="429">
        <v>0</v>
      </c>
      <c r="F586" s="429">
        <f t="shared" ref="F586:F649" si="115">C586*D586+E586</f>
        <v>2172.1799999999998</v>
      </c>
      <c r="G586" s="426">
        <v>42199</v>
      </c>
      <c r="H586" s="443">
        <v>102</v>
      </c>
      <c r="I586" s="428">
        <v>25.28</v>
      </c>
      <c r="J586" s="429">
        <v>0.05</v>
      </c>
      <c r="K586" s="429">
        <f t="shared" ref="K586:K613" si="116">H586*I586-J586</f>
        <v>2578.5099999999998</v>
      </c>
      <c r="L586" s="426">
        <v>42439</v>
      </c>
      <c r="M586" s="429">
        <v>483.9</v>
      </c>
    </row>
    <row r="587" spans="1:13" x14ac:dyDescent="0.25">
      <c r="A587" s="427"/>
      <c r="B587" s="473">
        <v>42187</v>
      </c>
      <c r="C587" s="427">
        <v>1000</v>
      </c>
      <c r="D587" s="428">
        <v>27.1</v>
      </c>
      <c r="E587" s="429">
        <v>0</v>
      </c>
      <c r="F587" s="429">
        <f t="shared" si="115"/>
        <v>27100</v>
      </c>
      <c r="G587" s="426">
        <v>42227</v>
      </c>
      <c r="H587" s="443">
        <v>200</v>
      </c>
      <c r="I587" s="428">
        <v>19.649999999999999</v>
      </c>
      <c r="J587" s="429">
        <v>7.0000000000000007E-2</v>
      </c>
      <c r="K587" s="429">
        <f t="shared" si="116"/>
        <v>3929.9299999999994</v>
      </c>
      <c r="L587" s="426">
        <v>42531</v>
      </c>
      <c r="M587" s="429">
        <v>483.9</v>
      </c>
    </row>
    <row r="588" spans="1:13" x14ac:dyDescent="0.25">
      <c r="A588" s="427"/>
      <c r="B588" s="534">
        <v>42187</v>
      </c>
      <c r="C588" s="427">
        <v>500</v>
      </c>
      <c r="D588" s="428">
        <v>27.039332999999999</v>
      </c>
      <c r="E588" s="429">
        <v>0</v>
      </c>
      <c r="F588" s="429">
        <f t="shared" si="115"/>
        <v>13519.666499999999</v>
      </c>
      <c r="G588" s="426">
        <v>42227</v>
      </c>
      <c r="H588" s="443">
        <v>200</v>
      </c>
      <c r="I588" s="428">
        <v>18.7</v>
      </c>
      <c r="J588" s="429">
        <v>7.0000000000000007E-2</v>
      </c>
      <c r="K588" s="429">
        <f t="shared" si="116"/>
        <v>3739.93</v>
      </c>
      <c r="L588" s="426">
        <v>42625</v>
      </c>
      <c r="M588" s="429">
        <v>433.9</v>
      </c>
    </row>
    <row r="589" spans="1:13" x14ac:dyDescent="0.25">
      <c r="A589" s="427"/>
      <c r="B589" s="534"/>
      <c r="C589" s="427">
        <v>500</v>
      </c>
      <c r="D589" s="428">
        <v>27.039332999999999</v>
      </c>
      <c r="E589" s="429">
        <v>0</v>
      </c>
      <c r="F589" s="429">
        <f t="shared" si="115"/>
        <v>13519.666499999999</v>
      </c>
      <c r="G589" s="426">
        <v>42257</v>
      </c>
      <c r="H589" s="443">
        <v>1600</v>
      </c>
      <c r="I589" s="428">
        <v>16.445</v>
      </c>
      <c r="J589" s="429">
        <v>0.48</v>
      </c>
      <c r="K589" s="429">
        <f t="shared" si="116"/>
        <v>26311.52</v>
      </c>
      <c r="L589" s="426">
        <v>42716</v>
      </c>
      <c r="M589" s="429">
        <v>500</v>
      </c>
    </row>
    <row r="590" spans="1:13" x14ac:dyDescent="0.25">
      <c r="A590" s="427"/>
      <c r="B590" s="534"/>
      <c r="C590" s="427">
        <v>500</v>
      </c>
      <c r="D590" s="428">
        <v>27.039332999999999</v>
      </c>
      <c r="E590" s="429">
        <v>0</v>
      </c>
      <c r="F590" s="429">
        <f t="shared" si="115"/>
        <v>13519.666499999999</v>
      </c>
      <c r="G590" s="535">
        <v>42265</v>
      </c>
      <c r="H590" s="443">
        <v>200</v>
      </c>
      <c r="I590" s="428">
        <v>15.65</v>
      </c>
      <c r="J590" s="429">
        <v>0.05</v>
      </c>
      <c r="K590" s="429">
        <f t="shared" si="116"/>
        <v>3129.95</v>
      </c>
      <c r="L590" s="427"/>
      <c r="M590" s="429"/>
    </row>
    <row r="591" spans="1:13" x14ac:dyDescent="0.25">
      <c r="A591" s="427"/>
      <c r="B591" s="534"/>
      <c r="C591" s="427">
        <v>500</v>
      </c>
      <c r="D591" s="428">
        <v>27.039332999999999</v>
      </c>
      <c r="E591" s="429">
        <v>0</v>
      </c>
      <c r="F591" s="429">
        <f t="shared" si="115"/>
        <v>13519.666499999999</v>
      </c>
      <c r="G591" s="535"/>
      <c r="H591" s="443">
        <v>2400</v>
      </c>
      <c r="I591" s="428">
        <v>15.7</v>
      </c>
      <c r="J591" s="429">
        <v>0.7</v>
      </c>
      <c r="K591" s="429">
        <f t="shared" si="116"/>
        <v>37679.300000000003</v>
      </c>
      <c r="L591" s="427"/>
      <c r="M591" s="429"/>
    </row>
    <row r="592" spans="1:13" x14ac:dyDescent="0.25">
      <c r="A592" s="427"/>
      <c r="B592" s="534"/>
      <c r="C592" s="427">
        <v>1000</v>
      </c>
      <c r="D592" s="428">
        <v>27.039332999999999</v>
      </c>
      <c r="E592" s="429">
        <v>0</v>
      </c>
      <c r="F592" s="429">
        <f t="shared" si="115"/>
        <v>27039.332999999999</v>
      </c>
      <c r="G592" s="426">
        <v>42271</v>
      </c>
      <c r="H592" s="516">
        <v>918</v>
      </c>
      <c r="I592" s="517">
        <v>16.45</v>
      </c>
      <c r="J592" s="518">
        <v>0.28000000000000003</v>
      </c>
      <c r="K592" s="518">
        <f t="shared" si="116"/>
        <v>15100.819999999998</v>
      </c>
      <c r="L592" s="427"/>
      <c r="M592" s="429"/>
    </row>
    <row r="593" spans="1:13" ht="60" x14ac:dyDescent="0.25">
      <c r="A593" s="427"/>
      <c r="B593" s="473">
        <v>42198</v>
      </c>
      <c r="C593" s="427">
        <v>100</v>
      </c>
      <c r="D593" s="428">
        <v>24.77</v>
      </c>
      <c r="E593" s="429">
        <v>0</v>
      </c>
      <c r="F593" s="429">
        <f t="shared" si="115"/>
        <v>2477</v>
      </c>
      <c r="G593" s="536" t="s">
        <v>139</v>
      </c>
      <c r="H593" s="443">
        <v>500</v>
      </c>
      <c r="I593" s="428">
        <v>15.95</v>
      </c>
      <c r="J593" s="429">
        <v>0.15</v>
      </c>
      <c r="K593" s="518">
        <f t="shared" si="116"/>
        <v>7974.85</v>
      </c>
      <c r="L593" s="427"/>
      <c r="M593" s="429"/>
    </row>
    <row r="594" spans="1:13" x14ac:dyDescent="0.25">
      <c r="A594" s="427"/>
      <c r="B594" s="473">
        <v>42205</v>
      </c>
      <c r="C594" s="427">
        <v>50</v>
      </c>
      <c r="D594" s="428">
        <v>24.35</v>
      </c>
      <c r="E594" s="429">
        <v>0</v>
      </c>
      <c r="F594" s="429">
        <f t="shared" si="115"/>
        <v>1217.5</v>
      </c>
      <c r="G594" s="536"/>
      <c r="H594" s="443">
        <v>500</v>
      </c>
      <c r="I594" s="428">
        <v>16.100000000000001</v>
      </c>
      <c r="J594" s="429">
        <v>0.15</v>
      </c>
      <c r="K594" s="518">
        <f t="shared" si="116"/>
        <v>8049.8500000000013</v>
      </c>
      <c r="L594" s="427"/>
      <c r="M594" s="429"/>
    </row>
    <row r="595" spans="1:13" x14ac:dyDescent="0.25">
      <c r="A595" s="427"/>
      <c r="B595" s="473">
        <v>42207</v>
      </c>
      <c r="C595" s="427">
        <v>20</v>
      </c>
      <c r="D595" s="428">
        <v>24.02</v>
      </c>
      <c r="E595" s="429">
        <v>0</v>
      </c>
      <c r="F595" s="429">
        <f t="shared" si="115"/>
        <v>480.4</v>
      </c>
      <c r="G595" s="536"/>
      <c r="H595" s="443">
        <v>500</v>
      </c>
      <c r="I595" s="428">
        <v>16.170000000000002</v>
      </c>
      <c r="J595" s="429">
        <v>0.15</v>
      </c>
      <c r="K595" s="518">
        <f t="shared" si="116"/>
        <v>8084.8500000000013</v>
      </c>
      <c r="L595" s="427"/>
      <c r="M595" s="429"/>
    </row>
    <row r="596" spans="1:13" x14ac:dyDescent="0.25">
      <c r="A596" s="427"/>
      <c r="B596" s="473">
        <v>42207</v>
      </c>
      <c r="C596" s="427">
        <v>20</v>
      </c>
      <c r="D596" s="428">
        <v>23.91</v>
      </c>
      <c r="E596" s="429">
        <v>0</v>
      </c>
      <c r="F596" s="429">
        <f t="shared" si="115"/>
        <v>478.2</v>
      </c>
      <c r="G596" s="536"/>
      <c r="H596" s="443">
        <v>500</v>
      </c>
      <c r="I596" s="428">
        <v>16.28</v>
      </c>
      <c r="J596" s="429">
        <v>0.15</v>
      </c>
      <c r="K596" s="518">
        <f t="shared" si="116"/>
        <v>8139.8500000000013</v>
      </c>
      <c r="L596" s="429"/>
      <c r="M596" s="429"/>
    </row>
    <row r="597" spans="1:13" x14ac:dyDescent="0.25">
      <c r="A597" s="427"/>
      <c r="B597" s="473">
        <v>42207</v>
      </c>
      <c r="C597" s="427">
        <v>20</v>
      </c>
      <c r="D597" s="428">
        <v>23.7</v>
      </c>
      <c r="E597" s="429">
        <v>0</v>
      </c>
      <c r="F597" s="429">
        <f t="shared" si="115"/>
        <v>474</v>
      </c>
      <c r="G597" s="536"/>
      <c r="H597" s="443">
        <v>500</v>
      </c>
      <c r="I597" s="428">
        <v>16.39</v>
      </c>
      <c r="J597" s="429">
        <v>0.15</v>
      </c>
      <c r="K597" s="518">
        <f t="shared" si="116"/>
        <v>8194.85</v>
      </c>
      <c r="L597" s="427"/>
      <c r="M597" s="429"/>
    </row>
    <row r="598" spans="1:13" x14ac:dyDescent="0.25">
      <c r="A598" s="427"/>
      <c r="B598" s="473">
        <v>42207</v>
      </c>
      <c r="C598" s="427">
        <v>20</v>
      </c>
      <c r="D598" s="428">
        <v>23.6</v>
      </c>
      <c r="E598" s="429">
        <v>0</v>
      </c>
      <c r="F598" s="429">
        <f t="shared" si="115"/>
        <v>472</v>
      </c>
      <c r="G598" s="536"/>
      <c r="H598" s="443">
        <v>500</v>
      </c>
      <c r="I598" s="428">
        <v>16.55</v>
      </c>
      <c r="J598" s="429">
        <v>0.17</v>
      </c>
      <c r="K598" s="518">
        <f t="shared" si="116"/>
        <v>8274.83</v>
      </c>
      <c r="L598" s="427"/>
      <c r="M598" s="429"/>
    </row>
    <row r="599" spans="1:13" x14ac:dyDescent="0.25">
      <c r="A599" s="427"/>
      <c r="B599" s="473">
        <v>42209</v>
      </c>
      <c r="C599" s="427">
        <v>40</v>
      </c>
      <c r="D599" s="428">
        <v>22.3</v>
      </c>
      <c r="E599" s="429">
        <v>0</v>
      </c>
      <c r="F599" s="429">
        <f t="shared" si="115"/>
        <v>892</v>
      </c>
      <c r="G599" s="536"/>
      <c r="H599" s="443">
        <v>50</v>
      </c>
      <c r="I599" s="428">
        <v>16.55</v>
      </c>
      <c r="J599" s="429">
        <v>0</v>
      </c>
      <c r="K599" s="518">
        <f t="shared" si="116"/>
        <v>827.5</v>
      </c>
      <c r="L599" s="427"/>
      <c r="M599" s="429"/>
    </row>
    <row r="600" spans="1:13" x14ac:dyDescent="0.25">
      <c r="A600" s="429"/>
      <c r="B600" s="473">
        <v>42221</v>
      </c>
      <c r="C600" s="427">
        <v>12</v>
      </c>
      <c r="D600" s="428">
        <v>20.95</v>
      </c>
      <c r="E600" s="429">
        <v>0</v>
      </c>
      <c r="F600" s="429">
        <f t="shared" si="115"/>
        <v>251.39999999999998</v>
      </c>
      <c r="G600" s="536"/>
      <c r="H600" s="443">
        <v>28</v>
      </c>
      <c r="I600" s="428">
        <v>16.68</v>
      </c>
      <c r="J600" s="429">
        <v>0.01</v>
      </c>
      <c r="K600" s="518">
        <f t="shared" si="116"/>
        <v>467.03</v>
      </c>
      <c r="L600" s="443"/>
      <c r="M600" s="429"/>
    </row>
    <row r="601" spans="1:13" x14ac:dyDescent="0.25">
      <c r="A601" s="427"/>
      <c r="B601" s="473">
        <v>42223</v>
      </c>
      <c r="C601" s="427">
        <v>100</v>
      </c>
      <c r="D601" s="428">
        <v>20.399999999999999</v>
      </c>
      <c r="E601" s="429">
        <v>0</v>
      </c>
      <c r="F601" s="429">
        <f t="shared" si="115"/>
        <v>2039.9999999999998</v>
      </c>
      <c r="G601" s="426">
        <v>42285</v>
      </c>
      <c r="H601" s="443">
        <v>632</v>
      </c>
      <c r="I601" s="428">
        <v>17.850000000000001</v>
      </c>
      <c r="J601" s="429">
        <v>0.21</v>
      </c>
      <c r="K601" s="518">
        <f t="shared" si="116"/>
        <v>11280.990000000002</v>
      </c>
      <c r="L601" s="429"/>
      <c r="M601" s="429"/>
    </row>
    <row r="602" spans="1:13" x14ac:dyDescent="0.25">
      <c r="A602" s="429"/>
      <c r="B602" s="473">
        <v>42226</v>
      </c>
      <c r="C602" s="427">
        <v>200</v>
      </c>
      <c r="D602" s="428">
        <v>19.95</v>
      </c>
      <c r="E602" s="429">
        <v>0</v>
      </c>
      <c r="F602" s="429">
        <f t="shared" si="115"/>
        <v>3990</v>
      </c>
      <c r="G602" s="426">
        <v>42297</v>
      </c>
      <c r="H602" s="443">
        <v>500</v>
      </c>
      <c r="I602" s="428">
        <v>19.149999999999999</v>
      </c>
      <c r="J602" s="429">
        <v>0.18</v>
      </c>
      <c r="K602" s="518">
        <f t="shared" si="116"/>
        <v>9574.82</v>
      </c>
      <c r="L602" s="427"/>
      <c r="M602" s="429"/>
    </row>
    <row r="603" spans="1:13" x14ac:dyDescent="0.25">
      <c r="A603" s="427"/>
      <c r="B603" s="473">
        <v>42226</v>
      </c>
      <c r="C603" s="427">
        <v>50</v>
      </c>
      <c r="D603" s="428">
        <v>20.010000000000002</v>
      </c>
      <c r="E603" s="429">
        <v>0</v>
      </c>
      <c r="F603" s="429">
        <f t="shared" si="115"/>
        <v>1000.5000000000001</v>
      </c>
      <c r="G603" s="426">
        <v>42300</v>
      </c>
      <c r="H603" s="443">
        <v>1000</v>
      </c>
      <c r="I603" s="428">
        <v>18.62</v>
      </c>
      <c r="J603" s="429">
        <v>0.34</v>
      </c>
      <c r="K603" s="518">
        <f t="shared" si="116"/>
        <v>18619.66</v>
      </c>
      <c r="L603" s="427"/>
      <c r="M603" s="429"/>
    </row>
    <row r="604" spans="1:13" x14ac:dyDescent="0.25">
      <c r="A604" s="427"/>
      <c r="B604" s="473">
        <v>42226</v>
      </c>
      <c r="C604" s="427">
        <v>100</v>
      </c>
      <c r="D604" s="428">
        <v>20.2</v>
      </c>
      <c r="E604" s="429">
        <v>0</v>
      </c>
      <c r="F604" s="429">
        <f t="shared" si="115"/>
        <v>2020</v>
      </c>
      <c r="G604" s="426">
        <v>42312</v>
      </c>
      <c r="H604" s="443">
        <v>2500</v>
      </c>
      <c r="I604" s="428">
        <v>18.48</v>
      </c>
      <c r="J604" s="429">
        <v>7.8</v>
      </c>
      <c r="K604" s="429">
        <f t="shared" si="116"/>
        <v>46192.2</v>
      </c>
      <c r="L604" s="427"/>
      <c r="M604" s="429"/>
    </row>
    <row r="605" spans="1:13" x14ac:dyDescent="0.25">
      <c r="A605" s="427"/>
      <c r="B605" s="473">
        <v>42227</v>
      </c>
      <c r="C605" s="427">
        <v>200</v>
      </c>
      <c r="D605" s="428">
        <v>18.399999999999999</v>
      </c>
      <c r="E605" s="429">
        <v>0</v>
      </c>
      <c r="F605" s="429">
        <f t="shared" si="115"/>
        <v>3679.9999999999995</v>
      </c>
      <c r="G605" s="426">
        <v>42313</v>
      </c>
      <c r="H605" s="443">
        <v>3000</v>
      </c>
      <c r="I605" s="428">
        <v>19.059999999999999</v>
      </c>
      <c r="J605" s="429">
        <v>1.05</v>
      </c>
      <c r="K605" s="429">
        <f t="shared" si="116"/>
        <v>57178.94999999999</v>
      </c>
      <c r="L605" s="427"/>
      <c r="M605" s="429"/>
    </row>
    <row r="606" spans="1:13" x14ac:dyDescent="0.25">
      <c r="A606" s="427"/>
      <c r="B606" s="473">
        <v>42227</v>
      </c>
      <c r="C606" s="427">
        <v>200</v>
      </c>
      <c r="D606" s="428">
        <v>19.55</v>
      </c>
      <c r="E606" s="429">
        <v>0</v>
      </c>
      <c r="F606" s="429">
        <f t="shared" si="115"/>
        <v>3910</v>
      </c>
      <c r="G606" s="426">
        <v>42324</v>
      </c>
      <c r="H606" s="443">
        <v>2500</v>
      </c>
      <c r="I606" s="428">
        <v>18.8</v>
      </c>
      <c r="J606" s="429">
        <v>0.86</v>
      </c>
      <c r="K606" s="429">
        <f t="shared" si="116"/>
        <v>46999.14</v>
      </c>
      <c r="L606" s="429"/>
      <c r="M606" s="429"/>
    </row>
    <row r="607" spans="1:13" x14ac:dyDescent="0.25">
      <c r="A607" s="427"/>
      <c r="B607" s="473">
        <v>42234</v>
      </c>
      <c r="C607" s="427">
        <v>40</v>
      </c>
      <c r="D607" s="428">
        <v>18.149999999999999</v>
      </c>
      <c r="E607" s="429">
        <v>0</v>
      </c>
      <c r="F607" s="429">
        <f t="shared" si="115"/>
        <v>726</v>
      </c>
      <c r="G607" s="426">
        <v>42335</v>
      </c>
      <c r="H607" s="443">
        <v>3078</v>
      </c>
      <c r="I607" s="428">
        <v>17.649999999999999</v>
      </c>
      <c r="J607" s="429">
        <v>1</v>
      </c>
      <c r="K607" s="429">
        <f t="shared" si="116"/>
        <v>54325.7</v>
      </c>
      <c r="L607" s="427"/>
      <c r="M607" s="429"/>
    </row>
    <row r="608" spans="1:13" x14ac:dyDescent="0.25">
      <c r="A608" s="427"/>
      <c r="B608" s="473">
        <v>42234</v>
      </c>
      <c r="C608" s="427">
        <v>100</v>
      </c>
      <c r="D608" s="428">
        <v>18</v>
      </c>
      <c r="E608" s="429">
        <v>0</v>
      </c>
      <c r="F608" s="429">
        <f t="shared" si="115"/>
        <v>1800</v>
      </c>
      <c r="G608" s="426">
        <v>42347</v>
      </c>
      <c r="H608" s="443">
        <v>500</v>
      </c>
      <c r="I608" s="428">
        <v>16.149999999999999</v>
      </c>
      <c r="J608" s="429">
        <v>0.15</v>
      </c>
      <c r="K608" s="429">
        <f t="shared" si="116"/>
        <v>8074.8499999999995</v>
      </c>
      <c r="L608" s="427"/>
      <c r="M608" s="429"/>
    </row>
    <row r="609" spans="1:13" x14ac:dyDescent="0.25">
      <c r="A609" s="427"/>
      <c r="B609" s="473">
        <v>42235</v>
      </c>
      <c r="C609" s="427">
        <v>100</v>
      </c>
      <c r="D609" s="428">
        <v>17.78</v>
      </c>
      <c r="E609" s="429">
        <v>0</v>
      </c>
      <c r="F609" s="429">
        <f t="shared" si="115"/>
        <v>1778</v>
      </c>
      <c r="G609" s="426">
        <v>42353</v>
      </c>
      <c r="H609" s="443">
        <v>600</v>
      </c>
      <c r="I609" s="428">
        <v>14.95</v>
      </c>
      <c r="J609" s="429">
        <v>0.17</v>
      </c>
      <c r="K609" s="429">
        <f t="shared" si="116"/>
        <v>8969.83</v>
      </c>
      <c r="L609" s="427"/>
      <c r="M609" s="429"/>
    </row>
    <row r="610" spans="1:13" x14ac:dyDescent="0.25">
      <c r="A610" s="427"/>
      <c r="B610" s="473">
        <v>42235</v>
      </c>
      <c r="C610" s="427">
        <v>100</v>
      </c>
      <c r="D610" s="428">
        <v>17.68</v>
      </c>
      <c r="E610" s="429">
        <v>0</v>
      </c>
      <c r="F610" s="429">
        <f t="shared" si="115"/>
        <v>1768</v>
      </c>
      <c r="G610" s="426">
        <v>42354</v>
      </c>
      <c r="H610" s="443">
        <v>500</v>
      </c>
      <c r="I610" s="428">
        <v>14.32</v>
      </c>
      <c r="J610" s="429">
        <v>0.13</v>
      </c>
      <c r="K610" s="429">
        <f t="shared" si="116"/>
        <v>7159.87</v>
      </c>
      <c r="L610" s="427"/>
      <c r="M610" s="429"/>
    </row>
    <row r="611" spans="1:13" x14ac:dyDescent="0.25">
      <c r="A611" s="427"/>
      <c r="B611" s="473">
        <v>42240</v>
      </c>
      <c r="C611" s="427">
        <v>100</v>
      </c>
      <c r="D611" s="428">
        <v>16.649999999999999</v>
      </c>
      <c r="E611" s="429">
        <v>0</v>
      </c>
      <c r="F611" s="429">
        <f t="shared" si="115"/>
        <v>1664.9999999999998</v>
      </c>
      <c r="G611" s="426">
        <v>42361</v>
      </c>
      <c r="H611" s="443">
        <v>500</v>
      </c>
      <c r="I611" s="428">
        <v>12.83</v>
      </c>
      <c r="J611" s="429">
        <v>0.12</v>
      </c>
      <c r="K611" s="429">
        <f t="shared" si="116"/>
        <v>6414.88</v>
      </c>
      <c r="L611" s="427"/>
      <c r="M611" s="429"/>
    </row>
    <row r="612" spans="1:13" x14ac:dyDescent="0.25">
      <c r="A612" s="427"/>
      <c r="B612" s="473">
        <v>42240</v>
      </c>
      <c r="C612" s="427">
        <v>100</v>
      </c>
      <c r="D612" s="428">
        <v>16.100000000000001</v>
      </c>
      <c r="E612" s="429">
        <v>0</v>
      </c>
      <c r="F612" s="429">
        <f t="shared" si="115"/>
        <v>1610.0000000000002</v>
      </c>
      <c r="G612" s="426">
        <v>42362</v>
      </c>
      <c r="H612" s="443">
        <v>1222</v>
      </c>
      <c r="I612" s="428">
        <v>12.75</v>
      </c>
      <c r="J612" s="429">
        <v>0.28999999999999998</v>
      </c>
      <c r="K612" s="429">
        <f t="shared" si="116"/>
        <v>15580.21</v>
      </c>
      <c r="L612" s="427"/>
      <c r="M612" s="429"/>
    </row>
    <row r="613" spans="1:13" x14ac:dyDescent="0.25">
      <c r="A613" s="427"/>
      <c r="B613" s="473">
        <v>42257</v>
      </c>
      <c r="C613" s="427">
        <v>1500</v>
      </c>
      <c r="D613" s="428">
        <v>16.350000000000001</v>
      </c>
      <c r="E613" s="429">
        <v>0</v>
      </c>
      <c r="F613" s="429">
        <f t="shared" si="115"/>
        <v>24525.000000000004</v>
      </c>
      <c r="G613" s="426">
        <v>42367</v>
      </c>
      <c r="H613" s="443">
        <v>1000</v>
      </c>
      <c r="I613" s="428">
        <v>13.15</v>
      </c>
      <c r="J613" s="429">
        <v>0.24</v>
      </c>
      <c r="K613" s="429">
        <f t="shared" si="116"/>
        <v>13149.76</v>
      </c>
      <c r="L613" s="427"/>
      <c r="M613" s="429"/>
    </row>
    <row r="614" spans="1:13" x14ac:dyDescent="0.25">
      <c r="A614" s="427"/>
      <c r="B614" s="473">
        <v>42258</v>
      </c>
      <c r="C614" s="427">
        <v>100</v>
      </c>
      <c r="D614" s="428">
        <v>16.100000000000001</v>
      </c>
      <c r="E614" s="429">
        <v>0</v>
      </c>
      <c r="F614" s="429">
        <f t="shared" si="115"/>
        <v>1610.0000000000002</v>
      </c>
      <c r="G614" s="426">
        <v>42367</v>
      </c>
      <c r="H614" s="443">
        <v>2178</v>
      </c>
      <c r="I614" s="428">
        <v>13.75</v>
      </c>
      <c r="J614" s="429">
        <v>0.55000000000000004</v>
      </c>
      <c r="K614" s="429">
        <f>H614*I614-J614</f>
        <v>29946.95</v>
      </c>
      <c r="L614" s="427"/>
      <c r="M614" s="429"/>
    </row>
    <row r="615" spans="1:13" x14ac:dyDescent="0.25">
      <c r="A615" s="427"/>
      <c r="B615" s="473">
        <v>42261</v>
      </c>
      <c r="C615" s="427">
        <v>1000</v>
      </c>
      <c r="D615" s="428">
        <v>15.416</v>
      </c>
      <c r="E615" s="429">
        <v>0</v>
      </c>
      <c r="F615" s="429">
        <f t="shared" si="115"/>
        <v>15416</v>
      </c>
      <c r="G615" s="426">
        <v>42010</v>
      </c>
      <c r="H615" s="443">
        <v>1000</v>
      </c>
      <c r="I615" s="428">
        <v>12.63</v>
      </c>
      <c r="J615" s="429">
        <v>0.23</v>
      </c>
      <c r="K615" s="429">
        <f>H615*I615-J615</f>
        <v>12629.77</v>
      </c>
      <c r="L615" s="427"/>
      <c r="M615" s="429"/>
    </row>
    <row r="616" spans="1:13" x14ac:dyDescent="0.25">
      <c r="A616" s="427"/>
      <c r="B616" s="473">
        <v>42261</v>
      </c>
      <c r="C616" s="427">
        <v>1000</v>
      </c>
      <c r="D616" s="428">
        <v>15.1</v>
      </c>
      <c r="E616" s="429">
        <v>0</v>
      </c>
      <c r="F616" s="429">
        <f t="shared" si="115"/>
        <v>15100</v>
      </c>
      <c r="G616" s="519">
        <v>42374</v>
      </c>
      <c r="H616" s="443">
        <v>2000</v>
      </c>
      <c r="I616" s="428">
        <v>12.81</v>
      </c>
      <c r="J616" s="429">
        <v>0.47</v>
      </c>
      <c r="K616" s="429">
        <f t="shared" ref="K616:K628" si="117">H616*I616-J616</f>
        <v>25619.53</v>
      </c>
      <c r="L616" s="427"/>
      <c r="M616" s="429"/>
    </row>
    <row r="617" spans="1:13" x14ac:dyDescent="0.25">
      <c r="A617" s="427"/>
      <c r="B617" s="473">
        <v>42261</v>
      </c>
      <c r="C617" s="427">
        <v>200</v>
      </c>
      <c r="D617" s="428">
        <v>14.87</v>
      </c>
      <c r="E617" s="429">
        <v>0</v>
      </c>
      <c r="F617" s="429">
        <f t="shared" si="115"/>
        <v>2974</v>
      </c>
      <c r="G617" s="426">
        <v>42374</v>
      </c>
      <c r="H617" s="443">
        <v>1000</v>
      </c>
      <c r="I617" s="428">
        <v>12.82</v>
      </c>
      <c r="J617" s="429">
        <v>0.24</v>
      </c>
      <c r="K617" s="429">
        <f t="shared" si="117"/>
        <v>12819.76</v>
      </c>
      <c r="L617" s="427"/>
      <c r="M617" s="429"/>
    </row>
    <row r="618" spans="1:13" x14ac:dyDescent="0.25">
      <c r="A618" s="427"/>
      <c r="B618" s="473">
        <v>42261</v>
      </c>
      <c r="C618" s="427">
        <v>300</v>
      </c>
      <c r="D618" s="428">
        <v>14.87</v>
      </c>
      <c r="E618" s="429">
        <v>0</v>
      </c>
      <c r="F618" s="429">
        <f t="shared" si="115"/>
        <v>4461</v>
      </c>
      <c r="G618" s="426">
        <v>42398</v>
      </c>
      <c r="H618" s="443">
        <v>400</v>
      </c>
      <c r="I618" s="428">
        <v>9.5500000000000007</v>
      </c>
      <c r="J618" s="429">
        <v>7.0000000000000007E-2</v>
      </c>
      <c r="K618" s="429">
        <f t="shared" si="117"/>
        <v>3819.9300000000003</v>
      </c>
      <c r="L618" s="427"/>
      <c r="M618" s="429"/>
    </row>
    <row r="619" spans="1:13" x14ac:dyDescent="0.25">
      <c r="A619" s="427"/>
      <c r="B619" s="473">
        <v>42270</v>
      </c>
      <c r="C619" s="427">
        <v>478</v>
      </c>
      <c r="D619" s="428">
        <v>15.85</v>
      </c>
      <c r="E619" s="429">
        <v>0</v>
      </c>
      <c r="F619" s="429">
        <f t="shared" si="115"/>
        <v>7576.3</v>
      </c>
      <c r="G619" s="426">
        <v>42411</v>
      </c>
      <c r="H619" s="443">
        <v>500</v>
      </c>
      <c r="I619" s="428">
        <v>6.97</v>
      </c>
      <c r="J619" s="429">
        <v>0.08</v>
      </c>
      <c r="K619" s="429">
        <f t="shared" si="117"/>
        <v>3484.92</v>
      </c>
      <c r="L619" s="427"/>
      <c r="M619" s="429"/>
    </row>
    <row r="620" spans="1:13" x14ac:dyDescent="0.25">
      <c r="A620" s="427"/>
      <c r="B620" s="473">
        <v>42292</v>
      </c>
      <c r="C620" s="427">
        <v>500</v>
      </c>
      <c r="D620" s="428">
        <v>18.55</v>
      </c>
      <c r="E620" s="429">
        <v>0</v>
      </c>
      <c r="F620" s="429">
        <f t="shared" si="115"/>
        <v>9275</v>
      </c>
      <c r="G620" s="426">
        <v>42412</v>
      </c>
      <c r="H620" s="443">
        <v>200</v>
      </c>
      <c r="I620" s="428">
        <v>7.45</v>
      </c>
      <c r="J620" s="429">
        <v>0.03</v>
      </c>
      <c r="K620" s="429">
        <f t="shared" si="117"/>
        <v>1489.97</v>
      </c>
      <c r="L620" s="427"/>
      <c r="M620" s="429"/>
    </row>
    <row r="621" spans="1:13" x14ac:dyDescent="0.25">
      <c r="A621" s="427"/>
      <c r="B621" s="473">
        <v>42299</v>
      </c>
      <c r="C621" s="427">
        <v>500</v>
      </c>
      <c r="D621" s="428">
        <v>18.55</v>
      </c>
      <c r="E621" s="429">
        <v>0</v>
      </c>
      <c r="F621" s="429">
        <f t="shared" si="115"/>
        <v>9275</v>
      </c>
      <c r="G621" s="426">
        <v>42416</v>
      </c>
      <c r="H621" s="443">
        <v>500</v>
      </c>
      <c r="I621" s="428">
        <v>7.75</v>
      </c>
      <c r="J621" s="429">
        <v>0.08</v>
      </c>
      <c r="K621" s="429">
        <f t="shared" si="117"/>
        <v>3874.92</v>
      </c>
      <c r="L621" s="427"/>
      <c r="M621" s="429"/>
    </row>
    <row r="622" spans="1:13" x14ac:dyDescent="0.25">
      <c r="A622" s="427"/>
      <c r="B622" s="473">
        <v>42299</v>
      </c>
      <c r="C622" s="427">
        <v>500</v>
      </c>
      <c r="D622" s="428">
        <v>18.28</v>
      </c>
      <c r="E622" s="429">
        <v>0</v>
      </c>
      <c r="F622" s="429">
        <f t="shared" si="115"/>
        <v>9140</v>
      </c>
      <c r="G622" s="426">
        <v>42422</v>
      </c>
      <c r="H622" s="443">
        <v>2500</v>
      </c>
      <c r="I622" s="428">
        <v>7.47</v>
      </c>
      <c r="J622" s="429">
        <v>0.41</v>
      </c>
      <c r="K622" s="429">
        <f t="shared" si="117"/>
        <v>18674.59</v>
      </c>
      <c r="L622" s="427"/>
      <c r="M622" s="429"/>
    </row>
    <row r="623" spans="1:13" x14ac:dyDescent="0.25">
      <c r="A623" s="427"/>
      <c r="B623" s="473">
        <v>42299</v>
      </c>
      <c r="C623" s="427">
        <v>1000</v>
      </c>
      <c r="D623" s="428">
        <v>18.100000000000001</v>
      </c>
      <c r="E623" s="429">
        <v>0</v>
      </c>
      <c r="F623" s="429">
        <f t="shared" si="115"/>
        <v>18100</v>
      </c>
      <c r="G623" s="426">
        <v>42422</v>
      </c>
      <c r="H623" s="443">
        <v>1000</v>
      </c>
      <c r="I623" s="428">
        <v>7.49</v>
      </c>
      <c r="J623" s="429">
        <v>0.16</v>
      </c>
      <c r="K623" s="429">
        <f t="shared" si="117"/>
        <v>7489.84</v>
      </c>
      <c r="L623" s="427"/>
      <c r="M623" s="429"/>
    </row>
    <row r="624" spans="1:13" x14ac:dyDescent="0.25">
      <c r="A624" s="427"/>
      <c r="B624" s="534">
        <v>42306</v>
      </c>
      <c r="C624" s="427">
        <v>660</v>
      </c>
      <c r="D624" s="428">
        <v>17.8</v>
      </c>
      <c r="E624" s="429">
        <v>0</v>
      </c>
      <c r="F624" s="429">
        <f t="shared" si="115"/>
        <v>11748</v>
      </c>
      <c r="G624" s="426">
        <v>42426</v>
      </c>
      <c r="H624" s="443">
        <v>900</v>
      </c>
      <c r="I624" s="428">
        <v>7.7</v>
      </c>
      <c r="J624" s="429">
        <v>0.15</v>
      </c>
      <c r="K624" s="429">
        <f t="shared" si="117"/>
        <v>6929.85</v>
      </c>
      <c r="L624" s="427"/>
      <c r="M624" s="429"/>
    </row>
    <row r="625" spans="1:13" ht="30" x14ac:dyDescent="0.25">
      <c r="A625" s="427"/>
      <c r="B625" s="534"/>
      <c r="C625" s="427">
        <v>340</v>
      </c>
      <c r="D625" s="428">
        <v>17.8</v>
      </c>
      <c r="E625" s="429">
        <v>0</v>
      </c>
      <c r="F625" s="429">
        <f t="shared" si="115"/>
        <v>6052</v>
      </c>
      <c r="G625" s="537" t="s">
        <v>180</v>
      </c>
      <c r="H625" s="443">
        <v>500</v>
      </c>
      <c r="I625" s="428">
        <v>7.73</v>
      </c>
      <c r="J625" s="429">
        <v>0.08</v>
      </c>
      <c r="K625" s="429">
        <f t="shared" si="117"/>
        <v>3864.92</v>
      </c>
      <c r="L625" s="427"/>
      <c r="M625" s="429"/>
    </row>
    <row r="626" spans="1:13" x14ac:dyDescent="0.25">
      <c r="A626" s="427"/>
      <c r="B626" s="473">
        <v>42312</v>
      </c>
      <c r="C626" s="520">
        <v>500</v>
      </c>
      <c r="D626" s="517">
        <v>17.559999999999999</v>
      </c>
      <c r="E626" s="518">
        <v>6.95</v>
      </c>
      <c r="F626" s="518">
        <f t="shared" si="115"/>
        <v>8786.9500000000007</v>
      </c>
      <c r="G626" s="537"/>
      <c r="H626" s="443">
        <v>500</v>
      </c>
      <c r="I626" s="428">
        <v>7.96</v>
      </c>
      <c r="J626" s="429">
        <v>0.09</v>
      </c>
      <c r="K626" s="429">
        <f t="shared" si="117"/>
        <v>3979.91</v>
      </c>
      <c r="L626" s="427"/>
      <c r="M626" s="429"/>
    </row>
    <row r="627" spans="1:13" x14ac:dyDescent="0.25">
      <c r="A627" s="427"/>
      <c r="B627" s="473">
        <v>42313</v>
      </c>
      <c r="C627" s="427">
        <v>3000</v>
      </c>
      <c r="D627" s="428">
        <v>19.05</v>
      </c>
      <c r="E627" s="429">
        <v>0</v>
      </c>
      <c r="F627" s="429">
        <f t="shared" si="115"/>
        <v>57150</v>
      </c>
      <c r="G627" s="537"/>
      <c r="H627" s="443">
        <v>500</v>
      </c>
      <c r="I627" s="428">
        <v>8.0299999999999994</v>
      </c>
      <c r="J627" s="429">
        <v>0.09</v>
      </c>
      <c r="K627" s="429">
        <f t="shared" si="117"/>
        <v>4014.9099999999994</v>
      </c>
      <c r="L627" s="427"/>
      <c r="M627" s="428"/>
    </row>
    <row r="628" spans="1:13" x14ac:dyDescent="0.25">
      <c r="A628" s="427"/>
      <c r="B628" s="473">
        <v>42320</v>
      </c>
      <c r="C628" s="427">
        <v>500</v>
      </c>
      <c r="D628" s="428">
        <v>18.079999999999998</v>
      </c>
      <c r="E628" s="429">
        <v>0</v>
      </c>
      <c r="F628" s="429">
        <f t="shared" si="115"/>
        <v>9040</v>
      </c>
      <c r="G628" s="537"/>
      <c r="H628" s="443">
        <v>1500</v>
      </c>
      <c r="I628" s="428">
        <v>8.1</v>
      </c>
      <c r="J628" s="429">
        <v>0.26</v>
      </c>
      <c r="K628" s="429">
        <f t="shared" si="117"/>
        <v>12149.74</v>
      </c>
      <c r="L628" s="427"/>
      <c r="M628" s="429"/>
    </row>
    <row r="629" spans="1:13" x14ac:dyDescent="0.25">
      <c r="A629" s="427"/>
      <c r="B629" s="473">
        <v>42320</v>
      </c>
      <c r="C629" s="427">
        <v>1000</v>
      </c>
      <c r="D629" s="428">
        <v>18.05</v>
      </c>
      <c r="E629" s="429">
        <v>0</v>
      </c>
      <c r="F629" s="429">
        <f t="shared" si="115"/>
        <v>18050</v>
      </c>
      <c r="G629" s="426">
        <v>42429</v>
      </c>
      <c r="H629" s="443">
        <v>1000</v>
      </c>
      <c r="I629" s="428">
        <v>8.5399999999999991</v>
      </c>
      <c r="J629" s="429">
        <v>0.19</v>
      </c>
      <c r="K629" s="429">
        <f>H629*I629-J629</f>
        <v>8539.81</v>
      </c>
      <c r="L629" s="427"/>
      <c r="M629" s="521"/>
    </row>
    <row r="630" spans="1:13" x14ac:dyDescent="0.25">
      <c r="A630" s="427"/>
      <c r="B630" s="473">
        <v>42320</v>
      </c>
      <c r="C630" s="427">
        <v>1000</v>
      </c>
      <c r="D630" s="428">
        <v>17.82</v>
      </c>
      <c r="E630" s="429">
        <v>0</v>
      </c>
      <c r="F630" s="429">
        <f t="shared" si="115"/>
        <v>17820</v>
      </c>
      <c r="G630" s="426">
        <v>42429</v>
      </c>
      <c r="H630" s="443">
        <v>500</v>
      </c>
      <c r="I630" s="428">
        <v>7.95</v>
      </c>
      <c r="J630" s="429">
        <v>0.09</v>
      </c>
      <c r="K630" s="429">
        <f>H630*I630-J630</f>
        <v>3974.91</v>
      </c>
      <c r="L630" s="427"/>
      <c r="M630" s="429"/>
    </row>
    <row r="631" spans="1:13" x14ac:dyDescent="0.25">
      <c r="A631" s="427"/>
      <c r="B631" s="473">
        <v>42328</v>
      </c>
      <c r="C631" s="427">
        <v>3078</v>
      </c>
      <c r="D631" s="428">
        <v>17.47</v>
      </c>
      <c r="E631" s="429">
        <v>0</v>
      </c>
      <c r="F631" s="429">
        <f t="shared" si="115"/>
        <v>53772.659999999996</v>
      </c>
      <c r="G631" s="426">
        <v>42429</v>
      </c>
      <c r="H631" s="443">
        <v>500</v>
      </c>
      <c r="I631" s="428">
        <v>7.97</v>
      </c>
      <c r="J631" s="429">
        <v>0.09</v>
      </c>
      <c r="K631" s="429">
        <f t="shared" ref="K631:K690" si="118">H631*I631-J631</f>
        <v>3984.91</v>
      </c>
      <c r="L631" s="427"/>
      <c r="M631" s="429"/>
    </row>
    <row r="632" spans="1:13" x14ac:dyDescent="0.25">
      <c r="A632" s="427"/>
      <c r="B632" s="473">
        <v>42340</v>
      </c>
      <c r="C632" s="427">
        <v>3078</v>
      </c>
      <c r="D632" s="428">
        <v>17.739999999999998</v>
      </c>
      <c r="E632" s="429">
        <v>0</v>
      </c>
      <c r="F632" s="429">
        <f t="shared" si="115"/>
        <v>54603.719999999994</v>
      </c>
      <c r="G632" s="426">
        <v>42430</v>
      </c>
      <c r="H632" s="443">
        <v>500</v>
      </c>
      <c r="I632" s="428">
        <v>7.85</v>
      </c>
      <c r="J632" s="429">
        <v>0.09</v>
      </c>
      <c r="K632" s="429">
        <f t="shared" si="118"/>
        <v>3924.91</v>
      </c>
      <c r="L632" s="427"/>
      <c r="M632" s="429"/>
    </row>
    <row r="633" spans="1:13" x14ac:dyDescent="0.25">
      <c r="A633" s="427"/>
      <c r="B633" s="473">
        <v>42340</v>
      </c>
      <c r="C633" s="427">
        <v>500</v>
      </c>
      <c r="D633" s="428">
        <v>17.5</v>
      </c>
      <c r="E633" s="429">
        <v>0</v>
      </c>
      <c r="F633" s="429">
        <f t="shared" si="115"/>
        <v>8750</v>
      </c>
      <c r="G633" s="426">
        <v>42430</v>
      </c>
      <c r="H633" s="443">
        <v>500</v>
      </c>
      <c r="I633" s="428">
        <v>8.0299999999999994</v>
      </c>
      <c r="J633" s="429">
        <v>0.09</v>
      </c>
      <c r="K633" s="429">
        <f t="shared" si="118"/>
        <v>4014.9099999999994</v>
      </c>
      <c r="L633" s="429"/>
      <c r="M633" s="429"/>
    </row>
    <row r="634" spans="1:13" x14ac:dyDescent="0.25">
      <c r="A634" s="427"/>
      <c r="B634" s="473">
        <v>42345</v>
      </c>
      <c r="C634" s="427">
        <v>100</v>
      </c>
      <c r="D634" s="428">
        <v>16.7</v>
      </c>
      <c r="E634" s="429">
        <v>0</v>
      </c>
      <c r="F634" s="429">
        <f t="shared" si="115"/>
        <v>1670</v>
      </c>
      <c r="G634" s="426">
        <v>42431</v>
      </c>
      <c r="H634" s="443">
        <v>500</v>
      </c>
      <c r="I634" s="428">
        <v>8.3800000000000008</v>
      </c>
      <c r="J634" s="429">
        <v>0.09</v>
      </c>
      <c r="K634" s="429">
        <f t="shared" si="118"/>
        <v>4189.91</v>
      </c>
      <c r="L634" s="429"/>
      <c r="M634" s="429"/>
    </row>
    <row r="635" spans="1:13" x14ac:dyDescent="0.25">
      <c r="A635" s="427"/>
      <c r="B635" s="473">
        <v>42345</v>
      </c>
      <c r="C635" s="427">
        <v>500</v>
      </c>
      <c r="D635" s="428">
        <v>16.850000000000001</v>
      </c>
      <c r="E635" s="429">
        <v>0</v>
      </c>
      <c r="F635" s="429">
        <f t="shared" si="115"/>
        <v>8425</v>
      </c>
      <c r="G635" s="426">
        <v>42431</v>
      </c>
      <c r="H635" s="443">
        <v>500</v>
      </c>
      <c r="I635" s="428">
        <v>8.58</v>
      </c>
      <c r="J635" s="429">
        <v>0.09</v>
      </c>
      <c r="K635" s="429">
        <f t="shared" si="118"/>
        <v>4289.91</v>
      </c>
      <c r="L635" s="427"/>
      <c r="M635" s="429"/>
    </row>
    <row r="636" spans="1:13" ht="30" x14ac:dyDescent="0.25">
      <c r="A636" s="427"/>
      <c r="B636" s="473">
        <v>42347</v>
      </c>
      <c r="C636" s="427">
        <v>500</v>
      </c>
      <c r="D636" s="428">
        <v>15.84</v>
      </c>
      <c r="E636" s="429">
        <v>0</v>
      </c>
      <c r="F636" s="429">
        <f t="shared" si="115"/>
        <v>7920</v>
      </c>
      <c r="G636" s="536" t="s">
        <v>182</v>
      </c>
      <c r="H636" s="443">
        <v>400</v>
      </c>
      <c r="I636" s="428">
        <v>9.09</v>
      </c>
      <c r="J636" s="429">
        <v>0.1</v>
      </c>
      <c r="K636" s="429">
        <f t="shared" si="118"/>
        <v>3635.9</v>
      </c>
      <c r="L636" s="427"/>
      <c r="M636" s="429"/>
    </row>
    <row r="637" spans="1:13" x14ac:dyDescent="0.25">
      <c r="A637" s="427"/>
      <c r="B637" s="473">
        <v>42348</v>
      </c>
      <c r="C637" s="427">
        <v>500</v>
      </c>
      <c r="D637" s="428">
        <v>14.78</v>
      </c>
      <c r="E637" s="429">
        <v>0</v>
      </c>
      <c r="F637" s="429">
        <f t="shared" si="115"/>
        <v>7390</v>
      </c>
      <c r="G637" s="536"/>
      <c r="H637" s="443">
        <v>100</v>
      </c>
      <c r="I637" s="428">
        <v>9.09</v>
      </c>
      <c r="J637" s="429">
        <v>0</v>
      </c>
      <c r="K637" s="429">
        <f t="shared" si="118"/>
        <v>909</v>
      </c>
      <c r="L637" s="427"/>
      <c r="M637" s="429"/>
    </row>
    <row r="638" spans="1:13" x14ac:dyDescent="0.25">
      <c r="A638" s="427"/>
      <c r="B638" s="473">
        <v>42352</v>
      </c>
      <c r="C638" s="427">
        <v>100</v>
      </c>
      <c r="D638" s="428">
        <v>14.57</v>
      </c>
      <c r="E638" s="429">
        <v>0</v>
      </c>
      <c r="F638" s="429">
        <f t="shared" si="115"/>
        <v>1457</v>
      </c>
      <c r="G638" s="536"/>
      <c r="H638" s="443">
        <v>500</v>
      </c>
      <c r="I638" s="428">
        <v>8.81</v>
      </c>
      <c r="J638" s="429">
        <v>0.1</v>
      </c>
      <c r="K638" s="429">
        <f t="shared" si="118"/>
        <v>4404.8999999999996</v>
      </c>
      <c r="L638" s="427"/>
      <c r="M638" s="429"/>
    </row>
    <row r="639" spans="1:13" x14ac:dyDescent="0.25">
      <c r="A639" s="427"/>
      <c r="B639" s="473">
        <v>42355</v>
      </c>
      <c r="C639" s="427">
        <v>500</v>
      </c>
      <c r="D639" s="428">
        <v>13.89</v>
      </c>
      <c r="E639" s="429">
        <v>0</v>
      </c>
      <c r="F639" s="429">
        <f t="shared" si="115"/>
        <v>6945</v>
      </c>
      <c r="G639" s="426">
        <v>42432</v>
      </c>
      <c r="H639" s="443">
        <v>600</v>
      </c>
      <c r="I639" s="428">
        <v>9.65</v>
      </c>
      <c r="J639" s="429">
        <v>0.13</v>
      </c>
      <c r="K639" s="429">
        <f t="shared" si="118"/>
        <v>5789.87</v>
      </c>
      <c r="L639" s="427"/>
      <c r="M639" s="429"/>
    </row>
    <row r="640" spans="1:13" x14ac:dyDescent="0.25">
      <c r="A640" s="427"/>
      <c r="B640" s="473">
        <v>42360</v>
      </c>
      <c r="C640" s="427">
        <v>500</v>
      </c>
      <c r="D640" s="428">
        <v>12.95</v>
      </c>
      <c r="E640" s="429">
        <v>0</v>
      </c>
      <c r="F640" s="429">
        <f t="shared" si="115"/>
        <v>6475</v>
      </c>
      <c r="G640" s="426">
        <v>42433</v>
      </c>
      <c r="H640" s="443">
        <v>600</v>
      </c>
      <c r="I640" s="428">
        <v>10.45</v>
      </c>
      <c r="J640" s="429">
        <v>0.14000000000000001</v>
      </c>
      <c r="K640" s="429">
        <f t="shared" si="118"/>
        <v>6269.86</v>
      </c>
      <c r="L640" s="427"/>
      <c r="M640" s="429"/>
    </row>
    <row r="641" spans="1:13" x14ac:dyDescent="0.25">
      <c r="A641" s="427"/>
      <c r="B641" s="473">
        <v>42361</v>
      </c>
      <c r="C641" s="427">
        <v>500</v>
      </c>
      <c r="D641" s="428">
        <v>12.75</v>
      </c>
      <c r="E641" s="429">
        <v>0</v>
      </c>
      <c r="F641" s="429">
        <f t="shared" si="115"/>
        <v>6375</v>
      </c>
      <c r="G641" s="426">
        <v>42440</v>
      </c>
      <c r="H641" s="443">
        <v>400</v>
      </c>
      <c r="I641" s="428">
        <v>11.25</v>
      </c>
      <c r="J641" s="429">
        <v>0.1</v>
      </c>
      <c r="K641" s="429">
        <f t="shared" si="118"/>
        <v>4499.8999999999996</v>
      </c>
      <c r="L641" s="427"/>
      <c r="M641" s="429"/>
    </row>
    <row r="642" spans="1:13" x14ac:dyDescent="0.25">
      <c r="A642" s="427"/>
      <c r="B642" s="473">
        <v>42361</v>
      </c>
      <c r="C642" s="427">
        <v>500</v>
      </c>
      <c r="D642" s="428">
        <v>12.8</v>
      </c>
      <c r="E642" s="429">
        <v>0</v>
      </c>
      <c r="F642" s="429">
        <f t="shared" si="115"/>
        <v>6400</v>
      </c>
      <c r="G642" s="426">
        <v>42446</v>
      </c>
      <c r="H642" s="443">
        <v>1500</v>
      </c>
      <c r="I642" s="428">
        <v>11.49</v>
      </c>
      <c r="J642" s="429">
        <v>0.38</v>
      </c>
      <c r="K642" s="429">
        <f t="shared" si="118"/>
        <v>17234.62</v>
      </c>
      <c r="L642" s="427"/>
      <c r="M642" s="429"/>
    </row>
    <row r="643" spans="1:13" x14ac:dyDescent="0.25">
      <c r="A643" s="427"/>
      <c r="B643" s="473">
        <v>42361</v>
      </c>
      <c r="C643" s="427">
        <v>1000</v>
      </c>
      <c r="D643" s="428">
        <v>12.67</v>
      </c>
      <c r="E643" s="429">
        <v>0</v>
      </c>
      <c r="F643" s="429">
        <f t="shared" si="115"/>
        <v>12670</v>
      </c>
      <c r="G643" s="426">
        <v>42447</v>
      </c>
      <c r="H643" s="443">
        <v>1500</v>
      </c>
      <c r="I643" s="428">
        <v>11.44</v>
      </c>
      <c r="J643" s="429">
        <v>0.37</v>
      </c>
      <c r="K643" s="429">
        <f t="shared" si="118"/>
        <v>17159.63</v>
      </c>
      <c r="L643" s="427"/>
      <c r="M643" s="429"/>
    </row>
    <row r="644" spans="1:13" x14ac:dyDescent="0.25">
      <c r="A644" s="427"/>
      <c r="B644" s="473">
        <v>42361</v>
      </c>
      <c r="C644" s="427">
        <v>222</v>
      </c>
      <c r="D644" s="428">
        <v>12.44</v>
      </c>
      <c r="E644" s="429">
        <v>0</v>
      </c>
      <c r="F644" s="429">
        <f t="shared" si="115"/>
        <v>2761.68</v>
      </c>
      <c r="G644" s="426">
        <v>42447</v>
      </c>
      <c r="H644" s="443">
        <v>500</v>
      </c>
      <c r="I644" s="428">
        <v>11.484999999999999</v>
      </c>
      <c r="J644" s="429">
        <v>0.13</v>
      </c>
      <c r="K644" s="429">
        <f t="shared" si="118"/>
        <v>5742.37</v>
      </c>
      <c r="L644" s="427"/>
      <c r="M644" s="429"/>
    </row>
    <row r="645" spans="1:13" x14ac:dyDescent="0.25">
      <c r="A645" s="427"/>
      <c r="B645" s="473">
        <v>42367</v>
      </c>
      <c r="C645" s="427">
        <v>2178</v>
      </c>
      <c r="D645" s="428">
        <v>13.68</v>
      </c>
      <c r="E645" s="429">
        <v>0</v>
      </c>
      <c r="F645" s="429">
        <f t="shared" si="115"/>
        <v>29795.040000000001</v>
      </c>
      <c r="G645" s="535">
        <v>42447</v>
      </c>
      <c r="H645" s="443">
        <v>650</v>
      </c>
      <c r="I645" s="428">
        <v>11.56</v>
      </c>
      <c r="J645" s="429">
        <v>0.25</v>
      </c>
      <c r="K645" s="429">
        <f t="shared" si="118"/>
        <v>7513.75</v>
      </c>
      <c r="L645" s="427"/>
      <c r="M645" s="429"/>
    </row>
    <row r="646" spans="1:13" x14ac:dyDescent="0.25">
      <c r="A646" s="427"/>
      <c r="B646" s="473">
        <v>42369</v>
      </c>
      <c r="C646" s="427">
        <v>2500</v>
      </c>
      <c r="D646" s="428">
        <v>13.04</v>
      </c>
      <c r="E646" s="429">
        <v>0</v>
      </c>
      <c r="F646" s="429">
        <f t="shared" si="115"/>
        <v>32599.999999999996</v>
      </c>
      <c r="G646" s="535"/>
      <c r="H646" s="443">
        <v>350</v>
      </c>
      <c r="I646" s="428">
        <v>11.56</v>
      </c>
      <c r="J646" s="429">
        <v>0</v>
      </c>
      <c r="K646" s="429">
        <f t="shared" si="118"/>
        <v>4046</v>
      </c>
      <c r="L646" s="427"/>
      <c r="M646" s="429"/>
    </row>
    <row r="647" spans="1:13" x14ac:dyDescent="0.25">
      <c r="A647" s="427"/>
      <c r="B647" s="473">
        <v>42008</v>
      </c>
      <c r="C647" s="427">
        <v>2000</v>
      </c>
      <c r="D647" s="428">
        <v>13.01</v>
      </c>
      <c r="E647" s="429">
        <v>0</v>
      </c>
      <c r="F647" s="429">
        <f t="shared" si="115"/>
        <v>26020</v>
      </c>
      <c r="G647" s="426">
        <v>42447</v>
      </c>
      <c r="H647" s="443">
        <v>1000</v>
      </c>
      <c r="I647" s="428">
        <v>11.62</v>
      </c>
      <c r="J647" s="429">
        <v>0.25</v>
      </c>
      <c r="K647" s="429">
        <f t="shared" si="118"/>
        <v>11619.75</v>
      </c>
      <c r="L647" s="427"/>
      <c r="M647" s="429"/>
    </row>
    <row r="648" spans="1:13" x14ac:dyDescent="0.25">
      <c r="A648" s="427"/>
      <c r="B648" s="473">
        <v>42009</v>
      </c>
      <c r="C648" s="427">
        <v>500</v>
      </c>
      <c r="D648" s="428">
        <v>12.62</v>
      </c>
      <c r="E648" s="429">
        <v>0</v>
      </c>
      <c r="F648" s="429">
        <f t="shared" si="115"/>
        <v>6310</v>
      </c>
      <c r="G648" s="426">
        <v>42451</v>
      </c>
      <c r="H648" s="443">
        <v>1000</v>
      </c>
      <c r="I648" s="428">
        <v>11.45</v>
      </c>
      <c r="J648" s="429">
        <v>0.25</v>
      </c>
      <c r="K648" s="429">
        <f t="shared" si="118"/>
        <v>11449.75</v>
      </c>
      <c r="L648" s="427"/>
      <c r="M648" s="429"/>
    </row>
    <row r="649" spans="1:13" x14ac:dyDescent="0.25">
      <c r="A649" s="427"/>
      <c r="B649" s="473">
        <v>42009</v>
      </c>
      <c r="C649" s="427">
        <v>500</v>
      </c>
      <c r="D649" s="428">
        <v>12.45</v>
      </c>
      <c r="E649" s="429">
        <v>0</v>
      </c>
      <c r="F649" s="429">
        <f t="shared" si="115"/>
        <v>6225</v>
      </c>
      <c r="G649" s="426">
        <v>42451</v>
      </c>
      <c r="H649" s="443">
        <v>50</v>
      </c>
      <c r="I649" s="428">
        <v>11.28</v>
      </c>
      <c r="J649" s="429">
        <v>0.01</v>
      </c>
      <c r="K649" s="429">
        <f t="shared" si="118"/>
        <v>563.99</v>
      </c>
      <c r="L649" s="427"/>
      <c r="M649" s="429"/>
    </row>
    <row r="650" spans="1:13" x14ac:dyDescent="0.25">
      <c r="A650" s="427"/>
      <c r="B650" s="522">
        <v>42374</v>
      </c>
      <c r="C650" s="427">
        <v>2000</v>
      </c>
      <c r="D650" s="428">
        <v>12.73</v>
      </c>
      <c r="E650" s="429">
        <v>0</v>
      </c>
      <c r="F650" s="429">
        <f t="shared" ref="F650:F713" si="119">C650*D650+E650</f>
        <v>25460</v>
      </c>
      <c r="G650" s="426">
        <v>42459</v>
      </c>
      <c r="H650" s="443">
        <v>2000</v>
      </c>
      <c r="I650" s="428">
        <v>10.75</v>
      </c>
      <c r="J650" s="429">
        <v>0.47</v>
      </c>
      <c r="K650" s="429">
        <f t="shared" si="118"/>
        <v>21499.53</v>
      </c>
      <c r="L650" s="427"/>
      <c r="M650" s="429"/>
    </row>
    <row r="651" spans="1:13" x14ac:dyDescent="0.25">
      <c r="A651" s="427"/>
      <c r="B651" s="473">
        <v>42375</v>
      </c>
      <c r="C651" s="427">
        <v>1000</v>
      </c>
      <c r="D651" s="428">
        <v>12.5</v>
      </c>
      <c r="E651" s="429">
        <v>0</v>
      </c>
      <c r="F651" s="429">
        <f t="shared" si="119"/>
        <v>12500</v>
      </c>
      <c r="G651" s="426">
        <v>42460</v>
      </c>
      <c r="H651" s="443">
        <v>1600</v>
      </c>
      <c r="I651" s="428">
        <v>10.95</v>
      </c>
      <c r="J651" s="429">
        <v>2.88</v>
      </c>
      <c r="K651" s="429">
        <f t="shared" si="118"/>
        <v>17517.12</v>
      </c>
      <c r="L651" s="427"/>
      <c r="M651" s="429"/>
    </row>
    <row r="652" spans="1:13" x14ac:dyDescent="0.25">
      <c r="A652" s="427"/>
      <c r="B652" s="473">
        <v>42375</v>
      </c>
      <c r="C652" s="427">
        <v>1000</v>
      </c>
      <c r="D652" s="428">
        <v>11.7</v>
      </c>
      <c r="E652" s="429">
        <v>0</v>
      </c>
      <c r="F652" s="429">
        <f t="shared" si="119"/>
        <v>11700</v>
      </c>
      <c r="G652" s="426">
        <v>42461</v>
      </c>
      <c r="H652" s="443">
        <v>2000</v>
      </c>
      <c r="I652" s="428">
        <v>10.52</v>
      </c>
      <c r="J652" s="429">
        <v>0.46</v>
      </c>
      <c r="K652" s="429">
        <f t="shared" si="118"/>
        <v>21039.54</v>
      </c>
      <c r="L652" s="427"/>
      <c r="M652" s="429"/>
    </row>
    <row r="653" spans="1:13" x14ac:dyDescent="0.25">
      <c r="A653" s="427"/>
      <c r="B653" s="473">
        <v>42402</v>
      </c>
      <c r="C653" s="427">
        <v>400</v>
      </c>
      <c r="D653" s="428">
        <v>9.1</v>
      </c>
      <c r="E653" s="429">
        <v>0</v>
      </c>
      <c r="F653" s="429">
        <f t="shared" si="119"/>
        <v>3640</v>
      </c>
      <c r="G653" s="426">
        <v>42461</v>
      </c>
      <c r="H653" s="443">
        <v>2000</v>
      </c>
      <c r="I653" s="428">
        <v>10.55</v>
      </c>
      <c r="J653" s="429">
        <v>0.46</v>
      </c>
      <c r="K653" s="429">
        <f t="shared" si="118"/>
        <v>21099.54</v>
      </c>
      <c r="L653" s="427"/>
      <c r="M653" s="429"/>
    </row>
    <row r="654" spans="1:13" x14ac:dyDescent="0.25">
      <c r="A654" s="427"/>
      <c r="B654" s="473">
        <v>42411</v>
      </c>
      <c r="C654" s="427">
        <v>500</v>
      </c>
      <c r="D654" s="428">
        <v>6.835</v>
      </c>
      <c r="E654" s="429">
        <v>0</v>
      </c>
      <c r="F654" s="429">
        <f t="shared" si="119"/>
        <v>3417.5</v>
      </c>
      <c r="G654" s="426">
        <v>42465</v>
      </c>
      <c r="H654" s="443">
        <v>100</v>
      </c>
      <c r="I654" s="428">
        <v>10.75</v>
      </c>
      <c r="J654" s="429">
        <v>0.02</v>
      </c>
      <c r="K654" s="429">
        <f t="shared" si="118"/>
        <v>1074.98</v>
      </c>
      <c r="L654" s="427"/>
      <c r="M654" s="429"/>
    </row>
    <row r="655" spans="1:13" x14ac:dyDescent="0.25">
      <c r="A655" s="427"/>
      <c r="B655" s="473">
        <v>42412</v>
      </c>
      <c r="C655" s="427">
        <v>200</v>
      </c>
      <c r="D655" s="428">
        <v>7.23</v>
      </c>
      <c r="E655" s="429">
        <v>0</v>
      </c>
      <c r="F655" s="429">
        <f t="shared" si="119"/>
        <v>1446</v>
      </c>
      <c r="G655" s="426">
        <v>42468</v>
      </c>
      <c r="H655" s="443">
        <v>1000</v>
      </c>
      <c r="I655" s="428">
        <v>11.77</v>
      </c>
      <c r="J655" s="429">
        <v>0.26</v>
      </c>
      <c r="K655" s="429">
        <f t="shared" si="118"/>
        <v>11769.74</v>
      </c>
      <c r="L655" s="427"/>
      <c r="M655" s="429"/>
    </row>
    <row r="656" spans="1:13" x14ac:dyDescent="0.25">
      <c r="A656" s="427"/>
      <c r="B656" s="473">
        <v>42416</v>
      </c>
      <c r="C656" s="427">
        <v>500</v>
      </c>
      <c r="D656" s="428">
        <v>7.5</v>
      </c>
      <c r="E656" s="429">
        <v>0</v>
      </c>
      <c r="F656" s="429">
        <f t="shared" si="119"/>
        <v>3750</v>
      </c>
      <c r="G656" s="535">
        <v>42472</v>
      </c>
      <c r="H656" s="443">
        <v>420</v>
      </c>
      <c r="I656" s="428">
        <v>13.35</v>
      </c>
      <c r="J656" s="429">
        <v>0.15</v>
      </c>
      <c r="K656" s="429">
        <f t="shared" si="118"/>
        <v>5606.85</v>
      </c>
      <c r="L656" s="427"/>
      <c r="M656" s="429"/>
    </row>
    <row r="657" spans="1:13" ht="30" x14ac:dyDescent="0.25">
      <c r="A657" s="427"/>
      <c r="B657" s="538" t="s">
        <v>178</v>
      </c>
      <c r="C657" s="427">
        <v>3000</v>
      </c>
      <c r="D657" s="428">
        <v>7.55</v>
      </c>
      <c r="E657" s="429">
        <v>0</v>
      </c>
      <c r="F657" s="429">
        <f t="shared" si="119"/>
        <v>22650</v>
      </c>
      <c r="G657" s="535"/>
      <c r="H657" s="443">
        <v>80</v>
      </c>
      <c r="I657" s="428">
        <v>13.35</v>
      </c>
      <c r="J657" s="429">
        <v>0</v>
      </c>
      <c r="K657" s="429">
        <f t="shared" si="118"/>
        <v>1068</v>
      </c>
      <c r="L657" s="427"/>
      <c r="M657" s="429"/>
    </row>
    <row r="658" spans="1:13" x14ac:dyDescent="0.25">
      <c r="A658" s="427"/>
      <c r="B658" s="538"/>
      <c r="C658" s="427">
        <v>500</v>
      </c>
      <c r="D658" s="428">
        <v>6.75</v>
      </c>
      <c r="E658" s="429">
        <v>0</v>
      </c>
      <c r="F658" s="429">
        <f t="shared" si="119"/>
        <v>3375</v>
      </c>
      <c r="G658" s="426">
        <v>42472</v>
      </c>
      <c r="H658" s="443">
        <v>500</v>
      </c>
      <c r="I658" s="428">
        <v>13.15</v>
      </c>
      <c r="J658" s="429">
        <v>0.14000000000000001</v>
      </c>
      <c r="K658" s="429">
        <f t="shared" si="118"/>
        <v>6574.86</v>
      </c>
      <c r="L658" s="427"/>
      <c r="M658" s="429"/>
    </row>
    <row r="659" spans="1:13" x14ac:dyDescent="0.25">
      <c r="A659" s="427"/>
      <c r="B659" s="538"/>
      <c r="C659" s="427">
        <v>300</v>
      </c>
      <c r="D659" s="428">
        <v>6.75</v>
      </c>
      <c r="E659" s="429">
        <v>0</v>
      </c>
      <c r="F659" s="429">
        <f t="shared" si="119"/>
        <v>2025</v>
      </c>
      <c r="G659" s="426">
        <v>42472</v>
      </c>
      <c r="H659" s="443">
        <v>500</v>
      </c>
      <c r="I659" s="428">
        <v>12.92</v>
      </c>
      <c r="J659" s="429">
        <v>0.14000000000000001</v>
      </c>
      <c r="K659" s="429">
        <f t="shared" si="118"/>
        <v>6459.86</v>
      </c>
      <c r="L659" s="427"/>
      <c r="M659" s="429"/>
    </row>
    <row r="660" spans="1:13" x14ac:dyDescent="0.25">
      <c r="A660" s="427"/>
      <c r="B660" s="473">
        <v>42426</v>
      </c>
      <c r="C660" s="427">
        <v>600</v>
      </c>
      <c r="D660" s="428">
        <v>7.63</v>
      </c>
      <c r="E660" s="429">
        <v>0</v>
      </c>
      <c r="F660" s="429">
        <f t="shared" si="119"/>
        <v>4578</v>
      </c>
      <c r="G660" s="426">
        <v>42472</v>
      </c>
      <c r="H660" s="443">
        <v>500</v>
      </c>
      <c r="I660" s="428">
        <v>12.59</v>
      </c>
      <c r="J660" s="429">
        <v>0.14000000000000001</v>
      </c>
      <c r="K660" s="429">
        <f t="shared" si="118"/>
        <v>6294.86</v>
      </c>
      <c r="L660" s="427"/>
      <c r="M660" s="429"/>
    </row>
    <row r="661" spans="1:13" x14ac:dyDescent="0.25">
      <c r="A661" s="427"/>
      <c r="B661" s="473">
        <v>42426</v>
      </c>
      <c r="C661" s="427">
        <v>2000</v>
      </c>
      <c r="D661" s="428">
        <v>7.95</v>
      </c>
      <c r="E661" s="429">
        <v>0</v>
      </c>
      <c r="F661" s="429">
        <f t="shared" si="119"/>
        <v>15900</v>
      </c>
      <c r="G661" s="426">
        <v>42474</v>
      </c>
      <c r="H661" s="443">
        <v>500</v>
      </c>
      <c r="I661" s="428">
        <v>13.18</v>
      </c>
      <c r="J661" s="429">
        <v>0.14000000000000001</v>
      </c>
      <c r="K661" s="429">
        <f t="shared" si="118"/>
        <v>6589.86</v>
      </c>
      <c r="L661" s="427"/>
      <c r="M661" s="429"/>
    </row>
    <row r="662" spans="1:13" x14ac:dyDescent="0.25">
      <c r="A662" s="427"/>
      <c r="B662" s="473">
        <v>42429</v>
      </c>
      <c r="C662" s="427">
        <v>2000</v>
      </c>
      <c r="D662" s="428">
        <v>8.1999999999999993</v>
      </c>
      <c r="E662" s="429">
        <v>0</v>
      </c>
      <c r="F662" s="429">
        <f t="shared" si="119"/>
        <v>16400</v>
      </c>
      <c r="G662" s="426">
        <v>42478</v>
      </c>
      <c r="H662" s="443">
        <v>500</v>
      </c>
      <c r="I662" s="428">
        <v>13.4</v>
      </c>
      <c r="J662" s="429">
        <v>0.15</v>
      </c>
      <c r="K662" s="429">
        <f t="shared" si="118"/>
        <v>6699.85</v>
      </c>
      <c r="L662" s="427"/>
      <c r="M662" s="429"/>
    </row>
    <row r="663" spans="1:13" x14ac:dyDescent="0.25">
      <c r="A663" s="429"/>
      <c r="B663" s="473">
        <v>42429</v>
      </c>
      <c r="C663" s="427">
        <v>500</v>
      </c>
      <c r="D663" s="428">
        <v>7.88</v>
      </c>
      <c r="E663" s="429">
        <v>0</v>
      </c>
      <c r="F663" s="429">
        <f t="shared" si="119"/>
        <v>3940</v>
      </c>
      <c r="G663" s="426">
        <v>42486</v>
      </c>
      <c r="H663" s="443">
        <v>500</v>
      </c>
      <c r="I663" s="428">
        <v>14.35</v>
      </c>
      <c r="J663" s="429">
        <v>0.16</v>
      </c>
      <c r="K663" s="429">
        <f t="shared" si="118"/>
        <v>7174.84</v>
      </c>
      <c r="L663" s="427"/>
      <c r="M663" s="429"/>
    </row>
    <row r="664" spans="1:13" x14ac:dyDescent="0.25">
      <c r="A664" s="427"/>
      <c r="B664" s="473">
        <v>42430</v>
      </c>
      <c r="C664" s="427">
        <v>1000</v>
      </c>
      <c r="D664" s="428">
        <v>7.77</v>
      </c>
      <c r="E664" s="429">
        <v>0</v>
      </c>
      <c r="F664" s="429">
        <f t="shared" si="119"/>
        <v>7770</v>
      </c>
      <c r="G664" s="426">
        <v>42487</v>
      </c>
      <c r="H664" s="443">
        <v>600</v>
      </c>
      <c r="I664" s="428">
        <v>14.85</v>
      </c>
      <c r="J664" s="429">
        <v>0.19</v>
      </c>
      <c r="K664" s="429">
        <f t="shared" si="118"/>
        <v>8909.81</v>
      </c>
      <c r="L664" s="427"/>
      <c r="M664" s="429"/>
    </row>
    <row r="665" spans="1:13" x14ac:dyDescent="0.25">
      <c r="A665" s="427"/>
      <c r="B665" s="473">
        <v>42430</v>
      </c>
      <c r="C665" s="427">
        <v>500</v>
      </c>
      <c r="D665" s="428">
        <v>7.94</v>
      </c>
      <c r="E665" s="429">
        <v>0</v>
      </c>
      <c r="F665" s="429">
        <f t="shared" si="119"/>
        <v>3970</v>
      </c>
      <c r="G665" s="426">
        <v>42489</v>
      </c>
      <c r="H665" s="443">
        <v>3000</v>
      </c>
      <c r="I665" s="428">
        <v>14.15</v>
      </c>
      <c r="J665" s="429">
        <v>0.93</v>
      </c>
      <c r="K665" s="429">
        <f t="shared" si="118"/>
        <v>42449.07</v>
      </c>
      <c r="L665" s="427"/>
      <c r="M665" s="429"/>
    </row>
    <row r="666" spans="1:13" x14ac:dyDescent="0.25">
      <c r="A666" s="427"/>
      <c r="B666" s="473">
        <v>42431</v>
      </c>
      <c r="C666" s="427">
        <v>1000</v>
      </c>
      <c r="D666" s="428">
        <v>8.3699999999999992</v>
      </c>
      <c r="E666" s="429">
        <v>0</v>
      </c>
      <c r="F666" s="429">
        <f t="shared" si="119"/>
        <v>8370</v>
      </c>
      <c r="G666" s="426">
        <v>42492</v>
      </c>
      <c r="H666" s="443">
        <v>1000</v>
      </c>
      <c r="I666" s="428">
        <v>13.48</v>
      </c>
      <c r="J666" s="429">
        <v>0.28999999999999998</v>
      </c>
      <c r="K666" s="429">
        <f t="shared" si="118"/>
        <v>13479.71</v>
      </c>
      <c r="L666" s="427"/>
      <c r="M666" s="429"/>
    </row>
    <row r="667" spans="1:13" x14ac:dyDescent="0.25">
      <c r="A667" s="427"/>
      <c r="B667" s="473">
        <v>42432</v>
      </c>
      <c r="C667" s="427">
        <v>600</v>
      </c>
      <c r="D667" s="428">
        <v>9.3699999999999992</v>
      </c>
      <c r="E667" s="429">
        <v>0</v>
      </c>
      <c r="F667" s="429">
        <f t="shared" si="119"/>
        <v>5621.9999999999991</v>
      </c>
      <c r="G667" s="426">
        <v>42492</v>
      </c>
      <c r="H667" s="443">
        <v>1000</v>
      </c>
      <c r="I667" s="428">
        <v>13.61</v>
      </c>
      <c r="J667" s="429">
        <v>0.3</v>
      </c>
      <c r="K667" s="429">
        <f t="shared" si="118"/>
        <v>13609.7</v>
      </c>
      <c r="L667" s="427"/>
      <c r="M667" s="429"/>
    </row>
    <row r="668" spans="1:13" x14ac:dyDescent="0.25">
      <c r="A668" s="427"/>
      <c r="B668" s="473">
        <v>42432</v>
      </c>
      <c r="C668" s="427">
        <v>600</v>
      </c>
      <c r="D668" s="428">
        <v>8.8800000000000008</v>
      </c>
      <c r="E668" s="429">
        <v>0</v>
      </c>
      <c r="F668" s="429">
        <f t="shared" si="119"/>
        <v>5328.0000000000009</v>
      </c>
      <c r="G668" s="426">
        <v>42493</v>
      </c>
      <c r="H668" s="443">
        <v>322</v>
      </c>
      <c r="I668" s="428">
        <v>13.28</v>
      </c>
      <c r="J668" s="429">
        <v>0.09</v>
      </c>
      <c r="K668" s="429">
        <f t="shared" si="118"/>
        <v>4276.07</v>
      </c>
      <c r="L668" s="427"/>
      <c r="M668" s="429"/>
    </row>
    <row r="669" spans="1:13" x14ac:dyDescent="0.25">
      <c r="A669" s="427"/>
      <c r="B669" s="473">
        <v>42433</v>
      </c>
      <c r="C669" s="427">
        <v>600</v>
      </c>
      <c r="D669" s="428">
        <v>10.42</v>
      </c>
      <c r="E669" s="429">
        <v>0</v>
      </c>
      <c r="F669" s="429">
        <f t="shared" si="119"/>
        <v>6252</v>
      </c>
      <c r="G669" s="426">
        <v>42495</v>
      </c>
      <c r="H669" s="443">
        <v>1000</v>
      </c>
      <c r="I669" s="428">
        <v>12.05</v>
      </c>
      <c r="J669" s="429">
        <v>0.26</v>
      </c>
      <c r="K669" s="429">
        <f t="shared" si="118"/>
        <v>12049.74</v>
      </c>
      <c r="L669" s="427"/>
      <c r="M669" s="429"/>
    </row>
    <row r="670" spans="1:13" x14ac:dyDescent="0.25">
      <c r="A670" s="427"/>
      <c r="B670" s="473">
        <v>42440</v>
      </c>
      <c r="C670" s="427">
        <v>400</v>
      </c>
      <c r="D670" s="428">
        <v>11.12</v>
      </c>
      <c r="E670" s="429">
        <v>0</v>
      </c>
      <c r="F670" s="429">
        <f t="shared" si="119"/>
        <v>4448</v>
      </c>
      <c r="G670" s="426">
        <v>42495</v>
      </c>
      <c r="H670" s="443">
        <v>2000</v>
      </c>
      <c r="I670" s="428">
        <v>12.63</v>
      </c>
      <c r="J670" s="429">
        <v>0.55000000000000004</v>
      </c>
      <c r="K670" s="429">
        <f t="shared" si="118"/>
        <v>25259.45</v>
      </c>
      <c r="L670" s="427"/>
      <c r="M670" s="429"/>
    </row>
    <row r="671" spans="1:13" x14ac:dyDescent="0.25">
      <c r="A671" s="427"/>
      <c r="B671" s="473">
        <v>42446</v>
      </c>
      <c r="C671" s="427">
        <v>1500</v>
      </c>
      <c r="D671" s="428">
        <v>11.445</v>
      </c>
      <c r="E671" s="429">
        <v>0</v>
      </c>
      <c r="F671" s="429">
        <f t="shared" si="119"/>
        <v>17167.5</v>
      </c>
      <c r="G671" s="426">
        <v>42500</v>
      </c>
      <c r="H671" s="443">
        <v>1000</v>
      </c>
      <c r="I671" s="428">
        <v>11.66</v>
      </c>
      <c r="J671" s="429">
        <v>5.25</v>
      </c>
      <c r="K671" s="429">
        <f t="shared" si="118"/>
        <v>11654.75</v>
      </c>
      <c r="L671" s="427"/>
      <c r="M671" s="429"/>
    </row>
    <row r="672" spans="1:13" x14ac:dyDescent="0.25">
      <c r="A672" s="427"/>
      <c r="B672" s="534">
        <v>42447</v>
      </c>
      <c r="C672" s="427">
        <v>1500</v>
      </c>
      <c r="D672" s="428">
        <v>11.42</v>
      </c>
      <c r="E672" s="429">
        <v>0</v>
      </c>
      <c r="F672" s="429">
        <f t="shared" si="119"/>
        <v>17130</v>
      </c>
      <c r="G672" s="426">
        <v>42502</v>
      </c>
      <c r="H672" s="443">
        <v>1500</v>
      </c>
      <c r="I672" s="428">
        <v>12.36</v>
      </c>
      <c r="J672" s="429">
        <v>0.4</v>
      </c>
      <c r="K672" s="429">
        <f t="shared" si="118"/>
        <v>18539.599999999999</v>
      </c>
      <c r="L672" s="427"/>
      <c r="M672" s="429"/>
    </row>
    <row r="673" spans="1:13" x14ac:dyDescent="0.25">
      <c r="A673" s="427"/>
      <c r="B673" s="539"/>
      <c r="C673" s="427">
        <v>500</v>
      </c>
      <c r="D673" s="428">
        <v>11.42</v>
      </c>
      <c r="E673" s="429">
        <v>0</v>
      </c>
      <c r="F673" s="429">
        <f t="shared" si="119"/>
        <v>5710</v>
      </c>
      <c r="G673" s="426">
        <v>42503</v>
      </c>
      <c r="H673" s="443">
        <v>500</v>
      </c>
      <c r="I673" s="428">
        <v>12.49</v>
      </c>
      <c r="J673" s="429">
        <v>0.14000000000000001</v>
      </c>
      <c r="K673" s="429">
        <f t="shared" si="118"/>
        <v>6244.86</v>
      </c>
      <c r="L673" s="427"/>
      <c r="M673" s="429"/>
    </row>
    <row r="674" spans="1:13" x14ac:dyDescent="0.25">
      <c r="A674" s="427"/>
      <c r="B674" s="473">
        <v>42447</v>
      </c>
      <c r="C674" s="427">
        <v>650</v>
      </c>
      <c r="D674" s="428">
        <v>11.545</v>
      </c>
      <c r="E674" s="429">
        <v>0.75</v>
      </c>
      <c r="F674" s="429">
        <f t="shared" si="119"/>
        <v>7505</v>
      </c>
      <c r="G674" s="426">
        <v>42506</v>
      </c>
      <c r="H674" s="443">
        <v>300</v>
      </c>
      <c r="I674" s="428">
        <v>12.85</v>
      </c>
      <c r="J674" s="429">
        <v>0.08</v>
      </c>
      <c r="K674" s="429">
        <f t="shared" si="118"/>
        <v>3854.92</v>
      </c>
      <c r="L674" s="427"/>
      <c r="M674" s="429"/>
    </row>
    <row r="675" spans="1:13" x14ac:dyDescent="0.25">
      <c r="A675" s="427"/>
      <c r="B675" s="473">
        <v>42450</v>
      </c>
      <c r="C675" s="427">
        <v>1350</v>
      </c>
      <c r="D675" s="428">
        <v>11.42</v>
      </c>
      <c r="E675" s="429">
        <v>0</v>
      </c>
      <c r="F675" s="429">
        <f t="shared" si="119"/>
        <v>15417</v>
      </c>
      <c r="G675" s="426">
        <v>42513</v>
      </c>
      <c r="H675" s="443">
        <v>500</v>
      </c>
      <c r="I675" s="428">
        <v>13.05</v>
      </c>
      <c r="J675" s="429">
        <v>0.14000000000000001</v>
      </c>
      <c r="K675" s="429">
        <f t="shared" si="118"/>
        <v>6524.86</v>
      </c>
      <c r="L675" s="427"/>
      <c r="M675" s="429"/>
    </row>
    <row r="676" spans="1:13" x14ac:dyDescent="0.25">
      <c r="A676" s="427"/>
      <c r="B676" s="473">
        <v>42451</v>
      </c>
      <c r="C676" s="427">
        <v>1000</v>
      </c>
      <c r="D676" s="428">
        <v>11.38</v>
      </c>
      <c r="E676" s="429">
        <v>0</v>
      </c>
      <c r="F676" s="429">
        <f t="shared" si="119"/>
        <v>11380</v>
      </c>
      <c r="G676" s="426">
        <v>42515</v>
      </c>
      <c r="H676" s="443">
        <v>500</v>
      </c>
      <c r="I676" s="428">
        <v>13.59</v>
      </c>
      <c r="J676" s="429">
        <v>0.15</v>
      </c>
      <c r="K676" s="429">
        <f t="shared" si="118"/>
        <v>6794.85</v>
      </c>
      <c r="L676" s="427"/>
      <c r="M676" s="429"/>
    </row>
    <row r="677" spans="1:13" x14ac:dyDescent="0.25">
      <c r="A677" s="427"/>
      <c r="B677" s="534">
        <v>42451</v>
      </c>
      <c r="C677" s="427">
        <v>50</v>
      </c>
      <c r="D677" s="428">
        <v>11.22</v>
      </c>
      <c r="E677" s="429">
        <v>0</v>
      </c>
      <c r="F677" s="429">
        <f t="shared" si="119"/>
        <v>561</v>
      </c>
      <c r="G677" s="426">
        <v>42515</v>
      </c>
      <c r="H677" s="443">
        <v>500</v>
      </c>
      <c r="I677" s="428">
        <v>13.57</v>
      </c>
      <c r="J677" s="429">
        <v>0.15</v>
      </c>
      <c r="K677" s="429">
        <f t="shared" si="118"/>
        <v>6784.85</v>
      </c>
      <c r="L677" s="427"/>
      <c r="M677" s="429"/>
    </row>
    <row r="678" spans="1:13" x14ac:dyDescent="0.25">
      <c r="A678" s="427"/>
      <c r="B678" s="534"/>
      <c r="C678" s="427">
        <v>350</v>
      </c>
      <c r="D678" s="428">
        <v>11.22</v>
      </c>
      <c r="E678" s="429">
        <v>0</v>
      </c>
      <c r="F678" s="429">
        <f t="shared" si="119"/>
        <v>3927</v>
      </c>
      <c r="G678" s="426">
        <v>42517</v>
      </c>
      <c r="H678" s="443">
        <v>500</v>
      </c>
      <c r="I678" s="428">
        <v>12.87</v>
      </c>
      <c r="J678" s="429">
        <v>0.14000000000000001</v>
      </c>
      <c r="K678" s="429">
        <f t="shared" si="118"/>
        <v>6434.86</v>
      </c>
      <c r="L678" s="427"/>
      <c r="M678" s="429"/>
    </row>
    <row r="679" spans="1:13" ht="45" x14ac:dyDescent="0.25">
      <c r="A679" s="427"/>
      <c r="B679" s="538" t="s">
        <v>190</v>
      </c>
      <c r="C679" s="427">
        <v>650</v>
      </c>
      <c r="D679" s="428">
        <v>11.22</v>
      </c>
      <c r="E679" s="429">
        <v>0</v>
      </c>
      <c r="F679" s="429">
        <f t="shared" si="119"/>
        <v>7293</v>
      </c>
      <c r="G679" s="426">
        <v>42524</v>
      </c>
      <c r="H679" s="443">
        <v>400</v>
      </c>
      <c r="I679" s="428">
        <v>13.38</v>
      </c>
      <c r="J679" s="429">
        <v>0.12</v>
      </c>
      <c r="K679" s="429">
        <f t="shared" si="118"/>
        <v>5351.88</v>
      </c>
      <c r="L679" s="427"/>
      <c r="M679" s="429"/>
    </row>
    <row r="680" spans="1:13" x14ac:dyDescent="0.25">
      <c r="A680" s="427"/>
      <c r="B680" s="538"/>
      <c r="C680" s="427">
        <v>500</v>
      </c>
      <c r="D680" s="428">
        <v>11.01</v>
      </c>
      <c r="E680" s="429">
        <v>0</v>
      </c>
      <c r="F680" s="429">
        <f t="shared" si="119"/>
        <v>5505</v>
      </c>
      <c r="G680" s="426">
        <v>42527</v>
      </c>
      <c r="H680" s="443">
        <v>1000</v>
      </c>
      <c r="I680" s="428">
        <v>13.82</v>
      </c>
      <c r="J680" s="429">
        <v>0.3</v>
      </c>
      <c r="K680" s="429">
        <f t="shared" si="118"/>
        <v>13819.7</v>
      </c>
      <c r="L680" s="427"/>
      <c r="M680" s="429"/>
    </row>
    <row r="681" spans="1:13" x14ac:dyDescent="0.25">
      <c r="A681" s="427"/>
      <c r="B681" s="538"/>
      <c r="C681" s="427">
        <v>500</v>
      </c>
      <c r="D681" s="428">
        <v>10.75</v>
      </c>
      <c r="E681" s="429">
        <v>0</v>
      </c>
      <c r="F681" s="429">
        <f t="shared" si="119"/>
        <v>5375</v>
      </c>
      <c r="G681" s="426">
        <v>42527</v>
      </c>
      <c r="H681" s="443">
        <v>500</v>
      </c>
      <c r="I681" s="428">
        <v>13.97</v>
      </c>
      <c r="J681" s="429">
        <v>1.1499999999999999</v>
      </c>
      <c r="K681" s="429">
        <f t="shared" si="118"/>
        <v>6983.85</v>
      </c>
      <c r="L681" s="427"/>
      <c r="M681" s="429"/>
    </row>
    <row r="682" spans="1:13" x14ac:dyDescent="0.25">
      <c r="A682" s="427"/>
      <c r="B682" s="538"/>
      <c r="C682" s="427">
        <v>1000</v>
      </c>
      <c r="D682" s="428">
        <v>10.4</v>
      </c>
      <c r="E682" s="429">
        <v>0</v>
      </c>
      <c r="F682" s="429">
        <f t="shared" si="119"/>
        <v>10400</v>
      </c>
      <c r="G682" s="426">
        <v>42528</v>
      </c>
      <c r="H682" s="443">
        <v>500</v>
      </c>
      <c r="I682" s="428">
        <v>14.65</v>
      </c>
      <c r="J682" s="429">
        <v>0.16</v>
      </c>
      <c r="K682" s="429">
        <f t="shared" si="118"/>
        <v>7324.84</v>
      </c>
      <c r="L682" s="427"/>
      <c r="M682" s="429"/>
    </row>
    <row r="683" spans="1:13" x14ac:dyDescent="0.25">
      <c r="A683" s="427"/>
      <c r="B683" s="538"/>
      <c r="C683" s="427">
        <v>1000</v>
      </c>
      <c r="D683" s="428">
        <v>10.185</v>
      </c>
      <c r="E683" s="429">
        <v>0</v>
      </c>
      <c r="F683" s="429">
        <f t="shared" si="119"/>
        <v>10185</v>
      </c>
      <c r="G683" s="426">
        <v>42536</v>
      </c>
      <c r="H683" s="443">
        <v>400</v>
      </c>
      <c r="I683" s="428">
        <v>13.43</v>
      </c>
      <c r="J683" s="429">
        <v>0.12</v>
      </c>
      <c r="K683" s="429">
        <f t="shared" si="118"/>
        <v>5371.88</v>
      </c>
      <c r="L683" s="427"/>
      <c r="M683" s="429"/>
    </row>
    <row r="684" spans="1:13" x14ac:dyDescent="0.25">
      <c r="A684" s="427"/>
      <c r="B684" s="473">
        <v>42461</v>
      </c>
      <c r="C684" s="427">
        <v>2000</v>
      </c>
      <c r="D684" s="428">
        <v>10.43</v>
      </c>
      <c r="E684" s="429">
        <v>0</v>
      </c>
      <c r="F684" s="429">
        <f t="shared" si="119"/>
        <v>20860</v>
      </c>
      <c r="G684" s="426">
        <v>42537</v>
      </c>
      <c r="H684" s="443">
        <v>400</v>
      </c>
      <c r="I684" s="428">
        <v>12.69</v>
      </c>
      <c r="J684" s="429">
        <v>0.11</v>
      </c>
      <c r="K684" s="429">
        <f t="shared" si="118"/>
        <v>5075.8900000000003</v>
      </c>
      <c r="L684" s="427"/>
      <c r="M684" s="429"/>
    </row>
    <row r="685" spans="1:13" x14ac:dyDescent="0.25">
      <c r="A685" s="427"/>
      <c r="B685" s="473">
        <v>42461</v>
      </c>
      <c r="C685" s="427">
        <v>2000</v>
      </c>
      <c r="D685" s="428">
        <v>10.42</v>
      </c>
      <c r="E685" s="429">
        <v>0</v>
      </c>
      <c r="F685" s="429">
        <f t="shared" si="119"/>
        <v>20840</v>
      </c>
      <c r="G685" s="426">
        <v>42538</v>
      </c>
      <c r="H685" s="443">
        <v>500</v>
      </c>
      <c r="I685" s="428">
        <v>13.34</v>
      </c>
      <c r="J685" s="429">
        <v>0.15</v>
      </c>
      <c r="K685" s="429">
        <f t="shared" si="118"/>
        <v>6669.85</v>
      </c>
      <c r="L685" s="427"/>
      <c r="M685" s="429"/>
    </row>
    <row r="686" spans="1:13" ht="45" x14ac:dyDescent="0.25">
      <c r="A686" s="427"/>
      <c r="B686" s="473">
        <v>42465</v>
      </c>
      <c r="C686" s="427">
        <v>100</v>
      </c>
      <c r="D686" s="428">
        <v>10.4</v>
      </c>
      <c r="E686" s="429">
        <v>0</v>
      </c>
      <c r="F686" s="429">
        <f t="shared" si="119"/>
        <v>1040</v>
      </c>
      <c r="G686" s="540" t="s">
        <v>214</v>
      </c>
      <c r="H686" s="443">
        <v>500</v>
      </c>
      <c r="I686" s="428">
        <v>13.91</v>
      </c>
      <c r="J686" s="429">
        <v>0.15</v>
      </c>
      <c r="K686" s="429">
        <f t="shared" si="118"/>
        <v>6954.85</v>
      </c>
      <c r="L686" s="427"/>
      <c r="M686" s="429"/>
    </row>
    <row r="687" spans="1:13" x14ac:dyDescent="0.25">
      <c r="A687" s="427"/>
      <c r="B687" s="473">
        <v>42471</v>
      </c>
      <c r="C687" s="427">
        <v>500</v>
      </c>
      <c r="D687" s="428">
        <v>11.77</v>
      </c>
      <c r="E687" s="429">
        <v>0</v>
      </c>
      <c r="F687" s="429">
        <f t="shared" si="119"/>
        <v>5885</v>
      </c>
      <c r="G687" s="540"/>
      <c r="H687" s="443">
        <v>600</v>
      </c>
      <c r="I687" s="428">
        <v>14.36</v>
      </c>
      <c r="J687" s="429">
        <v>0.19</v>
      </c>
      <c r="K687" s="429">
        <f t="shared" si="118"/>
        <v>8615.81</v>
      </c>
      <c r="L687" s="427"/>
      <c r="M687" s="429"/>
    </row>
    <row r="688" spans="1:13" x14ac:dyDescent="0.25">
      <c r="A688" s="427"/>
      <c r="B688" s="473">
        <v>42471</v>
      </c>
      <c r="C688" s="427">
        <v>500</v>
      </c>
      <c r="D688" s="428">
        <v>11.55</v>
      </c>
      <c r="E688" s="429">
        <v>0</v>
      </c>
      <c r="F688" s="429">
        <f t="shared" si="119"/>
        <v>5775</v>
      </c>
      <c r="G688" s="540"/>
      <c r="H688" s="443">
        <v>500</v>
      </c>
      <c r="I688" s="428">
        <v>14.65</v>
      </c>
      <c r="J688" s="429">
        <v>0.16</v>
      </c>
      <c r="K688" s="429">
        <f t="shared" si="118"/>
        <v>7324.84</v>
      </c>
      <c r="L688" s="427"/>
      <c r="M688" s="429"/>
    </row>
    <row r="689" spans="1:13" x14ac:dyDescent="0.25">
      <c r="A689" s="427"/>
      <c r="B689" s="473">
        <v>42472</v>
      </c>
      <c r="C689" s="427">
        <v>610</v>
      </c>
      <c r="D689" s="428">
        <v>12.95</v>
      </c>
      <c r="E689" s="429">
        <v>0</v>
      </c>
      <c r="F689" s="429">
        <f t="shared" si="119"/>
        <v>7899.5</v>
      </c>
      <c r="G689" s="426">
        <v>42542</v>
      </c>
      <c r="H689" s="443">
        <v>500</v>
      </c>
      <c r="I689" s="428">
        <v>14.95</v>
      </c>
      <c r="J689" s="429">
        <v>0.16</v>
      </c>
      <c r="K689" s="429">
        <f t="shared" si="118"/>
        <v>7474.84</v>
      </c>
      <c r="L689" s="427"/>
      <c r="M689" s="429"/>
    </row>
    <row r="690" spans="1:13" x14ac:dyDescent="0.25">
      <c r="A690" s="427"/>
      <c r="B690" s="473">
        <v>42473</v>
      </c>
      <c r="C690" s="427">
        <v>970</v>
      </c>
      <c r="D690" s="428">
        <v>12.76</v>
      </c>
      <c r="E690" s="429">
        <v>4.0999999999999996</v>
      </c>
      <c r="F690" s="429">
        <f t="shared" si="119"/>
        <v>12381.3</v>
      </c>
      <c r="G690" s="426">
        <v>42542</v>
      </c>
      <c r="H690" s="443">
        <v>378</v>
      </c>
      <c r="I690" s="428">
        <v>15.2</v>
      </c>
      <c r="J690" s="429">
        <v>0.13</v>
      </c>
      <c r="K690" s="429">
        <f t="shared" si="118"/>
        <v>5745.4699999999993</v>
      </c>
      <c r="L690" s="427"/>
      <c r="M690" s="429"/>
    </row>
    <row r="691" spans="1:13" x14ac:dyDescent="0.25">
      <c r="A691" s="427"/>
      <c r="B691" s="473">
        <v>42474</v>
      </c>
      <c r="C691" s="427">
        <v>420</v>
      </c>
      <c r="D691" s="428">
        <v>12.755000000000001</v>
      </c>
      <c r="E691" s="429">
        <v>0.34</v>
      </c>
      <c r="F691" s="429">
        <f t="shared" si="119"/>
        <v>5357.4400000000005</v>
      </c>
      <c r="G691" s="427"/>
      <c r="H691" s="443"/>
      <c r="I691" s="428"/>
      <c r="J691" s="429"/>
      <c r="K691" s="429"/>
      <c r="L691" s="427"/>
      <c r="M691" s="429"/>
    </row>
    <row r="692" spans="1:13" x14ac:dyDescent="0.25">
      <c r="A692" s="427"/>
      <c r="B692" s="473">
        <v>42475</v>
      </c>
      <c r="C692" s="427">
        <v>500</v>
      </c>
      <c r="D692" s="428">
        <v>13.02</v>
      </c>
      <c r="E692" s="429">
        <v>-1.75</v>
      </c>
      <c r="F692" s="429">
        <f t="shared" si="119"/>
        <v>6508.25</v>
      </c>
      <c r="G692" s="427"/>
      <c r="H692" s="443"/>
      <c r="I692" s="428"/>
      <c r="J692" s="429"/>
      <c r="K692" s="429"/>
      <c r="L692" s="427"/>
      <c r="M692" s="429"/>
    </row>
    <row r="693" spans="1:13" x14ac:dyDescent="0.25">
      <c r="A693" s="427"/>
      <c r="B693" s="473">
        <v>42485</v>
      </c>
      <c r="C693" s="427">
        <v>500</v>
      </c>
      <c r="D693" s="428">
        <v>13.95</v>
      </c>
      <c r="E693" s="429">
        <v>0</v>
      </c>
      <c r="F693" s="429">
        <f t="shared" si="119"/>
        <v>6975</v>
      </c>
      <c r="G693" s="427"/>
      <c r="H693" s="443"/>
      <c r="I693" s="428"/>
      <c r="J693" s="429"/>
      <c r="K693" s="429"/>
      <c r="L693" s="427"/>
      <c r="M693" s="429"/>
    </row>
    <row r="694" spans="1:13" x14ac:dyDescent="0.25">
      <c r="A694" s="427"/>
      <c r="B694" s="473">
        <v>42487</v>
      </c>
      <c r="C694" s="427">
        <v>600</v>
      </c>
      <c r="D694" s="428">
        <v>14.63</v>
      </c>
      <c r="E694" s="429">
        <v>0</v>
      </c>
      <c r="F694" s="429">
        <f t="shared" si="119"/>
        <v>8778</v>
      </c>
      <c r="G694" s="427"/>
      <c r="H694" s="443"/>
      <c r="I694" s="428"/>
      <c r="J694" s="429"/>
      <c r="K694" s="429"/>
      <c r="L694" s="427"/>
      <c r="M694" s="429"/>
    </row>
    <row r="695" spans="1:13" x14ac:dyDescent="0.25">
      <c r="A695" s="427"/>
      <c r="B695" s="473">
        <v>42488</v>
      </c>
      <c r="C695" s="427">
        <v>500</v>
      </c>
      <c r="D695" s="428">
        <v>14.52</v>
      </c>
      <c r="E695" s="429">
        <v>0</v>
      </c>
      <c r="F695" s="429">
        <f t="shared" si="119"/>
        <v>7260</v>
      </c>
      <c r="G695" s="427"/>
      <c r="H695" s="443"/>
      <c r="I695" s="428"/>
      <c r="J695" s="429"/>
      <c r="K695" s="429"/>
      <c r="L695" s="427"/>
      <c r="M695" s="429"/>
    </row>
    <row r="696" spans="1:13" ht="30" x14ac:dyDescent="0.25">
      <c r="A696" s="541" t="s">
        <v>195</v>
      </c>
      <c r="B696" s="473">
        <v>42489</v>
      </c>
      <c r="C696" s="427">
        <v>500</v>
      </c>
      <c r="D696" s="428">
        <v>14.35</v>
      </c>
      <c r="E696" s="429">
        <v>0</v>
      </c>
      <c r="F696" s="429">
        <f t="shared" si="119"/>
        <v>7175</v>
      </c>
      <c r="G696" s="427"/>
      <c r="H696" s="443"/>
      <c r="I696" s="428"/>
      <c r="J696" s="429"/>
      <c r="K696" s="429"/>
      <c r="L696" s="427"/>
      <c r="M696" s="429"/>
    </row>
    <row r="697" spans="1:13" x14ac:dyDescent="0.25">
      <c r="A697" s="541"/>
      <c r="B697" s="473">
        <v>42489</v>
      </c>
      <c r="C697" s="427">
        <v>500</v>
      </c>
      <c r="D697" s="428">
        <v>14.15</v>
      </c>
      <c r="E697" s="429">
        <v>0</v>
      </c>
      <c r="F697" s="429">
        <f t="shared" si="119"/>
        <v>7075</v>
      </c>
      <c r="G697" s="427"/>
      <c r="H697" s="443"/>
      <c r="I697" s="428"/>
      <c r="J697" s="429"/>
      <c r="K697" s="429"/>
      <c r="L697" s="427"/>
      <c r="M697" s="429"/>
    </row>
    <row r="698" spans="1:13" x14ac:dyDescent="0.25">
      <c r="A698" s="541"/>
      <c r="B698" s="473">
        <v>42489</v>
      </c>
      <c r="C698" s="427">
        <v>1000</v>
      </c>
      <c r="D698" s="428">
        <v>13.92</v>
      </c>
      <c r="E698" s="429">
        <v>0</v>
      </c>
      <c r="F698" s="429">
        <f t="shared" si="119"/>
        <v>13920</v>
      </c>
      <c r="G698" s="427"/>
      <c r="H698" s="443"/>
      <c r="I698" s="428"/>
      <c r="J698" s="429"/>
      <c r="K698" s="429"/>
      <c r="L698" s="427"/>
      <c r="M698" s="429"/>
    </row>
    <row r="699" spans="1:13" x14ac:dyDescent="0.25">
      <c r="A699" s="541"/>
      <c r="B699" s="473">
        <v>42489</v>
      </c>
      <c r="C699" s="427">
        <v>1000</v>
      </c>
      <c r="D699" s="428">
        <v>13.8</v>
      </c>
      <c r="E699" s="429">
        <v>0</v>
      </c>
      <c r="F699" s="429">
        <f t="shared" si="119"/>
        <v>13800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42492</v>
      </c>
      <c r="C700" s="427">
        <v>1500</v>
      </c>
      <c r="D700" s="428">
        <v>13.25</v>
      </c>
      <c r="E700" s="429">
        <v>0</v>
      </c>
      <c r="F700" s="429">
        <f t="shared" si="119"/>
        <v>19875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42492</v>
      </c>
      <c r="C701" s="427">
        <v>500</v>
      </c>
      <c r="D701" s="428">
        <v>13.6</v>
      </c>
      <c r="E701" s="429">
        <v>0</v>
      </c>
      <c r="F701" s="429">
        <f t="shared" si="119"/>
        <v>6800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42493</v>
      </c>
      <c r="C702" s="427">
        <v>322</v>
      </c>
      <c r="D702" s="428">
        <v>12.85</v>
      </c>
      <c r="E702" s="429">
        <v>0</v>
      </c>
      <c r="F702" s="429">
        <f t="shared" si="119"/>
        <v>4137.7</v>
      </c>
      <c r="G702" s="427"/>
      <c r="H702" s="443"/>
      <c r="I702" s="428"/>
      <c r="J702" s="429"/>
      <c r="K702" s="429"/>
      <c r="L702" s="427"/>
      <c r="M702" s="429"/>
    </row>
    <row r="703" spans="1:13" ht="30" x14ac:dyDescent="0.25">
      <c r="A703" s="525" t="s">
        <v>198</v>
      </c>
      <c r="B703" s="473">
        <v>42494</v>
      </c>
      <c r="C703" s="427">
        <v>1000</v>
      </c>
      <c r="D703" s="428">
        <v>12.25</v>
      </c>
      <c r="E703" s="429">
        <v>0</v>
      </c>
      <c r="F703" s="429">
        <f t="shared" si="119"/>
        <v>12250</v>
      </c>
      <c r="G703" s="427"/>
      <c r="H703" s="443"/>
      <c r="I703" s="428"/>
      <c r="J703" s="429"/>
      <c r="K703" s="429"/>
      <c r="L703" s="427"/>
      <c r="M703" s="429"/>
    </row>
    <row r="704" spans="1:13" x14ac:dyDescent="0.25">
      <c r="A704" s="525"/>
      <c r="B704" s="473">
        <v>42494</v>
      </c>
      <c r="C704" s="427">
        <v>500</v>
      </c>
      <c r="D704" s="428">
        <v>12.53</v>
      </c>
      <c r="E704" s="429">
        <v>0</v>
      </c>
      <c r="F704" s="429">
        <f t="shared" si="119"/>
        <v>6265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25"/>
      <c r="B705" s="473">
        <v>42494</v>
      </c>
      <c r="C705" s="427">
        <v>500</v>
      </c>
      <c r="D705" s="428">
        <v>12.65</v>
      </c>
      <c r="E705" s="429">
        <v>0</v>
      </c>
      <c r="F705" s="429">
        <f t="shared" si="119"/>
        <v>6325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427"/>
      <c r="B706" s="473">
        <v>42495</v>
      </c>
      <c r="C706" s="427">
        <v>1000</v>
      </c>
      <c r="D706" s="428">
        <v>11.95</v>
      </c>
      <c r="E706" s="429">
        <v>0</v>
      </c>
      <c r="F706" s="429">
        <f t="shared" si="119"/>
        <v>11950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427"/>
      <c r="B707" s="473">
        <v>42499</v>
      </c>
      <c r="C707" s="427">
        <v>500</v>
      </c>
      <c r="D707" s="428">
        <v>11.48</v>
      </c>
      <c r="E707" s="429">
        <v>0</v>
      </c>
      <c r="F707" s="429">
        <f t="shared" si="119"/>
        <v>5740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42499</v>
      </c>
      <c r="C708" s="427">
        <v>500</v>
      </c>
      <c r="D708" s="428">
        <v>11.32</v>
      </c>
      <c r="E708" s="429">
        <v>0</v>
      </c>
      <c r="F708" s="429">
        <f t="shared" si="119"/>
        <v>5660</v>
      </c>
      <c r="G708" s="427"/>
      <c r="H708" s="443"/>
      <c r="I708" s="428"/>
      <c r="J708" s="429"/>
      <c r="K708" s="429"/>
      <c r="L708" s="427"/>
      <c r="M708" s="429"/>
    </row>
    <row r="709" spans="1:13" ht="30" x14ac:dyDescent="0.25">
      <c r="A709" s="541" t="s">
        <v>201</v>
      </c>
      <c r="B709" s="473">
        <v>42502</v>
      </c>
      <c r="C709" s="427">
        <v>500</v>
      </c>
      <c r="D709" s="428">
        <v>12.38</v>
      </c>
      <c r="E709" s="429">
        <v>0</v>
      </c>
      <c r="F709" s="429">
        <f t="shared" si="119"/>
        <v>6190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541"/>
      <c r="B710" s="473">
        <v>42502</v>
      </c>
      <c r="C710" s="427">
        <v>500</v>
      </c>
      <c r="D710" s="428">
        <v>12.3</v>
      </c>
      <c r="E710" s="429">
        <v>0</v>
      </c>
      <c r="F710" s="429">
        <f t="shared" si="119"/>
        <v>6150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541"/>
      <c r="B711" s="473">
        <v>42502</v>
      </c>
      <c r="C711" s="427">
        <v>500</v>
      </c>
      <c r="D711" s="428">
        <v>12.23</v>
      </c>
      <c r="E711" s="429">
        <v>0</v>
      </c>
      <c r="F711" s="429">
        <f t="shared" si="119"/>
        <v>6115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427"/>
      <c r="B712" s="473">
        <v>42503</v>
      </c>
      <c r="C712" s="427">
        <v>500</v>
      </c>
      <c r="D712" s="428">
        <v>12.41</v>
      </c>
      <c r="E712" s="429">
        <v>0</v>
      </c>
      <c r="F712" s="429">
        <f t="shared" si="119"/>
        <v>6205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427"/>
      <c r="B713" s="473">
        <v>42506</v>
      </c>
      <c r="C713" s="427">
        <v>300</v>
      </c>
      <c r="D713" s="428">
        <v>12.8</v>
      </c>
      <c r="E713" s="429">
        <v>0</v>
      </c>
      <c r="F713" s="429">
        <f t="shared" si="119"/>
        <v>3840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42514</v>
      </c>
      <c r="C714" s="427">
        <v>500</v>
      </c>
      <c r="D714" s="428">
        <v>13.02</v>
      </c>
      <c r="E714" s="429">
        <v>-1.65</v>
      </c>
      <c r="F714" s="429">
        <f t="shared" ref="F714:F777" si="120">C714*D714+E714</f>
        <v>6508.35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42515</v>
      </c>
      <c r="C715" s="427">
        <v>500</v>
      </c>
      <c r="D715" s="428">
        <v>13.45</v>
      </c>
      <c r="E715" s="429">
        <v>1</v>
      </c>
      <c r="F715" s="429">
        <f t="shared" si="120"/>
        <v>6726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42516</v>
      </c>
      <c r="C716" s="427">
        <v>500</v>
      </c>
      <c r="D716" s="428">
        <v>13.28</v>
      </c>
      <c r="E716" s="429">
        <v>-1.04</v>
      </c>
      <c r="F716" s="429">
        <f t="shared" si="120"/>
        <v>6638.96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427"/>
      <c r="B717" s="473">
        <v>42517</v>
      </c>
      <c r="C717" s="427">
        <v>500</v>
      </c>
      <c r="D717" s="428">
        <v>12.79</v>
      </c>
      <c r="E717" s="429">
        <v>0</v>
      </c>
      <c r="F717" s="429">
        <f t="shared" si="120"/>
        <v>6395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42524</v>
      </c>
      <c r="C718" s="427">
        <v>400</v>
      </c>
      <c r="D718" s="428">
        <v>13.28</v>
      </c>
      <c r="E718" s="429">
        <v>0</v>
      </c>
      <c r="F718" s="429">
        <f t="shared" si="120"/>
        <v>5312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427"/>
      <c r="B719" s="473">
        <v>42529</v>
      </c>
      <c r="C719" s="427">
        <v>500</v>
      </c>
      <c r="D719" s="428">
        <v>14.59</v>
      </c>
      <c r="E719" s="429">
        <v>0</v>
      </c>
      <c r="F719" s="429">
        <f t="shared" si="120"/>
        <v>7295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42531</v>
      </c>
      <c r="C720" s="427">
        <v>800</v>
      </c>
      <c r="D720" s="428">
        <v>13.79</v>
      </c>
      <c r="E720" s="429">
        <v>0</v>
      </c>
      <c r="F720" s="429">
        <f t="shared" si="120"/>
        <v>11032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42531</v>
      </c>
      <c r="C721" s="427">
        <v>300</v>
      </c>
      <c r="D721" s="428">
        <v>13.4</v>
      </c>
      <c r="E721" s="429">
        <v>0</v>
      </c>
      <c r="F721" s="429">
        <f t="shared" si="120"/>
        <v>4020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42535</v>
      </c>
      <c r="C722" s="427">
        <v>400</v>
      </c>
      <c r="D722" s="428">
        <v>12.85</v>
      </c>
      <c r="E722" s="429">
        <v>0</v>
      </c>
      <c r="F722" s="429">
        <f t="shared" si="120"/>
        <v>5140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42537</v>
      </c>
      <c r="C723" s="427">
        <v>400</v>
      </c>
      <c r="D723" s="428">
        <v>12.43</v>
      </c>
      <c r="E723" s="429">
        <v>-0.04</v>
      </c>
      <c r="F723" s="429">
        <f t="shared" si="120"/>
        <v>4971.96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42538</v>
      </c>
      <c r="C724" s="427">
        <v>500</v>
      </c>
      <c r="D724" s="428">
        <v>13.14</v>
      </c>
      <c r="E724" s="429">
        <v>0</v>
      </c>
      <c r="F724" s="429">
        <f t="shared" si="120"/>
        <v>6570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42543</v>
      </c>
      <c r="C725" s="427">
        <v>500</v>
      </c>
      <c r="D725" s="428">
        <v>14.75</v>
      </c>
      <c r="E725" s="429">
        <v>0</v>
      </c>
      <c r="F725" s="429">
        <f t="shared" si="120"/>
        <v>7375</v>
      </c>
      <c r="G725" s="426">
        <v>42544</v>
      </c>
      <c r="H725" s="443">
        <v>500</v>
      </c>
      <c r="I725" s="428">
        <v>15.24</v>
      </c>
      <c r="J725" s="429">
        <v>0.17</v>
      </c>
      <c r="K725" s="429">
        <f>H725*I725-J725</f>
        <v>7619.83</v>
      </c>
      <c r="L725" s="427"/>
      <c r="M725" s="429"/>
    </row>
    <row r="726" spans="1:13" x14ac:dyDescent="0.25">
      <c r="A726" s="427"/>
      <c r="B726" s="473">
        <v>42545</v>
      </c>
      <c r="C726" s="427">
        <v>878</v>
      </c>
      <c r="D726" s="428">
        <v>14.41</v>
      </c>
      <c r="E726" s="429">
        <v>0</v>
      </c>
      <c r="F726" s="429">
        <f t="shared" si="120"/>
        <v>12651.98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42545</v>
      </c>
      <c r="C727" s="427">
        <v>335</v>
      </c>
      <c r="D727" s="428">
        <v>14.08</v>
      </c>
      <c r="E727" s="429">
        <v>0</v>
      </c>
      <c r="F727" s="429">
        <f t="shared" si="120"/>
        <v>4716.8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42548</v>
      </c>
      <c r="C728" s="427">
        <v>965</v>
      </c>
      <c r="D728" s="428">
        <v>13.81</v>
      </c>
      <c r="E728" s="429">
        <v>0</v>
      </c>
      <c r="F728" s="429">
        <f t="shared" si="120"/>
        <v>13326.65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42548</v>
      </c>
      <c r="C729" s="427">
        <v>300</v>
      </c>
      <c r="D729" s="428">
        <v>13.58</v>
      </c>
      <c r="E729" s="429">
        <v>0</v>
      </c>
      <c r="F729" s="429">
        <f t="shared" si="120"/>
        <v>4074</v>
      </c>
      <c r="G729" s="426">
        <v>42549</v>
      </c>
      <c r="H729" s="443">
        <v>1100</v>
      </c>
      <c r="I729" s="428">
        <v>14.68</v>
      </c>
      <c r="J729" s="429">
        <v>0.35</v>
      </c>
      <c r="K729" s="429">
        <f t="shared" ref="K729:K814" si="121">H729*I729-J729</f>
        <v>16147.65</v>
      </c>
      <c r="L729" s="427"/>
      <c r="M729" s="429"/>
    </row>
    <row r="730" spans="1:13" ht="45" x14ac:dyDescent="0.25">
      <c r="A730" s="427"/>
      <c r="B730" s="473">
        <v>42556</v>
      </c>
      <c r="C730" s="427">
        <v>2178</v>
      </c>
      <c r="D730" s="428">
        <v>15.08</v>
      </c>
      <c r="E730" s="429">
        <v>0</v>
      </c>
      <c r="F730" s="429">
        <f t="shared" si="120"/>
        <v>32844.239999999998</v>
      </c>
      <c r="G730" s="537" t="s">
        <v>222</v>
      </c>
      <c r="H730" s="443">
        <v>500</v>
      </c>
      <c r="I730" s="428">
        <v>15.48</v>
      </c>
      <c r="J730" s="429">
        <v>0.17</v>
      </c>
      <c r="K730" s="429">
        <f t="shared" si="121"/>
        <v>7739.83</v>
      </c>
      <c r="L730" s="427"/>
      <c r="M730" s="429"/>
    </row>
    <row r="731" spans="1:13" x14ac:dyDescent="0.25">
      <c r="A731" s="427"/>
      <c r="B731" s="473">
        <v>42556</v>
      </c>
      <c r="C731" s="427">
        <v>500</v>
      </c>
      <c r="D731" s="428">
        <v>14.62</v>
      </c>
      <c r="E731" s="429">
        <v>0</v>
      </c>
      <c r="F731" s="429">
        <f t="shared" si="120"/>
        <v>7310</v>
      </c>
      <c r="G731" s="537"/>
      <c r="H731" s="443">
        <v>378</v>
      </c>
      <c r="I731" s="428">
        <v>15.65</v>
      </c>
      <c r="J731" s="429">
        <v>0.13</v>
      </c>
      <c r="K731" s="429">
        <f t="shared" si="121"/>
        <v>5915.57</v>
      </c>
      <c r="L731" s="427"/>
      <c r="M731" s="429"/>
    </row>
    <row r="732" spans="1:13" x14ac:dyDescent="0.25">
      <c r="A732" s="427"/>
      <c r="B732" s="473">
        <v>42557</v>
      </c>
      <c r="C732" s="427">
        <v>500</v>
      </c>
      <c r="D732" s="428">
        <v>14.78</v>
      </c>
      <c r="E732" s="429">
        <v>0</v>
      </c>
      <c r="F732" s="429">
        <f t="shared" si="120"/>
        <v>7390</v>
      </c>
      <c r="G732" s="537"/>
      <c r="H732" s="443">
        <v>500</v>
      </c>
      <c r="I732" s="428">
        <v>15.51</v>
      </c>
      <c r="J732" s="429">
        <v>0.17</v>
      </c>
      <c r="K732" s="429">
        <f t="shared" si="121"/>
        <v>7754.83</v>
      </c>
      <c r="L732" s="427"/>
      <c r="M732" s="429"/>
    </row>
    <row r="733" spans="1:13" x14ac:dyDescent="0.25">
      <c r="A733" s="427"/>
      <c r="B733" s="523">
        <v>42564</v>
      </c>
      <c r="C733" s="427">
        <v>320</v>
      </c>
      <c r="D733" s="428">
        <v>15.48</v>
      </c>
      <c r="E733" s="429">
        <v>0</v>
      </c>
      <c r="F733" s="429">
        <f t="shared" si="120"/>
        <v>4953.6000000000004</v>
      </c>
      <c r="G733" s="537"/>
      <c r="H733" s="443">
        <v>800</v>
      </c>
      <c r="I733" s="428">
        <v>15.78</v>
      </c>
      <c r="J733" s="429">
        <v>0.28000000000000003</v>
      </c>
      <c r="K733" s="429">
        <f t="shared" si="121"/>
        <v>12623.72</v>
      </c>
      <c r="L733" s="427"/>
      <c r="M733" s="429"/>
    </row>
    <row r="734" spans="1:13" x14ac:dyDescent="0.25">
      <c r="A734" s="524"/>
      <c r="B734" s="523">
        <v>42564</v>
      </c>
      <c r="C734" s="427">
        <v>160</v>
      </c>
      <c r="D734" s="428">
        <v>15.48</v>
      </c>
      <c r="E734" s="429">
        <v>0</v>
      </c>
      <c r="F734" s="429">
        <f t="shared" si="120"/>
        <v>2476.8000000000002</v>
      </c>
      <c r="G734" s="426">
        <v>42557</v>
      </c>
      <c r="H734" s="443">
        <v>500</v>
      </c>
      <c r="I734" s="428">
        <v>14.92</v>
      </c>
      <c r="J734" s="429">
        <v>0.16</v>
      </c>
      <c r="K734" s="429">
        <f t="shared" si="121"/>
        <v>7459.84</v>
      </c>
      <c r="L734" s="427"/>
      <c r="M734" s="429"/>
    </row>
    <row r="735" spans="1:13" x14ac:dyDescent="0.25">
      <c r="A735" s="524"/>
      <c r="B735" s="473">
        <v>42570</v>
      </c>
      <c r="C735" s="427">
        <v>200</v>
      </c>
      <c r="D735" s="428">
        <v>15.18</v>
      </c>
      <c r="E735" s="429">
        <v>0</v>
      </c>
      <c r="F735" s="429">
        <f t="shared" si="120"/>
        <v>3036</v>
      </c>
      <c r="G735" s="426">
        <v>42564</v>
      </c>
      <c r="H735" s="443">
        <v>420</v>
      </c>
      <c r="I735" s="428">
        <v>15.68</v>
      </c>
      <c r="J735" s="429">
        <v>0.14000000000000001</v>
      </c>
      <c r="K735" s="429">
        <f t="shared" si="121"/>
        <v>6585.4599999999991</v>
      </c>
      <c r="L735" s="427"/>
      <c r="M735" s="429"/>
    </row>
    <row r="736" spans="1:13" x14ac:dyDescent="0.25">
      <c r="A736" s="524"/>
      <c r="B736" s="473">
        <v>42570</v>
      </c>
      <c r="C736" s="427">
        <v>200</v>
      </c>
      <c r="D736" s="428">
        <v>14.68</v>
      </c>
      <c r="E736" s="429">
        <v>0</v>
      </c>
      <c r="F736" s="429">
        <f t="shared" si="120"/>
        <v>2936</v>
      </c>
      <c r="G736" s="426">
        <v>42571</v>
      </c>
      <c r="H736" s="443">
        <v>200</v>
      </c>
      <c r="I736" s="428">
        <v>14.82</v>
      </c>
      <c r="J736" s="429">
        <v>0.06</v>
      </c>
      <c r="K736" s="429">
        <f t="shared" si="121"/>
        <v>2963.94</v>
      </c>
      <c r="L736" s="427"/>
      <c r="M736" s="429"/>
    </row>
    <row r="737" spans="1:13" x14ac:dyDescent="0.25">
      <c r="A737" s="427"/>
      <c r="B737" s="473">
        <v>42571</v>
      </c>
      <c r="C737" s="427">
        <v>200</v>
      </c>
      <c r="D737" s="428">
        <v>14.33</v>
      </c>
      <c r="E737" s="429">
        <v>-1</v>
      </c>
      <c r="F737" s="429">
        <f t="shared" si="120"/>
        <v>2865</v>
      </c>
      <c r="G737" s="426">
        <v>42572</v>
      </c>
      <c r="H737" s="443">
        <v>200</v>
      </c>
      <c r="I737" s="428">
        <v>14.8</v>
      </c>
      <c r="J737" s="429">
        <v>0.06</v>
      </c>
      <c r="K737" s="429">
        <f t="shared" si="121"/>
        <v>2959.94</v>
      </c>
      <c r="L737" s="427"/>
      <c r="M737" s="429"/>
    </row>
    <row r="738" spans="1:13" x14ac:dyDescent="0.25">
      <c r="A738" s="427"/>
      <c r="B738" s="473">
        <v>42572</v>
      </c>
      <c r="C738" s="427">
        <v>60</v>
      </c>
      <c r="D738" s="428">
        <v>14.58</v>
      </c>
      <c r="E738" s="429">
        <v>0</v>
      </c>
      <c r="F738" s="429">
        <f t="shared" si="120"/>
        <v>874.8</v>
      </c>
      <c r="G738" s="426">
        <v>42577</v>
      </c>
      <c r="H738" s="443">
        <v>200</v>
      </c>
      <c r="I738" s="428">
        <v>13.78</v>
      </c>
      <c r="J738" s="429">
        <v>0.06</v>
      </c>
      <c r="K738" s="429">
        <f t="shared" si="121"/>
        <v>2755.94</v>
      </c>
      <c r="L738" s="427"/>
      <c r="M738" s="429"/>
    </row>
    <row r="739" spans="1:13" x14ac:dyDescent="0.25">
      <c r="A739" s="427"/>
      <c r="B739" s="473">
        <v>42572</v>
      </c>
      <c r="C739" s="427">
        <v>140</v>
      </c>
      <c r="D739" s="428">
        <v>14.65</v>
      </c>
      <c r="E739" s="429">
        <v>0</v>
      </c>
      <c r="F739" s="429">
        <f t="shared" si="120"/>
        <v>2051</v>
      </c>
      <c r="G739" s="426">
        <v>42580</v>
      </c>
      <c r="H739" s="443">
        <v>200</v>
      </c>
      <c r="I739" s="428">
        <v>13.224</v>
      </c>
      <c r="J739" s="429">
        <v>0.08</v>
      </c>
      <c r="K739" s="429">
        <f t="shared" si="121"/>
        <v>2644.7200000000003</v>
      </c>
      <c r="L739" s="427"/>
      <c r="M739" s="429"/>
    </row>
    <row r="740" spans="1:13" x14ac:dyDescent="0.25">
      <c r="A740" s="427"/>
      <c r="B740" s="473">
        <v>42573</v>
      </c>
      <c r="C740" s="427">
        <v>140</v>
      </c>
      <c r="D740" s="428">
        <v>14.08</v>
      </c>
      <c r="E740" s="429">
        <v>0</v>
      </c>
      <c r="F740" s="429">
        <f t="shared" si="120"/>
        <v>1971.2</v>
      </c>
      <c r="G740" s="426">
        <v>42580</v>
      </c>
      <c r="H740" s="443">
        <v>200</v>
      </c>
      <c r="I740" s="428">
        <v>13.58</v>
      </c>
      <c r="J740" s="429">
        <v>0.06</v>
      </c>
      <c r="K740" s="429">
        <f t="shared" si="121"/>
        <v>2715.94</v>
      </c>
      <c r="L740" s="427"/>
      <c r="M740" s="429"/>
    </row>
    <row r="741" spans="1:13" x14ac:dyDescent="0.25">
      <c r="A741" s="427"/>
      <c r="B741" s="473">
        <v>42576</v>
      </c>
      <c r="C741" s="427">
        <v>200</v>
      </c>
      <c r="D741" s="428">
        <v>13.55</v>
      </c>
      <c r="E741" s="429">
        <v>0</v>
      </c>
      <c r="F741" s="429">
        <f t="shared" si="120"/>
        <v>2710</v>
      </c>
      <c r="G741" s="426">
        <v>42586</v>
      </c>
      <c r="H741" s="443">
        <v>400</v>
      </c>
      <c r="I741" s="428">
        <v>13.78</v>
      </c>
      <c r="J741" s="429">
        <v>0.12</v>
      </c>
      <c r="K741" s="429">
        <f t="shared" si="121"/>
        <v>5511.88</v>
      </c>
      <c r="L741" s="427"/>
      <c r="M741" s="429"/>
    </row>
    <row r="742" spans="1:13" x14ac:dyDescent="0.25">
      <c r="A742" s="427"/>
      <c r="B742" s="473">
        <v>42578</v>
      </c>
      <c r="C742" s="427">
        <v>200</v>
      </c>
      <c r="D742" s="428">
        <v>13.18</v>
      </c>
      <c r="E742" s="429">
        <v>0</v>
      </c>
      <c r="F742" s="429">
        <f t="shared" si="120"/>
        <v>2636</v>
      </c>
      <c r="G742" s="426">
        <v>42586</v>
      </c>
      <c r="H742" s="443">
        <v>400</v>
      </c>
      <c r="I742" s="428">
        <v>13.72</v>
      </c>
      <c r="J742" s="429">
        <v>0.12</v>
      </c>
      <c r="K742" s="429">
        <f t="shared" si="121"/>
        <v>5487.88</v>
      </c>
      <c r="L742" s="427"/>
      <c r="M742" s="429"/>
    </row>
    <row r="743" spans="1:13" x14ac:dyDescent="0.25">
      <c r="A743" s="427"/>
      <c r="B743" s="473">
        <v>42580</v>
      </c>
      <c r="C743" s="427">
        <v>200</v>
      </c>
      <c r="D743" s="428">
        <v>13.15</v>
      </c>
      <c r="E743" s="429">
        <v>0</v>
      </c>
      <c r="F743" s="429">
        <f t="shared" si="120"/>
        <v>2630</v>
      </c>
      <c r="G743" s="426">
        <v>42586</v>
      </c>
      <c r="H743" s="443">
        <v>140</v>
      </c>
      <c r="I743" s="428">
        <v>13.88</v>
      </c>
      <c r="J743" s="429">
        <v>0.04</v>
      </c>
      <c r="K743" s="429">
        <f t="shared" si="121"/>
        <v>1943.16</v>
      </c>
      <c r="L743" s="427"/>
      <c r="M743" s="429"/>
    </row>
    <row r="744" spans="1:13" x14ac:dyDescent="0.25">
      <c r="A744" s="427"/>
      <c r="B744" s="473">
        <v>42583</v>
      </c>
      <c r="C744" s="520">
        <v>20</v>
      </c>
      <c r="D744" s="428">
        <v>13.02</v>
      </c>
      <c r="E744" s="429">
        <v>0</v>
      </c>
      <c r="F744" s="429">
        <f t="shared" si="120"/>
        <v>260.39999999999998</v>
      </c>
      <c r="G744" s="426">
        <v>42593</v>
      </c>
      <c r="H744" s="443">
        <v>460</v>
      </c>
      <c r="I744" s="428">
        <v>14.59</v>
      </c>
      <c r="J744" s="429">
        <v>0.15</v>
      </c>
      <c r="K744" s="429">
        <f t="shared" si="121"/>
        <v>6711.25</v>
      </c>
      <c r="L744" s="427"/>
      <c r="M744" s="429"/>
    </row>
    <row r="745" spans="1:13" x14ac:dyDescent="0.25">
      <c r="A745" s="427"/>
      <c r="B745" s="473">
        <v>42583</v>
      </c>
      <c r="C745" s="427">
        <v>180</v>
      </c>
      <c r="D745" s="428">
        <v>13.02</v>
      </c>
      <c r="E745" s="429">
        <v>0</v>
      </c>
      <c r="F745" s="429">
        <f t="shared" si="120"/>
        <v>2343.6</v>
      </c>
      <c r="G745" s="426">
        <v>42594</v>
      </c>
      <c r="H745" s="443">
        <v>500</v>
      </c>
      <c r="I745" s="428">
        <v>14.88</v>
      </c>
      <c r="J745" s="429">
        <v>0.16</v>
      </c>
      <c r="K745" s="429">
        <f t="shared" si="121"/>
        <v>7439.84</v>
      </c>
      <c r="L745" s="427"/>
      <c r="M745" s="429"/>
    </row>
    <row r="746" spans="1:13" x14ac:dyDescent="0.25">
      <c r="A746" s="427"/>
      <c r="B746" s="473">
        <v>42584</v>
      </c>
      <c r="C746" s="427">
        <v>120</v>
      </c>
      <c r="D746" s="428">
        <v>12.68</v>
      </c>
      <c r="E746" s="429">
        <v>0</v>
      </c>
      <c r="F746" s="429">
        <f t="shared" si="120"/>
        <v>1521.6</v>
      </c>
      <c r="G746" s="426">
        <v>42598</v>
      </c>
      <c r="H746" s="443">
        <v>500</v>
      </c>
      <c r="I746" s="428">
        <v>15.18</v>
      </c>
      <c r="J746" s="429">
        <v>0.17</v>
      </c>
      <c r="K746" s="429">
        <f t="shared" si="121"/>
        <v>7589.83</v>
      </c>
      <c r="L746" s="427"/>
      <c r="M746" s="429"/>
    </row>
    <row r="747" spans="1:13" x14ac:dyDescent="0.25">
      <c r="A747" s="427"/>
      <c r="B747" s="473">
        <v>42584</v>
      </c>
      <c r="C747" s="427">
        <v>80</v>
      </c>
      <c r="D747" s="428">
        <v>12.68</v>
      </c>
      <c r="E747" s="429">
        <v>0</v>
      </c>
      <c r="F747" s="429">
        <f t="shared" si="120"/>
        <v>1014.4</v>
      </c>
      <c r="G747" s="426">
        <v>42599</v>
      </c>
      <c r="H747" s="443">
        <v>500</v>
      </c>
      <c r="I747" s="428">
        <v>15.18</v>
      </c>
      <c r="J747" s="429">
        <v>0.17</v>
      </c>
      <c r="K747" s="429">
        <f t="shared" si="121"/>
        <v>7589.83</v>
      </c>
      <c r="L747" s="427"/>
      <c r="M747" s="429"/>
    </row>
    <row r="748" spans="1:13" x14ac:dyDescent="0.25">
      <c r="A748" s="427"/>
      <c r="B748" s="473">
        <v>42585</v>
      </c>
      <c r="C748" s="427">
        <v>242</v>
      </c>
      <c r="D748" s="428">
        <v>13.38</v>
      </c>
      <c r="E748" s="429">
        <v>0</v>
      </c>
      <c r="F748" s="429">
        <f t="shared" si="120"/>
        <v>3237.96</v>
      </c>
      <c r="G748" s="426">
        <v>42599</v>
      </c>
      <c r="H748" s="443">
        <v>500</v>
      </c>
      <c r="I748" s="428">
        <v>15.41</v>
      </c>
      <c r="J748" s="429">
        <v>0.17</v>
      </c>
      <c r="K748" s="429">
        <f t="shared" si="121"/>
        <v>7704.83</v>
      </c>
      <c r="L748" s="427"/>
      <c r="M748" s="429"/>
    </row>
    <row r="749" spans="1:13" x14ac:dyDescent="0.25">
      <c r="A749" s="427"/>
      <c r="B749" s="473">
        <v>42585</v>
      </c>
      <c r="C749" s="427">
        <v>158</v>
      </c>
      <c r="D749" s="428">
        <v>13.38</v>
      </c>
      <c r="E749" s="429">
        <v>0</v>
      </c>
      <c r="F749" s="429">
        <f t="shared" si="120"/>
        <v>2114.04</v>
      </c>
      <c r="G749" s="426">
        <v>42599</v>
      </c>
      <c r="H749" s="443">
        <v>500</v>
      </c>
      <c r="I749" s="428">
        <v>15.65</v>
      </c>
      <c r="J749" s="429">
        <v>0.17</v>
      </c>
      <c r="K749" s="429">
        <f t="shared" si="121"/>
        <v>7824.83</v>
      </c>
      <c r="L749" s="427"/>
      <c r="M749" s="429"/>
    </row>
    <row r="750" spans="1:13" ht="45" x14ac:dyDescent="0.25">
      <c r="A750" s="427"/>
      <c r="B750" s="473">
        <v>42594</v>
      </c>
      <c r="C750" s="427">
        <v>500</v>
      </c>
      <c r="D750" s="428">
        <v>14.65</v>
      </c>
      <c r="E750" s="429">
        <v>0</v>
      </c>
      <c r="F750" s="429">
        <f t="shared" si="120"/>
        <v>7325</v>
      </c>
      <c r="G750" s="542" t="s">
        <v>250</v>
      </c>
      <c r="H750" s="443">
        <v>500</v>
      </c>
      <c r="I750" s="428">
        <v>16.18</v>
      </c>
      <c r="J750" s="429">
        <v>0.18</v>
      </c>
      <c r="K750" s="429">
        <f t="shared" si="121"/>
        <v>8089.82</v>
      </c>
      <c r="L750" s="427"/>
      <c r="M750" s="429"/>
    </row>
    <row r="751" spans="1:13" x14ac:dyDescent="0.25">
      <c r="A751" s="427"/>
      <c r="B751" s="473">
        <v>42599</v>
      </c>
      <c r="C751" s="427">
        <v>242</v>
      </c>
      <c r="D751" s="428">
        <v>14.95</v>
      </c>
      <c r="E751" s="429">
        <v>0</v>
      </c>
      <c r="F751" s="429">
        <f t="shared" si="120"/>
        <v>3617.8999999999996</v>
      </c>
      <c r="G751" s="542"/>
      <c r="H751" s="443">
        <v>500</v>
      </c>
      <c r="I751" s="428">
        <v>16.38</v>
      </c>
      <c r="J751" s="429">
        <v>0.18</v>
      </c>
      <c r="K751" s="429">
        <f t="shared" si="121"/>
        <v>8189.8199999999988</v>
      </c>
      <c r="L751" s="427"/>
      <c r="M751" s="429"/>
    </row>
    <row r="752" spans="1:13" x14ac:dyDescent="0.25">
      <c r="A752" s="427"/>
      <c r="B752" s="473">
        <v>42599</v>
      </c>
      <c r="C752" s="427">
        <v>200</v>
      </c>
      <c r="D752" s="428">
        <v>14.95</v>
      </c>
      <c r="E752" s="429">
        <v>0</v>
      </c>
      <c r="F752" s="429">
        <f t="shared" si="120"/>
        <v>2990</v>
      </c>
      <c r="G752" s="542"/>
      <c r="H752" s="443">
        <v>178</v>
      </c>
      <c r="I752" s="428">
        <v>16.5</v>
      </c>
      <c r="J752" s="429">
        <v>0.06</v>
      </c>
      <c r="K752" s="429">
        <f t="shared" si="121"/>
        <v>2936.94</v>
      </c>
      <c r="L752" s="427"/>
      <c r="M752" s="429"/>
    </row>
    <row r="753" spans="1:13" x14ac:dyDescent="0.25">
      <c r="A753" s="427"/>
      <c r="B753" s="473">
        <v>42599</v>
      </c>
      <c r="C753" s="427">
        <v>36</v>
      </c>
      <c r="D753" s="428">
        <v>14.95</v>
      </c>
      <c r="E753" s="429">
        <v>0</v>
      </c>
      <c r="F753" s="429">
        <f t="shared" si="120"/>
        <v>538.19999999999993</v>
      </c>
      <c r="G753" s="542"/>
      <c r="H753" s="443">
        <v>500</v>
      </c>
      <c r="I753" s="428">
        <v>16.72</v>
      </c>
      <c r="J753" s="429">
        <v>0.18</v>
      </c>
      <c r="K753" s="429">
        <f t="shared" si="121"/>
        <v>8359.82</v>
      </c>
      <c r="L753" s="427"/>
      <c r="M753" s="429"/>
    </row>
    <row r="754" spans="1:13" x14ac:dyDescent="0.25">
      <c r="A754" s="427"/>
      <c r="B754" s="473">
        <v>42599</v>
      </c>
      <c r="C754" s="427">
        <v>22</v>
      </c>
      <c r="D754" s="428">
        <v>14.95</v>
      </c>
      <c r="E754" s="429">
        <v>0</v>
      </c>
      <c r="F754" s="429">
        <f t="shared" si="120"/>
        <v>328.9</v>
      </c>
      <c r="G754" s="426">
        <v>42601</v>
      </c>
      <c r="H754" s="443">
        <v>500</v>
      </c>
      <c r="I754" s="428">
        <v>16.82</v>
      </c>
      <c r="J754" s="429">
        <v>0.18</v>
      </c>
      <c r="K754" s="429">
        <f t="shared" si="121"/>
        <v>8409.82</v>
      </c>
      <c r="L754" s="427"/>
      <c r="M754" s="429"/>
    </row>
    <row r="755" spans="1:13" x14ac:dyDescent="0.25">
      <c r="A755" s="427"/>
      <c r="B755" s="473">
        <v>42604</v>
      </c>
      <c r="C755" s="427">
        <v>1000</v>
      </c>
      <c r="D755" s="428">
        <v>15.68</v>
      </c>
      <c r="E755" s="429">
        <v>0</v>
      </c>
      <c r="F755" s="429">
        <f t="shared" si="120"/>
        <v>15680</v>
      </c>
      <c r="G755" s="426">
        <v>42605</v>
      </c>
      <c r="H755" s="443">
        <v>500</v>
      </c>
      <c r="I755" s="428">
        <v>15.98</v>
      </c>
      <c r="J755" s="429">
        <v>0.17</v>
      </c>
      <c r="K755" s="429">
        <f t="shared" si="121"/>
        <v>7989.83</v>
      </c>
      <c r="L755" s="427"/>
      <c r="M755" s="429"/>
    </row>
    <row r="756" spans="1:13" x14ac:dyDescent="0.25">
      <c r="A756" s="427"/>
      <c r="B756" s="473">
        <v>42604</v>
      </c>
      <c r="C756" s="427">
        <v>500</v>
      </c>
      <c r="D756" s="428">
        <v>15.48</v>
      </c>
      <c r="E756" s="429">
        <v>0</v>
      </c>
      <c r="F756" s="429">
        <f t="shared" si="120"/>
        <v>7740</v>
      </c>
      <c r="G756" s="426">
        <v>42605</v>
      </c>
      <c r="H756" s="443">
        <v>500</v>
      </c>
      <c r="I756" s="428">
        <v>16.25</v>
      </c>
      <c r="J756" s="429">
        <v>0.18</v>
      </c>
      <c r="K756" s="429">
        <f t="shared" si="121"/>
        <v>8124.82</v>
      </c>
      <c r="L756" s="427"/>
      <c r="M756" s="429"/>
    </row>
    <row r="757" spans="1:13" x14ac:dyDescent="0.25">
      <c r="A757" s="427"/>
      <c r="B757" s="473">
        <v>42606</v>
      </c>
      <c r="C757" s="427">
        <v>178</v>
      </c>
      <c r="D757" s="428">
        <v>16.059999999999999</v>
      </c>
      <c r="E757" s="429">
        <v>0</v>
      </c>
      <c r="F757" s="429">
        <f t="shared" si="120"/>
        <v>2858.68</v>
      </c>
      <c r="G757" s="426">
        <v>42605</v>
      </c>
      <c r="H757" s="443">
        <v>500</v>
      </c>
      <c r="I757" s="428">
        <v>16.48</v>
      </c>
      <c r="J757" s="429">
        <v>0.18</v>
      </c>
      <c r="K757" s="429">
        <f t="shared" si="121"/>
        <v>8239.82</v>
      </c>
      <c r="L757" s="427"/>
      <c r="M757" s="429"/>
    </row>
    <row r="758" spans="1:13" x14ac:dyDescent="0.25">
      <c r="A758" s="427"/>
      <c r="B758" s="473">
        <v>42608</v>
      </c>
      <c r="C758" s="427">
        <v>500</v>
      </c>
      <c r="D758" s="428">
        <v>15.98</v>
      </c>
      <c r="E758" s="429">
        <v>0</v>
      </c>
      <c r="F758" s="429">
        <f t="shared" si="120"/>
        <v>7990</v>
      </c>
      <c r="G758" s="426">
        <v>42615</v>
      </c>
      <c r="H758" s="443">
        <v>500</v>
      </c>
      <c r="I758" s="428">
        <v>15.65</v>
      </c>
      <c r="J758" s="429">
        <v>0.17</v>
      </c>
      <c r="K758" s="429">
        <f t="shared" si="121"/>
        <v>7824.83</v>
      </c>
      <c r="L758" s="427"/>
      <c r="M758" s="429"/>
    </row>
    <row r="759" spans="1:13" ht="30" x14ac:dyDescent="0.25">
      <c r="A759" s="427"/>
      <c r="B759" s="473">
        <v>42608</v>
      </c>
      <c r="C759" s="427">
        <v>500</v>
      </c>
      <c r="D759" s="428">
        <v>15.85</v>
      </c>
      <c r="E759" s="429">
        <v>0</v>
      </c>
      <c r="F759" s="429">
        <f t="shared" si="120"/>
        <v>7925</v>
      </c>
      <c r="G759" s="426">
        <v>42621</v>
      </c>
      <c r="H759" s="443">
        <v>500</v>
      </c>
      <c r="I759" s="428">
        <v>16.72</v>
      </c>
      <c r="J759" s="429">
        <v>0.18</v>
      </c>
      <c r="K759" s="429">
        <f t="shared" si="121"/>
        <v>8359.82</v>
      </c>
      <c r="L759" s="543" t="s">
        <v>263</v>
      </c>
      <c r="M759" s="429"/>
    </row>
    <row r="760" spans="1:13" x14ac:dyDescent="0.25">
      <c r="A760" s="427"/>
      <c r="B760" s="473">
        <v>42612</v>
      </c>
      <c r="C760" s="427">
        <v>500</v>
      </c>
      <c r="D760" s="428">
        <v>15.68</v>
      </c>
      <c r="E760" s="429">
        <v>0</v>
      </c>
      <c r="F760" s="429">
        <f t="shared" si="120"/>
        <v>7840</v>
      </c>
      <c r="G760" s="426">
        <v>42621</v>
      </c>
      <c r="H760" s="443">
        <v>500</v>
      </c>
      <c r="I760" s="428">
        <v>16.28</v>
      </c>
      <c r="J760" s="429">
        <v>0.18</v>
      </c>
      <c r="K760" s="429">
        <f t="shared" si="121"/>
        <v>8139.8200000000006</v>
      </c>
      <c r="L760" s="543"/>
      <c r="M760" s="429"/>
    </row>
    <row r="761" spans="1:13" x14ac:dyDescent="0.25">
      <c r="A761" s="427"/>
      <c r="B761" s="473">
        <v>42612</v>
      </c>
      <c r="C761" s="427">
        <v>500</v>
      </c>
      <c r="D761" s="428">
        <v>15.55</v>
      </c>
      <c r="E761" s="429">
        <v>0</v>
      </c>
      <c r="F761" s="429">
        <f t="shared" si="120"/>
        <v>7775</v>
      </c>
      <c r="G761" s="426">
        <v>42621</v>
      </c>
      <c r="H761" s="443">
        <v>220</v>
      </c>
      <c r="I761" s="428">
        <v>16.77</v>
      </c>
      <c r="J761" s="429">
        <v>0.08</v>
      </c>
      <c r="K761" s="429">
        <f t="shared" si="121"/>
        <v>3689.32</v>
      </c>
      <c r="L761" s="543"/>
      <c r="M761" s="429"/>
    </row>
    <row r="762" spans="1:13" x14ac:dyDescent="0.25">
      <c r="A762" s="427"/>
      <c r="B762" s="473">
        <v>42613</v>
      </c>
      <c r="C762" s="427">
        <v>500</v>
      </c>
      <c r="D762" s="428">
        <v>15.244999999999999</v>
      </c>
      <c r="E762" s="429">
        <v>0</v>
      </c>
      <c r="F762" s="429">
        <f t="shared" si="120"/>
        <v>7622.5</v>
      </c>
      <c r="G762" s="426">
        <v>42625</v>
      </c>
      <c r="H762" s="443">
        <v>500</v>
      </c>
      <c r="I762" s="428">
        <v>15.5</v>
      </c>
      <c r="J762" s="429">
        <v>0.17</v>
      </c>
      <c r="K762" s="429">
        <f t="shared" si="121"/>
        <v>7749.83</v>
      </c>
      <c r="L762" s="427"/>
      <c r="M762" s="429"/>
    </row>
    <row r="763" spans="1:13" x14ac:dyDescent="0.25">
      <c r="A763" s="427"/>
      <c r="B763" s="473">
        <v>42613</v>
      </c>
      <c r="C763" s="427">
        <v>500</v>
      </c>
      <c r="D763" s="428">
        <v>15.08</v>
      </c>
      <c r="E763" s="429">
        <v>0</v>
      </c>
      <c r="F763" s="429">
        <f t="shared" si="120"/>
        <v>7540</v>
      </c>
      <c r="G763" s="426">
        <v>42628</v>
      </c>
      <c r="H763" s="443">
        <v>300</v>
      </c>
      <c r="I763" s="428">
        <v>14.46</v>
      </c>
      <c r="J763" s="429">
        <v>0.09</v>
      </c>
      <c r="K763" s="429">
        <f t="shared" si="121"/>
        <v>4337.91</v>
      </c>
      <c r="L763" s="427"/>
      <c r="M763" s="429"/>
    </row>
    <row r="764" spans="1:13" x14ac:dyDescent="0.25">
      <c r="A764" s="427"/>
      <c r="B764" s="473">
        <v>42622</v>
      </c>
      <c r="C764" s="427">
        <v>220</v>
      </c>
      <c r="D764" s="428">
        <v>16.25</v>
      </c>
      <c r="E764" s="429">
        <v>0</v>
      </c>
      <c r="F764" s="429">
        <f t="shared" si="120"/>
        <v>3575</v>
      </c>
      <c r="G764" s="426">
        <v>42634</v>
      </c>
      <c r="H764" s="443">
        <v>322</v>
      </c>
      <c r="I764" s="428">
        <v>14.28</v>
      </c>
      <c r="J764" s="429">
        <v>0.1</v>
      </c>
      <c r="K764" s="429">
        <f t="shared" si="121"/>
        <v>4598.0599999999995</v>
      </c>
      <c r="L764" s="427"/>
      <c r="M764" s="429"/>
    </row>
    <row r="765" spans="1:13" x14ac:dyDescent="0.25">
      <c r="A765" s="427"/>
      <c r="B765" s="473">
        <v>42622</v>
      </c>
      <c r="C765" s="427">
        <v>500</v>
      </c>
      <c r="D765" s="428">
        <v>15.98</v>
      </c>
      <c r="E765" s="429">
        <v>0</v>
      </c>
      <c r="F765" s="429">
        <f t="shared" si="120"/>
        <v>7990</v>
      </c>
      <c r="G765" s="426">
        <v>42634</v>
      </c>
      <c r="H765" s="443">
        <v>400</v>
      </c>
      <c r="I765" s="428">
        <v>14.64</v>
      </c>
      <c r="J765" s="429">
        <v>0.13</v>
      </c>
      <c r="K765" s="429">
        <f t="shared" si="121"/>
        <v>5855.87</v>
      </c>
      <c r="L765" s="427"/>
      <c r="M765" s="429"/>
    </row>
    <row r="766" spans="1:13" x14ac:dyDescent="0.25">
      <c r="A766" s="427"/>
      <c r="B766" s="473">
        <v>42622</v>
      </c>
      <c r="C766" s="427">
        <v>500</v>
      </c>
      <c r="D766" s="428">
        <v>15.75</v>
      </c>
      <c r="E766" s="429">
        <v>0</v>
      </c>
      <c r="F766" s="429">
        <f t="shared" si="120"/>
        <v>7875</v>
      </c>
      <c r="G766" s="426">
        <v>42639</v>
      </c>
      <c r="H766" s="443">
        <v>200</v>
      </c>
      <c r="I766" s="428">
        <v>14.72</v>
      </c>
      <c r="J766" s="429">
        <v>0.06</v>
      </c>
      <c r="K766" s="429">
        <f t="shared" si="121"/>
        <v>2943.94</v>
      </c>
      <c r="L766" s="427"/>
      <c r="M766" s="429"/>
    </row>
    <row r="767" spans="1:13" x14ac:dyDescent="0.25">
      <c r="A767" s="427"/>
      <c r="B767" s="473">
        <v>42625</v>
      </c>
      <c r="C767" s="427">
        <v>500</v>
      </c>
      <c r="D767" s="428">
        <v>15.22</v>
      </c>
      <c r="E767" s="429">
        <v>0</v>
      </c>
      <c r="F767" s="429">
        <f t="shared" si="120"/>
        <v>7610</v>
      </c>
      <c r="G767" s="426">
        <v>42641</v>
      </c>
      <c r="H767" s="443">
        <v>300</v>
      </c>
      <c r="I767" s="428">
        <v>15.28</v>
      </c>
      <c r="J767" s="429">
        <v>0.1</v>
      </c>
      <c r="K767" s="429">
        <f t="shared" si="121"/>
        <v>4583.8999999999996</v>
      </c>
      <c r="L767" s="427"/>
      <c r="M767" s="429"/>
    </row>
    <row r="768" spans="1:13" ht="30" x14ac:dyDescent="0.25">
      <c r="A768" s="525" t="s">
        <v>272</v>
      </c>
      <c r="B768" s="473">
        <v>42626</v>
      </c>
      <c r="C768" s="427">
        <v>600</v>
      </c>
      <c r="D768" s="428">
        <v>14.91</v>
      </c>
      <c r="E768" s="429">
        <v>-3</v>
      </c>
      <c r="F768" s="429">
        <f t="shared" si="120"/>
        <v>8943</v>
      </c>
      <c r="G768" s="426">
        <v>42641</v>
      </c>
      <c r="H768" s="443">
        <v>400</v>
      </c>
      <c r="I768" s="428">
        <v>15.06</v>
      </c>
      <c r="J768" s="429">
        <v>0.13</v>
      </c>
      <c r="K768" s="429">
        <f t="shared" si="121"/>
        <v>6023.87</v>
      </c>
      <c r="L768" s="427"/>
      <c r="M768" s="429"/>
    </row>
    <row r="769" spans="1:13" x14ac:dyDescent="0.25">
      <c r="A769" s="525"/>
      <c r="B769" s="473">
        <v>42626</v>
      </c>
      <c r="C769" s="427">
        <v>400</v>
      </c>
      <c r="D769" s="428">
        <v>14.75</v>
      </c>
      <c r="E769" s="429">
        <v>0</v>
      </c>
      <c r="F769" s="429">
        <f t="shared" si="120"/>
        <v>5900</v>
      </c>
      <c r="G769" s="426">
        <v>42641</v>
      </c>
      <c r="H769" s="443">
        <v>322</v>
      </c>
      <c r="I769" s="428">
        <v>14.39</v>
      </c>
      <c r="J769" s="429">
        <v>0.1</v>
      </c>
      <c r="K769" s="429">
        <f t="shared" si="121"/>
        <v>4633.4799999999996</v>
      </c>
      <c r="L769" s="427"/>
      <c r="M769" s="429"/>
    </row>
    <row r="770" spans="1:13" x14ac:dyDescent="0.25">
      <c r="A770" s="525"/>
      <c r="B770" s="473">
        <v>42626</v>
      </c>
      <c r="C770" s="427">
        <v>300</v>
      </c>
      <c r="D770" s="428">
        <v>14.48</v>
      </c>
      <c r="E770" s="429">
        <v>0</v>
      </c>
      <c r="F770" s="429">
        <f t="shared" si="120"/>
        <v>4344</v>
      </c>
      <c r="G770" s="426">
        <v>42641</v>
      </c>
      <c r="H770" s="443">
        <v>500</v>
      </c>
      <c r="I770" s="428">
        <v>14.26</v>
      </c>
      <c r="J770" s="429">
        <v>0.16</v>
      </c>
      <c r="K770" s="429">
        <f t="shared" si="121"/>
        <v>7129.84</v>
      </c>
      <c r="L770" s="427"/>
      <c r="M770" s="429"/>
    </row>
    <row r="771" spans="1:13" x14ac:dyDescent="0.25">
      <c r="A771" s="525"/>
      <c r="B771" s="473">
        <v>42626</v>
      </c>
      <c r="C771" s="427">
        <v>300</v>
      </c>
      <c r="D771" s="428">
        <v>14.25</v>
      </c>
      <c r="E771" s="429">
        <v>0</v>
      </c>
      <c r="F771" s="429">
        <f t="shared" si="120"/>
        <v>4275</v>
      </c>
      <c r="G771" s="426">
        <v>42642</v>
      </c>
      <c r="H771" s="443">
        <v>300</v>
      </c>
      <c r="I771" s="428">
        <v>15.28</v>
      </c>
      <c r="J771" s="429">
        <v>0.1</v>
      </c>
      <c r="K771" s="429">
        <f t="shared" si="121"/>
        <v>4583.8999999999996</v>
      </c>
      <c r="L771" s="427"/>
      <c r="M771" s="429"/>
    </row>
    <row r="772" spans="1:13" x14ac:dyDescent="0.25">
      <c r="A772" s="525"/>
      <c r="B772" s="473">
        <v>42627</v>
      </c>
      <c r="C772" s="427">
        <v>200</v>
      </c>
      <c r="D772" s="428">
        <v>14.02</v>
      </c>
      <c r="E772" s="429">
        <v>-1</v>
      </c>
      <c r="F772" s="429">
        <f t="shared" si="120"/>
        <v>2803</v>
      </c>
      <c r="G772" s="426">
        <v>42642</v>
      </c>
      <c r="H772" s="443">
        <v>700</v>
      </c>
      <c r="I772" s="428">
        <v>15.78</v>
      </c>
      <c r="J772" s="429">
        <v>0.24</v>
      </c>
      <c r="K772" s="429">
        <f t="shared" si="121"/>
        <v>11045.76</v>
      </c>
      <c r="L772" s="427"/>
      <c r="M772" s="429"/>
    </row>
    <row r="773" spans="1:13" x14ac:dyDescent="0.25">
      <c r="A773" s="427"/>
      <c r="B773" s="473">
        <v>42628</v>
      </c>
      <c r="C773" s="427">
        <v>300</v>
      </c>
      <c r="D773" s="428">
        <v>14.3</v>
      </c>
      <c r="E773" s="429">
        <v>0</v>
      </c>
      <c r="F773" s="429">
        <f t="shared" si="120"/>
        <v>4290</v>
      </c>
      <c r="G773" s="426">
        <v>42642</v>
      </c>
      <c r="H773" s="443">
        <v>214</v>
      </c>
      <c r="I773" s="428">
        <v>15.98</v>
      </c>
      <c r="J773" s="429">
        <v>7.0000000000000007E-2</v>
      </c>
      <c r="K773" s="429">
        <f t="shared" si="121"/>
        <v>3419.65</v>
      </c>
      <c r="L773" s="427"/>
      <c r="M773" s="429"/>
    </row>
    <row r="774" spans="1:13" x14ac:dyDescent="0.25">
      <c r="A774" s="427"/>
      <c r="B774" s="473">
        <v>42632</v>
      </c>
      <c r="C774" s="427">
        <v>200</v>
      </c>
      <c r="D774" s="428">
        <v>14.06</v>
      </c>
      <c r="E774" s="429">
        <v>0</v>
      </c>
      <c r="F774" s="429">
        <f t="shared" si="120"/>
        <v>2812</v>
      </c>
      <c r="G774" s="426">
        <v>42648</v>
      </c>
      <c r="H774" s="443">
        <v>1000</v>
      </c>
      <c r="I774" s="428">
        <v>16.079999999999998</v>
      </c>
      <c r="J774" s="429">
        <v>0.35</v>
      </c>
      <c r="K774" s="429">
        <f t="shared" si="121"/>
        <v>16079.649999999998</v>
      </c>
      <c r="L774" s="427"/>
      <c r="M774" s="429"/>
    </row>
    <row r="775" spans="1:13" x14ac:dyDescent="0.25">
      <c r="A775" s="427"/>
      <c r="B775" s="473">
        <v>42633</v>
      </c>
      <c r="C775" s="427">
        <v>200</v>
      </c>
      <c r="D775" s="428">
        <v>14.11</v>
      </c>
      <c r="E775" s="429">
        <v>0</v>
      </c>
      <c r="F775" s="429">
        <f t="shared" si="120"/>
        <v>2822</v>
      </c>
      <c r="G775" s="426">
        <v>42648</v>
      </c>
      <c r="H775" s="443">
        <v>500</v>
      </c>
      <c r="I775" s="428">
        <v>16.38</v>
      </c>
      <c r="J775" s="429">
        <v>0.18</v>
      </c>
      <c r="K775" s="429">
        <f t="shared" si="121"/>
        <v>8189.8199999999988</v>
      </c>
      <c r="L775" s="427"/>
      <c r="M775" s="429"/>
    </row>
    <row r="776" spans="1:13" x14ac:dyDescent="0.25">
      <c r="A776" s="427"/>
      <c r="B776" s="473">
        <v>42633</v>
      </c>
      <c r="C776" s="427">
        <v>122</v>
      </c>
      <c r="D776" s="428">
        <v>14.1</v>
      </c>
      <c r="E776" s="429">
        <v>0</v>
      </c>
      <c r="F776" s="429">
        <f t="shared" si="120"/>
        <v>1720.2</v>
      </c>
      <c r="G776" s="426">
        <v>42649</v>
      </c>
      <c r="H776" s="443">
        <v>500</v>
      </c>
      <c r="I776" s="428">
        <v>16.16</v>
      </c>
      <c r="J776" s="429">
        <v>0.18</v>
      </c>
      <c r="K776" s="429">
        <f t="shared" si="121"/>
        <v>8079.82</v>
      </c>
      <c r="L776" s="427"/>
      <c r="M776" s="429"/>
    </row>
    <row r="777" spans="1:13" x14ac:dyDescent="0.25">
      <c r="A777" s="427"/>
      <c r="B777" s="473">
        <v>42636</v>
      </c>
      <c r="C777" s="427">
        <v>200</v>
      </c>
      <c r="D777" s="428">
        <v>14.38</v>
      </c>
      <c r="E777" s="429">
        <v>0</v>
      </c>
      <c r="F777" s="429">
        <f t="shared" si="120"/>
        <v>2876</v>
      </c>
      <c r="G777" s="426">
        <v>42671</v>
      </c>
      <c r="H777" s="443">
        <v>1000</v>
      </c>
      <c r="I777" s="428">
        <v>14.22</v>
      </c>
      <c r="J777" s="429">
        <v>0.31</v>
      </c>
      <c r="K777" s="429">
        <f t="shared" si="121"/>
        <v>14219.69</v>
      </c>
      <c r="L777" s="427"/>
      <c r="M777" s="429"/>
    </row>
    <row r="778" spans="1:13" x14ac:dyDescent="0.25">
      <c r="A778" s="427"/>
      <c r="B778" s="473">
        <v>42639</v>
      </c>
      <c r="C778" s="427">
        <v>200</v>
      </c>
      <c r="D778" s="428">
        <v>14.5</v>
      </c>
      <c r="E778" s="429">
        <v>0</v>
      </c>
      <c r="F778" s="429">
        <f t="shared" ref="F778:F792" si="122">C778*D778+E778</f>
        <v>2900</v>
      </c>
      <c r="G778" s="426">
        <v>42674</v>
      </c>
      <c r="H778" s="443">
        <v>300</v>
      </c>
      <c r="I778" s="428">
        <v>13.42</v>
      </c>
      <c r="J778" s="429">
        <v>0.09</v>
      </c>
      <c r="K778" s="429">
        <f t="shared" si="121"/>
        <v>4025.91</v>
      </c>
      <c r="L778" s="427"/>
      <c r="M778" s="429"/>
    </row>
    <row r="779" spans="1:13" x14ac:dyDescent="0.25">
      <c r="A779" s="427"/>
      <c r="B779" s="473">
        <v>42639</v>
      </c>
      <c r="C779" s="427">
        <v>200</v>
      </c>
      <c r="D779" s="428">
        <v>14.38</v>
      </c>
      <c r="E779" s="429">
        <v>0</v>
      </c>
      <c r="F779" s="429">
        <f t="shared" si="122"/>
        <v>2876</v>
      </c>
      <c r="G779" s="426">
        <v>42674</v>
      </c>
      <c r="H779" s="443">
        <v>200</v>
      </c>
      <c r="I779" s="428">
        <v>13.25</v>
      </c>
      <c r="J779" s="429">
        <v>-0.74</v>
      </c>
      <c r="K779" s="429">
        <f t="shared" si="121"/>
        <v>2650.74</v>
      </c>
      <c r="L779" s="427"/>
      <c r="M779" s="429"/>
    </row>
    <row r="780" spans="1:13" x14ac:dyDescent="0.25">
      <c r="A780" s="427"/>
      <c r="B780" s="473">
        <v>42640</v>
      </c>
      <c r="C780" s="427">
        <v>322</v>
      </c>
      <c r="D780" s="428">
        <v>13.97</v>
      </c>
      <c r="E780" s="429">
        <v>0</v>
      </c>
      <c r="F780" s="429">
        <f t="shared" si="122"/>
        <v>4498.34</v>
      </c>
      <c r="G780" s="426">
        <v>42676</v>
      </c>
      <c r="H780" s="443">
        <v>200</v>
      </c>
      <c r="I780" s="428">
        <v>13.05</v>
      </c>
      <c r="J780" s="429">
        <v>0.06</v>
      </c>
      <c r="K780" s="429">
        <f t="shared" si="121"/>
        <v>2609.94</v>
      </c>
      <c r="L780" s="427"/>
      <c r="M780" s="429"/>
    </row>
    <row r="781" spans="1:13" x14ac:dyDescent="0.25">
      <c r="A781" s="427"/>
      <c r="B781" s="473">
        <v>42641</v>
      </c>
      <c r="C781" s="427">
        <v>300</v>
      </c>
      <c r="D781" s="428">
        <v>14.02</v>
      </c>
      <c r="E781" s="429">
        <v>-1.26</v>
      </c>
      <c r="F781" s="429">
        <f t="shared" si="122"/>
        <v>4204.74</v>
      </c>
      <c r="G781" s="426">
        <v>42677</v>
      </c>
      <c r="H781" s="443">
        <v>500</v>
      </c>
      <c r="I781" s="428">
        <v>13.96</v>
      </c>
      <c r="J781" s="429">
        <v>0.15</v>
      </c>
      <c r="K781" s="429">
        <f t="shared" si="121"/>
        <v>6979.85</v>
      </c>
      <c r="L781" s="427"/>
      <c r="M781" s="429"/>
    </row>
    <row r="782" spans="1:13" x14ac:dyDescent="0.25">
      <c r="A782" s="427"/>
      <c r="B782" s="473">
        <v>42641</v>
      </c>
      <c r="C782" s="427">
        <v>200</v>
      </c>
      <c r="D782" s="428">
        <v>14.17</v>
      </c>
      <c r="E782" s="429">
        <v>0</v>
      </c>
      <c r="F782" s="429">
        <f t="shared" si="122"/>
        <v>2834</v>
      </c>
      <c r="G782" s="426">
        <v>42677</v>
      </c>
      <c r="H782" s="443">
        <v>2000</v>
      </c>
      <c r="I782" s="428">
        <v>14.5</v>
      </c>
      <c r="J782" s="429">
        <v>0.63</v>
      </c>
      <c r="K782" s="429">
        <f t="shared" si="121"/>
        <v>28999.37</v>
      </c>
      <c r="L782" s="427"/>
      <c r="M782" s="429"/>
    </row>
    <row r="783" spans="1:13" x14ac:dyDescent="0.25">
      <c r="A783" s="427"/>
      <c r="B783" s="473">
        <v>42642</v>
      </c>
      <c r="C783" s="427">
        <v>414</v>
      </c>
      <c r="D783" s="428">
        <v>15.66</v>
      </c>
      <c r="E783" s="429">
        <v>0</v>
      </c>
      <c r="F783" s="429">
        <f t="shared" si="122"/>
        <v>6483.24</v>
      </c>
      <c r="G783" s="426">
        <v>42682</v>
      </c>
      <c r="H783" s="443">
        <v>1000</v>
      </c>
      <c r="I783" s="428">
        <v>14.28</v>
      </c>
      <c r="J783" s="429">
        <v>0.31</v>
      </c>
      <c r="K783" s="429">
        <f t="shared" si="121"/>
        <v>14279.69</v>
      </c>
      <c r="L783" s="427"/>
      <c r="M783" s="429"/>
    </row>
    <row r="784" spans="1:13" ht="30" x14ac:dyDescent="0.25">
      <c r="A784" s="525" t="s">
        <v>286</v>
      </c>
      <c r="B784" s="473">
        <v>42647</v>
      </c>
      <c r="C784" s="427">
        <v>500</v>
      </c>
      <c r="D784" s="428">
        <v>15.86</v>
      </c>
      <c r="E784" s="429">
        <v>0</v>
      </c>
      <c r="F784" s="429">
        <f t="shared" si="122"/>
        <v>7930</v>
      </c>
      <c r="G784" s="426">
        <v>42685</v>
      </c>
      <c r="H784" s="443">
        <v>500</v>
      </c>
      <c r="I784" s="428">
        <v>15.88</v>
      </c>
      <c r="J784" s="429">
        <v>0.17</v>
      </c>
      <c r="K784" s="429">
        <f t="shared" si="121"/>
        <v>7939.83</v>
      </c>
      <c r="L784" s="427"/>
      <c r="M784" s="429"/>
    </row>
    <row r="785" spans="1:13" x14ac:dyDescent="0.25">
      <c r="A785" s="525"/>
      <c r="B785" s="473">
        <v>42647</v>
      </c>
      <c r="C785" s="427">
        <v>500</v>
      </c>
      <c r="D785" s="428">
        <v>15.62</v>
      </c>
      <c r="E785" s="429">
        <v>0</v>
      </c>
      <c r="F785" s="429">
        <f t="shared" si="122"/>
        <v>7810</v>
      </c>
      <c r="G785" s="426">
        <v>42695</v>
      </c>
      <c r="H785" s="443">
        <v>2272</v>
      </c>
      <c r="I785" s="428">
        <v>16.28</v>
      </c>
      <c r="J785" s="429">
        <v>0.81</v>
      </c>
      <c r="K785" s="429">
        <f t="shared" si="121"/>
        <v>36987.350000000006</v>
      </c>
      <c r="L785" s="427"/>
      <c r="M785" s="429"/>
    </row>
    <row r="786" spans="1:13" x14ac:dyDescent="0.25">
      <c r="A786" s="525"/>
      <c r="B786" s="473">
        <v>42649</v>
      </c>
      <c r="C786" s="427">
        <v>500</v>
      </c>
      <c r="D786" s="428">
        <v>15.97</v>
      </c>
      <c r="E786" s="429">
        <v>0</v>
      </c>
      <c r="F786" s="429">
        <f t="shared" si="122"/>
        <v>7985</v>
      </c>
      <c r="G786" s="426">
        <v>42695</v>
      </c>
      <c r="H786" s="443">
        <v>500</v>
      </c>
      <c r="I786" s="428">
        <v>16.45</v>
      </c>
      <c r="J786" s="429">
        <v>0.18</v>
      </c>
      <c r="K786" s="429">
        <f t="shared" si="121"/>
        <v>8224.82</v>
      </c>
      <c r="L786" s="427"/>
      <c r="M786" s="429"/>
    </row>
    <row r="787" spans="1:13" x14ac:dyDescent="0.25">
      <c r="A787" s="525"/>
      <c r="B787" s="473">
        <v>42649</v>
      </c>
      <c r="C787" s="427">
        <v>500</v>
      </c>
      <c r="D787" s="428">
        <v>15.84</v>
      </c>
      <c r="E787" s="429">
        <v>0</v>
      </c>
      <c r="F787" s="429">
        <f t="shared" si="122"/>
        <v>7920</v>
      </c>
      <c r="G787" s="426">
        <v>42696</v>
      </c>
      <c r="H787" s="443">
        <v>500</v>
      </c>
      <c r="I787" s="428">
        <v>16.54</v>
      </c>
      <c r="J787" s="429">
        <v>0.18</v>
      </c>
      <c r="K787" s="429">
        <f t="shared" si="121"/>
        <v>8269.82</v>
      </c>
      <c r="L787" s="427"/>
      <c r="M787" s="429"/>
    </row>
    <row r="788" spans="1:13" x14ac:dyDescent="0.25">
      <c r="A788" s="427"/>
      <c r="B788" s="473">
        <v>42649</v>
      </c>
      <c r="C788" s="427">
        <v>500</v>
      </c>
      <c r="D788" s="428">
        <v>16.079999999999998</v>
      </c>
      <c r="E788" s="429">
        <v>0</v>
      </c>
      <c r="F788" s="429">
        <f t="shared" si="122"/>
        <v>8039.9999999999991</v>
      </c>
      <c r="G788" s="426">
        <v>42697</v>
      </c>
      <c r="H788" s="443">
        <v>200</v>
      </c>
      <c r="I788" s="428">
        <v>16.79</v>
      </c>
      <c r="J788" s="429">
        <v>7.0000000000000007E-2</v>
      </c>
      <c r="K788" s="429">
        <f t="shared" si="121"/>
        <v>3357.93</v>
      </c>
      <c r="L788" s="427"/>
      <c r="M788" s="429"/>
    </row>
    <row r="789" spans="1:13" x14ac:dyDescent="0.25">
      <c r="A789" s="427"/>
      <c r="B789" s="473">
        <v>42650</v>
      </c>
      <c r="C789" s="427">
        <v>300</v>
      </c>
      <c r="D789" s="428">
        <v>15.75</v>
      </c>
      <c r="E789" s="429">
        <v>0</v>
      </c>
      <c r="F789" s="429">
        <f t="shared" si="122"/>
        <v>4725</v>
      </c>
      <c r="G789" s="426">
        <v>42697</v>
      </c>
      <c r="H789" s="443">
        <v>500</v>
      </c>
      <c r="I789" s="428">
        <v>16.59</v>
      </c>
      <c r="J789" s="429">
        <v>0.18</v>
      </c>
      <c r="K789" s="429">
        <f t="shared" si="121"/>
        <v>8294.82</v>
      </c>
      <c r="L789" s="427"/>
      <c r="M789" s="429"/>
    </row>
    <row r="790" spans="1:13" x14ac:dyDescent="0.25">
      <c r="A790" s="427"/>
      <c r="B790" s="473">
        <v>42650</v>
      </c>
      <c r="C790" s="427">
        <v>300</v>
      </c>
      <c r="D790" s="428">
        <v>15.58</v>
      </c>
      <c r="E790" s="429">
        <v>0</v>
      </c>
      <c r="F790" s="429">
        <f t="shared" si="122"/>
        <v>4674</v>
      </c>
      <c r="G790" s="426">
        <v>42704</v>
      </c>
      <c r="H790" s="443">
        <v>1000</v>
      </c>
      <c r="I790" s="428">
        <v>16.420000000000002</v>
      </c>
      <c r="J790" s="429">
        <v>0.36</v>
      </c>
      <c r="K790" s="429">
        <f t="shared" si="121"/>
        <v>16419.64</v>
      </c>
      <c r="L790" s="427"/>
      <c r="M790" s="429"/>
    </row>
    <row r="791" spans="1:13" x14ac:dyDescent="0.25">
      <c r="A791" s="427"/>
      <c r="B791" s="473">
        <v>42653</v>
      </c>
      <c r="C791" s="427">
        <v>394</v>
      </c>
      <c r="D791" s="428">
        <v>15.72</v>
      </c>
      <c r="E791" s="429">
        <v>0</v>
      </c>
      <c r="F791" s="429">
        <f t="shared" si="122"/>
        <v>6193.68</v>
      </c>
      <c r="G791" s="426">
        <v>42704</v>
      </c>
      <c r="H791" s="443">
        <v>300</v>
      </c>
      <c r="I791" s="428">
        <v>16.78</v>
      </c>
      <c r="J791" s="429">
        <v>1.61</v>
      </c>
      <c r="K791" s="429">
        <f t="shared" si="121"/>
        <v>5032.3900000000003</v>
      </c>
      <c r="L791" s="427"/>
      <c r="M791" s="429"/>
    </row>
    <row r="792" spans="1:13" x14ac:dyDescent="0.25">
      <c r="A792" s="427"/>
      <c r="B792" s="473">
        <v>42653</v>
      </c>
      <c r="C792" s="427">
        <v>6</v>
      </c>
      <c r="D792" s="428">
        <v>15.72</v>
      </c>
      <c r="E792" s="429">
        <v>0</v>
      </c>
      <c r="F792" s="429">
        <f t="shared" si="122"/>
        <v>94.320000000000007</v>
      </c>
      <c r="G792" s="426">
        <v>42704</v>
      </c>
      <c r="H792" s="443">
        <v>1000</v>
      </c>
      <c r="I792" s="428">
        <v>17.079999999999998</v>
      </c>
      <c r="J792" s="429">
        <v>0.37</v>
      </c>
      <c r="K792" s="429">
        <f t="shared" si="121"/>
        <v>17079.63</v>
      </c>
      <c r="L792" s="427"/>
      <c r="M792" s="429"/>
    </row>
    <row r="793" spans="1:13" x14ac:dyDescent="0.25">
      <c r="A793" s="427"/>
      <c r="B793" s="473">
        <v>42655</v>
      </c>
      <c r="C793" s="427">
        <v>22</v>
      </c>
      <c r="D793" s="428">
        <v>15.48</v>
      </c>
      <c r="E793" s="429">
        <v>0</v>
      </c>
      <c r="F793" s="429">
        <f>C793*D793+E793</f>
        <v>340.56</v>
      </c>
      <c r="G793" s="426">
        <v>42704</v>
      </c>
      <c r="H793" s="443">
        <v>1000</v>
      </c>
      <c r="I793" s="428">
        <v>17.32</v>
      </c>
      <c r="J793" s="429">
        <v>0.38</v>
      </c>
      <c r="K793" s="429">
        <f t="shared" si="121"/>
        <v>17319.62</v>
      </c>
      <c r="L793" s="427"/>
      <c r="M793" s="429"/>
    </row>
    <row r="794" spans="1:13" x14ac:dyDescent="0.25">
      <c r="A794" s="427"/>
      <c r="B794" s="473">
        <v>42655</v>
      </c>
      <c r="C794" s="427">
        <v>300</v>
      </c>
      <c r="D794" s="428">
        <v>15.48</v>
      </c>
      <c r="E794" s="429">
        <v>0</v>
      </c>
      <c r="F794" s="429">
        <f>C794*D794+E794</f>
        <v>4644</v>
      </c>
      <c r="G794" s="426">
        <v>42704</v>
      </c>
      <c r="H794" s="443">
        <v>500</v>
      </c>
      <c r="I794" s="428">
        <v>17.64</v>
      </c>
      <c r="J794" s="429">
        <v>0.19</v>
      </c>
      <c r="K794" s="429">
        <f t="shared" si="121"/>
        <v>8819.81</v>
      </c>
      <c r="L794" s="427"/>
      <c r="M794" s="429"/>
    </row>
    <row r="795" spans="1:13" x14ac:dyDescent="0.25">
      <c r="A795" s="526"/>
      <c r="B795" s="473">
        <v>42668</v>
      </c>
      <c r="C795" s="427">
        <v>500</v>
      </c>
      <c r="D795" s="428">
        <v>14.26</v>
      </c>
      <c r="E795" s="429">
        <v>-2.5</v>
      </c>
      <c r="F795" s="429">
        <f t="shared" ref="F795:F804" si="123">C795*D795+E795</f>
        <v>7127.5</v>
      </c>
      <c r="G795" s="426">
        <v>42705</v>
      </c>
      <c r="H795" s="443">
        <v>528</v>
      </c>
      <c r="I795" s="428">
        <v>18.7</v>
      </c>
      <c r="J795" s="429">
        <v>0.22</v>
      </c>
      <c r="K795" s="429">
        <f t="shared" si="121"/>
        <v>9873.380000000001</v>
      </c>
      <c r="L795" s="427"/>
      <c r="M795" s="429"/>
    </row>
    <row r="796" spans="1:13" x14ac:dyDescent="0.25">
      <c r="A796" s="526"/>
      <c r="B796" s="473">
        <v>42668</v>
      </c>
      <c r="C796" s="427">
        <v>500</v>
      </c>
      <c r="D796" s="428">
        <v>14.16</v>
      </c>
      <c r="E796" s="429">
        <v>0</v>
      </c>
      <c r="F796" s="429">
        <f t="shared" si="123"/>
        <v>7080</v>
      </c>
      <c r="G796" s="426">
        <v>42711</v>
      </c>
      <c r="H796" s="443">
        <v>500</v>
      </c>
      <c r="I796" s="428">
        <v>18.329999999999998</v>
      </c>
      <c r="J796" s="429">
        <v>0.2</v>
      </c>
      <c r="K796" s="429">
        <f t="shared" si="121"/>
        <v>9164.7999999999993</v>
      </c>
      <c r="L796" s="427"/>
      <c r="M796" s="429"/>
    </row>
    <row r="797" spans="1:13" x14ac:dyDescent="0.25">
      <c r="A797" s="526"/>
      <c r="B797" s="473">
        <v>42670</v>
      </c>
      <c r="C797" s="427">
        <v>500</v>
      </c>
      <c r="D797" s="428">
        <v>14.18</v>
      </c>
      <c r="E797" s="429">
        <v>0</v>
      </c>
      <c r="F797" s="429">
        <f t="shared" si="123"/>
        <v>7090</v>
      </c>
      <c r="G797" s="426">
        <v>42713</v>
      </c>
      <c r="H797" s="443">
        <v>500</v>
      </c>
      <c r="I797" s="428">
        <v>18.28</v>
      </c>
      <c r="J797" s="429">
        <v>0.2</v>
      </c>
      <c r="K797" s="429">
        <f t="shared" si="121"/>
        <v>9139.7999999999993</v>
      </c>
      <c r="L797" s="427"/>
      <c r="M797" s="429"/>
    </row>
    <row r="798" spans="1:13" x14ac:dyDescent="0.25">
      <c r="A798" s="526"/>
      <c r="B798" s="473">
        <v>42670</v>
      </c>
      <c r="C798" s="427">
        <v>500</v>
      </c>
      <c r="D798" s="428">
        <v>14.05</v>
      </c>
      <c r="E798" s="429">
        <v>0</v>
      </c>
      <c r="F798" s="429">
        <f t="shared" si="123"/>
        <v>7025</v>
      </c>
      <c r="G798" s="426">
        <v>42718</v>
      </c>
      <c r="H798" s="443">
        <v>200</v>
      </c>
      <c r="I798" s="428">
        <v>18.78</v>
      </c>
      <c r="J798" s="429">
        <v>0.08</v>
      </c>
      <c r="K798" s="429">
        <f t="shared" si="121"/>
        <v>3755.92</v>
      </c>
      <c r="L798" s="427"/>
      <c r="M798" s="429"/>
    </row>
    <row r="799" spans="1:13" x14ac:dyDescent="0.25">
      <c r="A799" s="526"/>
      <c r="B799" s="473">
        <v>42670</v>
      </c>
      <c r="C799" s="427">
        <v>500</v>
      </c>
      <c r="D799" s="428">
        <v>13.88</v>
      </c>
      <c r="E799" s="429">
        <v>0</v>
      </c>
      <c r="F799" s="429">
        <f t="shared" si="123"/>
        <v>6940</v>
      </c>
      <c r="G799" s="426">
        <v>42734</v>
      </c>
      <c r="H799" s="443">
        <v>1000</v>
      </c>
      <c r="I799" s="428">
        <v>17.72</v>
      </c>
      <c r="J799" s="429">
        <v>0.39</v>
      </c>
      <c r="K799" s="429">
        <f t="shared" si="121"/>
        <v>17719.61</v>
      </c>
      <c r="L799" s="427"/>
      <c r="M799" s="429"/>
    </row>
    <row r="800" spans="1:13" x14ac:dyDescent="0.25">
      <c r="A800" s="427"/>
      <c r="B800" s="473">
        <v>42671</v>
      </c>
      <c r="C800" s="427">
        <v>1000</v>
      </c>
      <c r="D800" s="428">
        <v>14.15</v>
      </c>
      <c r="E800" s="429">
        <v>0</v>
      </c>
      <c r="F800" s="429">
        <f t="shared" si="123"/>
        <v>14150</v>
      </c>
      <c r="G800" s="426">
        <v>42739</v>
      </c>
      <c r="H800" s="443">
        <v>500</v>
      </c>
      <c r="I800" s="428">
        <v>18.079999999999998</v>
      </c>
      <c r="J800" s="429">
        <v>0.2</v>
      </c>
      <c r="K800" s="429">
        <f t="shared" si="121"/>
        <v>9039.7999999999993</v>
      </c>
      <c r="L800" s="427"/>
      <c r="M800" s="429"/>
    </row>
    <row r="801" spans="1:13" x14ac:dyDescent="0.25">
      <c r="A801" s="427"/>
      <c r="B801" s="473">
        <v>42674</v>
      </c>
      <c r="C801" s="427">
        <v>300</v>
      </c>
      <c r="D801" s="428">
        <v>13.28</v>
      </c>
      <c r="E801" s="429">
        <v>-1.5</v>
      </c>
      <c r="F801" s="429">
        <f t="shared" si="123"/>
        <v>3982.5</v>
      </c>
      <c r="G801" s="426">
        <v>42748</v>
      </c>
      <c r="H801" s="443">
        <v>500</v>
      </c>
      <c r="I801" s="428">
        <v>17.48</v>
      </c>
      <c r="J801" s="429">
        <v>0.19</v>
      </c>
      <c r="K801" s="429">
        <f t="shared" si="121"/>
        <v>8739.81</v>
      </c>
      <c r="L801" s="427"/>
      <c r="M801" s="429"/>
    </row>
    <row r="802" spans="1:13" x14ac:dyDescent="0.25">
      <c r="A802" s="427"/>
      <c r="B802" s="473">
        <v>42674</v>
      </c>
      <c r="C802" s="427">
        <v>200</v>
      </c>
      <c r="D802" s="428">
        <v>13.15</v>
      </c>
      <c r="E802" s="429">
        <v>0.02</v>
      </c>
      <c r="F802" s="429">
        <f t="shared" si="123"/>
        <v>2630.02</v>
      </c>
      <c r="G802" s="426">
        <v>42761</v>
      </c>
      <c r="H802" s="443">
        <v>1000</v>
      </c>
      <c r="I802" s="428">
        <v>17.899999999999999</v>
      </c>
      <c r="J802" s="429">
        <v>0.39</v>
      </c>
      <c r="K802" s="429">
        <f t="shared" si="121"/>
        <v>17899.61</v>
      </c>
      <c r="L802" s="427"/>
      <c r="M802" s="429"/>
    </row>
    <row r="803" spans="1:13" x14ac:dyDescent="0.25">
      <c r="A803" s="427"/>
      <c r="B803" s="473">
        <v>42676</v>
      </c>
      <c r="C803" s="427">
        <v>200</v>
      </c>
      <c r="D803" s="428">
        <v>12.89</v>
      </c>
      <c r="E803" s="429">
        <v>0</v>
      </c>
      <c r="F803" s="429">
        <f t="shared" si="123"/>
        <v>2578</v>
      </c>
      <c r="G803" s="426">
        <v>42766</v>
      </c>
      <c r="H803" s="443">
        <v>300</v>
      </c>
      <c r="I803" s="428">
        <v>16.649999999999999</v>
      </c>
      <c r="J803" s="429">
        <v>0.11</v>
      </c>
      <c r="K803" s="429">
        <f t="shared" si="121"/>
        <v>4994.8900000000003</v>
      </c>
      <c r="L803" s="427"/>
      <c r="M803" s="429"/>
    </row>
    <row r="804" spans="1:13" x14ac:dyDescent="0.25">
      <c r="A804" s="427"/>
      <c r="B804" s="473">
        <v>42678</v>
      </c>
      <c r="C804" s="427">
        <v>500</v>
      </c>
      <c r="D804" s="428">
        <v>13.69</v>
      </c>
      <c r="E804" s="429">
        <v>0</v>
      </c>
      <c r="F804" s="429">
        <f t="shared" si="123"/>
        <v>6845</v>
      </c>
      <c r="G804" s="426">
        <v>42767</v>
      </c>
      <c r="H804" s="443">
        <v>612</v>
      </c>
      <c r="I804" s="428">
        <v>17.03</v>
      </c>
      <c r="J804" s="429">
        <v>0.23</v>
      </c>
      <c r="K804" s="429">
        <f t="shared" si="121"/>
        <v>10422.130000000001</v>
      </c>
      <c r="L804" s="427"/>
      <c r="M804" s="429"/>
    </row>
    <row r="805" spans="1:13" x14ac:dyDescent="0.25">
      <c r="A805" s="427"/>
      <c r="B805" s="473">
        <v>42678</v>
      </c>
      <c r="C805" s="427">
        <v>500</v>
      </c>
      <c r="D805" s="428">
        <v>13.69</v>
      </c>
      <c r="E805" s="429">
        <v>0</v>
      </c>
      <c r="F805" s="429">
        <f>C805*D805+E805</f>
        <v>6845</v>
      </c>
      <c r="G805" s="426">
        <v>42767</v>
      </c>
      <c r="H805" s="443">
        <v>288</v>
      </c>
      <c r="I805" s="428">
        <v>17.12</v>
      </c>
      <c r="J805" s="429">
        <v>0.11</v>
      </c>
      <c r="K805" s="429">
        <f t="shared" si="121"/>
        <v>4930.4500000000007</v>
      </c>
      <c r="L805" s="427"/>
      <c r="M805" s="429"/>
    </row>
    <row r="806" spans="1:13" x14ac:dyDescent="0.25">
      <c r="A806" s="427"/>
      <c r="B806" s="473">
        <v>42691</v>
      </c>
      <c r="C806" s="427">
        <v>150</v>
      </c>
      <c r="D806" s="428">
        <v>15.48</v>
      </c>
      <c r="E806" s="429">
        <v>0</v>
      </c>
      <c r="F806" s="429">
        <f t="shared" ref="F806:F822" si="124">C806*D806+E806</f>
        <v>2322</v>
      </c>
      <c r="G806" s="426">
        <v>42767</v>
      </c>
      <c r="H806" s="443">
        <v>700</v>
      </c>
      <c r="I806" s="428">
        <v>16.57</v>
      </c>
      <c r="J806" s="429">
        <v>0.25</v>
      </c>
      <c r="K806" s="429">
        <f t="shared" si="121"/>
        <v>11598.75</v>
      </c>
      <c r="L806" s="427"/>
      <c r="M806" s="429"/>
    </row>
    <row r="807" spans="1:13" x14ac:dyDescent="0.25">
      <c r="A807" s="427"/>
      <c r="B807" s="473">
        <v>42691</v>
      </c>
      <c r="C807" s="427">
        <v>300</v>
      </c>
      <c r="D807" s="428">
        <v>15.48</v>
      </c>
      <c r="E807" s="429">
        <v>0</v>
      </c>
      <c r="F807" s="429">
        <f t="shared" si="124"/>
        <v>4644</v>
      </c>
      <c r="G807" s="426">
        <v>42768</v>
      </c>
      <c r="H807" s="443">
        <v>200</v>
      </c>
      <c r="I807" s="428">
        <v>16.7</v>
      </c>
      <c r="J807" s="429">
        <v>7.0000000000000007E-2</v>
      </c>
      <c r="K807" s="429">
        <f t="shared" si="121"/>
        <v>3339.93</v>
      </c>
      <c r="L807" s="427"/>
      <c r="M807" s="429"/>
    </row>
    <row r="808" spans="1:13" x14ac:dyDescent="0.25">
      <c r="A808" s="427"/>
      <c r="B808" s="473">
        <v>42696</v>
      </c>
      <c r="C808" s="427">
        <v>1000</v>
      </c>
      <c r="D808" s="428">
        <v>16.12</v>
      </c>
      <c r="E808" s="429">
        <v>0</v>
      </c>
      <c r="F808" s="429">
        <f t="shared" si="124"/>
        <v>16120.000000000002</v>
      </c>
      <c r="G808" s="426">
        <v>42768</v>
      </c>
      <c r="H808" s="443">
        <v>500</v>
      </c>
      <c r="I808" s="428">
        <v>16.600000000000001</v>
      </c>
      <c r="J808" s="429">
        <v>-1.82</v>
      </c>
      <c r="K808" s="429">
        <f t="shared" si="121"/>
        <v>8301.82</v>
      </c>
      <c r="L808" s="427"/>
      <c r="M808" s="429"/>
    </row>
    <row r="809" spans="1:13" x14ac:dyDescent="0.25">
      <c r="A809" s="427"/>
      <c r="B809" s="473">
        <v>42699</v>
      </c>
      <c r="C809" s="427">
        <v>200</v>
      </c>
      <c r="D809" s="428">
        <v>16.28</v>
      </c>
      <c r="E809" s="429">
        <v>0</v>
      </c>
      <c r="F809" s="429">
        <f t="shared" si="124"/>
        <v>3256</v>
      </c>
      <c r="G809" s="426">
        <v>42768</v>
      </c>
      <c r="H809" s="443">
        <v>500</v>
      </c>
      <c r="I809" s="428">
        <v>16.75</v>
      </c>
      <c r="J809" s="429">
        <v>0.18</v>
      </c>
      <c r="K809" s="429">
        <f t="shared" si="121"/>
        <v>8374.82</v>
      </c>
      <c r="L809" s="427"/>
      <c r="M809" s="429"/>
    </row>
    <row r="810" spans="1:13" x14ac:dyDescent="0.25">
      <c r="A810" s="526"/>
      <c r="B810" s="473">
        <v>42699</v>
      </c>
      <c r="C810" s="427">
        <v>500</v>
      </c>
      <c r="D810" s="428">
        <v>16.16</v>
      </c>
      <c r="E810" s="429">
        <v>0</v>
      </c>
      <c r="F810" s="429">
        <f t="shared" si="124"/>
        <v>8080</v>
      </c>
      <c r="G810" s="426">
        <v>42769</v>
      </c>
      <c r="H810" s="527">
        <v>400</v>
      </c>
      <c r="I810" s="528">
        <v>16.95</v>
      </c>
      <c r="J810" s="529">
        <v>0.15</v>
      </c>
      <c r="K810" s="529">
        <f t="shared" si="121"/>
        <v>6779.85</v>
      </c>
      <c r="L810" s="427"/>
      <c r="M810" s="429"/>
    </row>
    <row r="811" spans="1:13" x14ac:dyDescent="0.25">
      <c r="A811" s="526"/>
      <c r="B811" s="473">
        <v>42702</v>
      </c>
      <c r="C811" s="427">
        <v>500</v>
      </c>
      <c r="D811" s="428">
        <v>16.059999999999999</v>
      </c>
      <c r="E811" s="429">
        <v>0</v>
      </c>
      <c r="F811" s="429">
        <f t="shared" si="124"/>
        <v>8029.9999999999991</v>
      </c>
      <c r="G811" s="426">
        <v>42769</v>
      </c>
      <c r="H811" s="527">
        <v>300</v>
      </c>
      <c r="I811" s="528">
        <v>17.32</v>
      </c>
      <c r="J811" s="529">
        <v>0.11</v>
      </c>
      <c r="K811" s="529">
        <f t="shared" si="121"/>
        <v>5195.8900000000003</v>
      </c>
      <c r="L811" s="427"/>
      <c r="M811" s="429"/>
    </row>
    <row r="812" spans="1:13" x14ac:dyDescent="0.25">
      <c r="A812" s="526"/>
      <c r="B812" s="473">
        <v>42702</v>
      </c>
      <c r="C812" s="427">
        <v>200</v>
      </c>
      <c r="D812" s="428">
        <v>15.8</v>
      </c>
      <c r="E812" s="429">
        <v>0</v>
      </c>
      <c r="F812" s="429">
        <f t="shared" si="124"/>
        <v>3160</v>
      </c>
      <c r="G812" s="426">
        <v>42781</v>
      </c>
      <c r="H812" s="443">
        <v>600</v>
      </c>
      <c r="I812" s="428">
        <v>16.52</v>
      </c>
      <c r="J812" s="429">
        <v>0.22</v>
      </c>
      <c r="K812" s="429">
        <f t="shared" si="121"/>
        <v>9911.7800000000007</v>
      </c>
      <c r="L812" s="427"/>
      <c r="M812" s="429"/>
    </row>
    <row r="813" spans="1:13" x14ac:dyDescent="0.25">
      <c r="A813" s="526"/>
      <c r="B813" s="473">
        <v>42702</v>
      </c>
      <c r="C813" s="427">
        <v>300</v>
      </c>
      <c r="D813" s="428">
        <v>15.65</v>
      </c>
      <c r="E813" s="429">
        <v>0</v>
      </c>
      <c r="F813" s="429">
        <f t="shared" si="124"/>
        <v>4695</v>
      </c>
      <c r="G813" s="426">
        <v>42781</v>
      </c>
      <c r="H813" s="443">
        <v>300</v>
      </c>
      <c r="I813" s="428">
        <v>16.440000000000001</v>
      </c>
      <c r="J813" s="429">
        <v>0.11</v>
      </c>
      <c r="K813" s="429">
        <f t="shared" si="121"/>
        <v>4931.8900000000003</v>
      </c>
      <c r="L813" s="427"/>
      <c r="M813" s="429"/>
    </row>
    <row r="814" spans="1:13" x14ac:dyDescent="0.25">
      <c r="A814" s="427"/>
      <c r="B814" s="473">
        <v>42703</v>
      </c>
      <c r="C814" s="427">
        <v>300</v>
      </c>
      <c r="D814" s="428">
        <v>14.78</v>
      </c>
      <c r="E814" s="429">
        <v>0</v>
      </c>
      <c r="F814" s="429">
        <f t="shared" si="124"/>
        <v>4434</v>
      </c>
      <c r="G814" s="426">
        <v>42782</v>
      </c>
      <c r="H814" s="443">
        <v>300</v>
      </c>
      <c r="I814" s="428">
        <v>17</v>
      </c>
      <c r="J814" s="429">
        <v>0.11</v>
      </c>
      <c r="K814" s="429">
        <f t="shared" si="121"/>
        <v>5099.8900000000003</v>
      </c>
      <c r="L814" s="427"/>
      <c r="M814" s="429"/>
    </row>
    <row r="815" spans="1:13" x14ac:dyDescent="0.25">
      <c r="A815" s="427"/>
      <c r="B815" s="473">
        <v>42705</v>
      </c>
      <c r="C815" s="427">
        <v>350</v>
      </c>
      <c r="D815" s="428">
        <v>17.600000000000001</v>
      </c>
      <c r="E815" s="429">
        <v>0</v>
      </c>
      <c r="F815" s="429">
        <f t="shared" si="124"/>
        <v>6160.0000000000009</v>
      </c>
      <c r="G815" s="427"/>
      <c r="H815" s="443"/>
      <c r="I815" s="428"/>
      <c r="J815" s="429"/>
      <c r="K815" s="429"/>
      <c r="L815" s="427"/>
      <c r="M815" s="429"/>
    </row>
    <row r="816" spans="1:13" x14ac:dyDescent="0.25">
      <c r="A816" s="427"/>
      <c r="B816" s="473">
        <v>42711</v>
      </c>
      <c r="C816" s="427">
        <v>500</v>
      </c>
      <c r="D816" s="428">
        <v>18.12</v>
      </c>
      <c r="E816" s="429">
        <v>0</v>
      </c>
      <c r="F816" s="429">
        <f t="shared" si="124"/>
        <v>9060</v>
      </c>
      <c r="G816" s="427"/>
      <c r="H816" s="443"/>
      <c r="I816" s="428"/>
      <c r="J816" s="429"/>
      <c r="K816" s="429"/>
      <c r="L816" s="427"/>
      <c r="M816" s="429"/>
    </row>
    <row r="817" spans="1:13" x14ac:dyDescent="0.25">
      <c r="A817" s="427"/>
      <c r="B817" s="473">
        <v>42713</v>
      </c>
      <c r="C817" s="427">
        <v>500</v>
      </c>
      <c r="D817" s="428">
        <v>18.12</v>
      </c>
      <c r="E817" s="429">
        <v>0</v>
      </c>
      <c r="F817" s="429">
        <f t="shared" si="124"/>
        <v>9060</v>
      </c>
      <c r="G817" s="427"/>
      <c r="H817" s="443"/>
      <c r="I817" s="428"/>
      <c r="J817" s="429"/>
      <c r="K817" s="429"/>
      <c r="L817" s="427"/>
      <c r="M817" s="429"/>
    </row>
    <row r="818" spans="1:13" x14ac:dyDescent="0.25">
      <c r="A818" s="427"/>
      <c r="B818" s="473">
        <v>42718</v>
      </c>
      <c r="C818" s="427">
        <v>200</v>
      </c>
      <c r="D818" s="428">
        <v>18.73</v>
      </c>
      <c r="E818" s="429">
        <v>-1</v>
      </c>
      <c r="F818" s="429">
        <f t="shared" si="124"/>
        <v>3745</v>
      </c>
      <c r="G818" s="427"/>
      <c r="H818" s="443"/>
      <c r="I818" s="428"/>
      <c r="J818" s="429"/>
      <c r="K818" s="429"/>
      <c r="L818" s="427"/>
      <c r="M818" s="429"/>
    </row>
    <row r="819" spans="1:13" x14ac:dyDescent="0.25">
      <c r="A819" s="427"/>
      <c r="B819" s="473">
        <v>42733</v>
      </c>
      <c r="C819" s="427">
        <v>1000</v>
      </c>
      <c r="D819" s="428">
        <v>17.64</v>
      </c>
      <c r="E819" s="429">
        <v>-1.5</v>
      </c>
      <c r="F819" s="429">
        <f t="shared" si="124"/>
        <v>17638.5</v>
      </c>
      <c r="G819" s="427"/>
      <c r="H819" s="443"/>
      <c r="I819" s="428"/>
      <c r="J819" s="429"/>
      <c r="K819" s="429"/>
      <c r="L819" s="427"/>
      <c r="M819" s="429"/>
    </row>
    <row r="820" spans="1:13" x14ac:dyDescent="0.25">
      <c r="A820" s="427"/>
      <c r="B820" s="473">
        <v>42734</v>
      </c>
      <c r="C820" s="427">
        <v>1000</v>
      </c>
      <c r="D820" s="428">
        <v>17.329999999999998</v>
      </c>
      <c r="E820" s="429">
        <v>0</v>
      </c>
      <c r="F820" s="429">
        <f t="shared" si="124"/>
        <v>17330</v>
      </c>
      <c r="G820" s="427"/>
      <c r="H820" s="443"/>
      <c r="I820" s="428"/>
      <c r="J820" s="429"/>
      <c r="K820" s="429"/>
      <c r="L820" s="427"/>
      <c r="M820" s="429"/>
    </row>
    <row r="821" spans="1:13" x14ac:dyDescent="0.25">
      <c r="A821" s="427"/>
      <c r="B821" s="473">
        <v>42741</v>
      </c>
      <c r="C821" s="427">
        <v>500</v>
      </c>
      <c r="D821" s="428">
        <v>17.88</v>
      </c>
      <c r="E821" s="429">
        <v>0</v>
      </c>
      <c r="F821" s="429">
        <f t="shared" si="124"/>
        <v>8940</v>
      </c>
      <c r="G821" s="427"/>
      <c r="H821" s="443"/>
      <c r="I821" s="428"/>
      <c r="J821" s="429"/>
      <c r="K821" s="429"/>
      <c r="L821" s="427"/>
      <c r="M821" s="429"/>
    </row>
    <row r="822" spans="1:13" x14ac:dyDescent="0.25">
      <c r="A822" s="427"/>
      <c r="B822" s="473">
        <v>42748</v>
      </c>
      <c r="C822" s="427">
        <v>500</v>
      </c>
      <c r="D822" s="428">
        <v>17.260000000000002</v>
      </c>
      <c r="E822" s="429">
        <v>0</v>
      </c>
      <c r="F822" s="429">
        <f t="shared" si="124"/>
        <v>8630</v>
      </c>
      <c r="G822" s="427"/>
      <c r="H822" s="443"/>
      <c r="I822" s="428"/>
      <c r="J822" s="429"/>
      <c r="K822" s="429"/>
      <c r="L822" s="427"/>
      <c r="M822" s="429"/>
    </row>
    <row r="823" spans="1:13" x14ac:dyDescent="0.25">
      <c r="A823" s="427"/>
      <c r="B823" s="473"/>
      <c r="C823" s="427"/>
      <c r="D823" s="428"/>
      <c r="E823" s="429"/>
      <c r="F823" s="429"/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/>
      <c r="C824" s="427"/>
      <c r="D824" s="428"/>
      <c r="E824" s="429"/>
      <c r="F824" s="429"/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525"/>
      <c r="B825" s="473"/>
      <c r="C825" s="427"/>
      <c r="D825" s="428"/>
      <c r="E825" s="429"/>
      <c r="F825" s="429"/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525"/>
      <c r="B826" s="473"/>
      <c r="C826" s="427"/>
      <c r="D826" s="428"/>
      <c r="E826" s="429"/>
      <c r="F826" s="429"/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525"/>
      <c r="B827" s="473"/>
      <c r="C827" s="427"/>
      <c r="D827" s="428"/>
      <c r="E827" s="429"/>
      <c r="F827" s="429"/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525"/>
      <c r="B828" s="473"/>
      <c r="C828" s="427"/>
      <c r="D828" s="428"/>
      <c r="E828" s="429"/>
      <c r="F828" s="429"/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/>
      <c r="C829" s="427"/>
      <c r="D829" s="428"/>
      <c r="E829" s="429"/>
      <c r="F829" s="429"/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/>
      <c r="C830" s="427"/>
      <c r="D830" s="428"/>
      <c r="E830" s="429"/>
      <c r="F830" s="429"/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427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427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45" t="s">
        <v>81</v>
      </c>
      <c r="B846" s="530"/>
      <c r="C846" s="468">
        <f>SUM(C585:C845)</f>
        <v>133812</v>
      </c>
      <c r="D846" s="447"/>
      <c r="E846" s="447"/>
      <c r="F846" s="447">
        <f>SUM(F585:F845)</f>
        <v>1899450.8389999999</v>
      </c>
      <c r="G846" s="446"/>
      <c r="H846" s="468">
        <f>SUM(H585:H845)</f>
        <v>133812</v>
      </c>
      <c r="I846" s="531"/>
      <c r="J846" s="447"/>
      <c r="K846" s="447">
        <f>SUM(K585:K845)</f>
        <v>1911314.2100000016</v>
      </c>
      <c r="L846" s="446"/>
      <c r="M846" s="447">
        <f>SUM(M585:M595)</f>
        <v>2752.2000000000003</v>
      </c>
    </row>
    <row r="847" spans="1:13" ht="15.75" thickBot="1" x14ac:dyDescent="0.3">
      <c r="A847" s="448" t="s">
        <v>191</v>
      </c>
      <c r="B847" s="532"/>
      <c r="C847" s="450">
        <f>SumByColor($A$113, C585:C845)</f>
        <v>0</v>
      </c>
      <c r="D847" s="450"/>
      <c r="E847" s="450"/>
      <c r="F847" s="451">
        <f>SumByColor($A$113, F585:F845)</f>
        <v>0</v>
      </c>
      <c r="G847" s="450"/>
      <c r="H847" s="450">
        <f>SumByColor($A$113, H585:H845)</f>
        <v>0</v>
      </c>
      <c r="I847" s="450"/>
      <c r="J847" s="451"/>
      <c r="K847" s="451">
        <f>SumByColor($A$113, K585:K845)</f>
        <v>0</v>
      </c>
      <c r="L847" s="450"/>
      <c r="M847" s="451">
        <f>SumByColor($A$113, M585:M845)</f>
        <v>0</v>
      </c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</sheetData>
  <mergeCells count="5">
    <mergeCell ref="O23:P23"/>
    <mergeCell ref="A80:A82"/>
    <mergeCell ref="A87:A90"/>
    <mergeCell ref="A96:A99"/>
    <mergeCell ref="A100:A104"/>
  </mergeCells>
  <conditionalFormatting sqref="F331:F349 H331:H349 H484 F484 H555:H579 F555:F579 F135:F224 H135:H224 H277:H281 F277:F281 K117:K287 F291:F294 H291:H294 K292:K294 K320:K321 F320:F321 H320:H321 H304:H306 F304:F306 K304:K306">
    <cfRule type="expression" dxfId="2332" priority="199">
      <formula>F117&gt;0</formula>
    </cfRule>
    <cfRule type="expression" dxfId="2331" priority="200">
      <formula>F117&lt;0</formula>
    </cfRule>
  </conditionalFormatting>
  <conditionalFormatting sqref="O24:O61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9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94">
      <iconSet iconSet="3Arrows">
        <cfvo type="percent" val="0"/>
        <cfvo type="num" val="0"/>
        <cfvo type="num" val="0"/>
      </iconSet>
    </cfRule>
  </conditionalFormatting>
  <conditionalFormatting sqref="F324:F330">
    <cfRule type="expression" dxfId="2330" priority="192">
      <formula>F324&gt;0</formula>
    </cfRule>
    <cfRule type="expression" dxfId="2329" priority="193">
      <formula>F324&lt;0</formula>
    </cfRule>
  </conditionalFormatting>
  <conditionalFormatting sqref="H324:H330">
    <cfRule type="expression" dxfId="2328" priority="188">
      <formula>H324&gt;0</formula>
    </cfRule>
    <cfRule type="expression" dxfId="2327" priority="189">
      <formula>H324&lt;0</formula>
    </cfRule>
  </conditionalFormatting>
  <conditionalFormatting sqref="Q8">
    <cfRule type="expression" dxfId="2326" priority="174">
      <formula>Q8&gt;0</formula>
    </cfRule>
    <cfRule type="expression" dxfId="2325" priority="175">
      <formula>Q8&lt;0</formula>
    </cfRule>
  </conditionalFormatting>
  <conditionalFormatting sqref="Q7">
    <cfRule type="expression" dxfId="2324" priority="176">
      <formula>Q7&gt;0</formula>
    </cfRule>
    <cfRule type="expression" dxfId="2323" priority="177">
      <formula>Q7&lt;0</formula>
    </cfRule>
  </conditionalFormatting>
  <conditionalFormatting sqref="F432:F438">
    <cfRule type="expression" dxfId="2322" priority="148">
      <formula>F432&gt;0</formula>
    </cfRule>
    <cfRule type="expression" dxfId="2321" priority="149">
      <formula>F432&lt;0</formula>
    </cfRule>
  </conditionalFormatting>
  <conditionalFormatting sqref="F357:F375 H357:H375">
    <cfRule type="expression" dxfId="2320" priority="170">
      <formula>F357&gt;0</formula>
    </cfRule>
    <cfRule type="expression" dxfId="2319" priority="171">
      <formula>F357&lt;0</formula>
    </cfRule>
  </conditionalFormatting>
  <conditionalFormatting sqref="F350:F356">
    <cfRule type="expression" dxfId="2318" priority="168">
      <formula>F350&gt;0</formula>
    </cfRule>
    <cfRule type="expression" dxfId="2317" priority="169">
      <formula>F350&lt;0</formula>
    </cfRule>
  </conditionalFormatting>
  <conditionalFormatting sqref="H350:H356">
    <cfRule type="expression" dxfId="2316" priority="166">
      <formula>H350&gt;0</formula>
    </cfRule>
    <cfRule type="expression" dxfId="2315" priority="167">
      <formula>H350&lt;0</formula>
    </cfRule>
  </conditionalFormatting>
  <conditionalFormatting sqref="F383:F401 H383:H401">
    <cfRule type="expression" dxfId="2314" priority="164">
      <formula>F383&gt;0</formula>
    </cfRule>
    <cfRule type="expression" dxfId="2313" priority="165">
      <formula>F383&lt;0</formula>
    </cfRule>
  </conditionalFormatting>
  <conditionalFormatting sqref="F376:F382">
    <cfRule type="expression" dxfId="2312" priority="162">
      <formula>F376&gt;0</formula>
    </cfRule>
    <cfRule type="expression" dxfId="2311" priority="163">
      <formula>F376&lt;0</formula>
    </cfRule>
  </conditionalFormatting>
  <conditionalFormatting sqref="H376:H382">
    <cfRule type="expression" dxfId="2310" priority="160">
      <formula>H376&gt;0</formula>
    </cfRule>
    <cfRule type="expression" dxfId="2309" priority="161">
      <formula>H376&lt;0</formula>
    </cfRule>
  </conditionalFormatting>
  <conditionalFormatting sqref="F409:F426 H409:H426">
    <cfRule type="expression" dxfId="2308" priority="158">
      <formula>F409&gt;0</formula>
    </cfRule>
    <cfRule type="expression" dxfId="2307" priority="159">
      <formula>F409&lt;0</formula>
    </cfRule>
  </conditionalFormatting>
  <conditionalFormatting sqref="F402:F408">
    <cfRule type="expression" dxfId="2306" priority="156">
      <formula>F402&gt;0</formula>
    </cfRule>
    <cfRule type="expression" dxfId="2305" priority="157">
      <formula>F402&lt;0</formula>
    </cfRule>
  </conditionalFormatting>
  <conditionalFormatting sqref="H402:H408">
    <cfRule type="expression" dxfId="2304" priority="154">
      <formula>H402&gt;0</formula>
    </cfRule>
    <cfRule type="expression" dxfId="2303" priority="155">
      <formula>H402&lt;0</formula>
    </cfRule>
  </conditionalFormatting>
  <conditionalFormatting sqref="F427:F431 H427:H431">
    <cfRule type="expression" dxfId="2302" priority="152">
      <formula>F427&gt;0</formula>
    </cfRule>
    <cfRule type="expression" dxfId="2301" priority="153">
      <formula>F427&lt;0</formula>
    </cfRule>
  </conditionalFormatting>
  <conditionalFormatting sqref="F439:F454 H439:H454">
    <cfRule type="expression" dxfId="2300" priority="150">
      <formula>F439&gt;0</formula>
    </cfRule>
    <cfRule type="expression" dxfId="2299" priority="151">
      <formula>F439&lt;0</formula>
    </cfRule>
  </conditionalFormatting>
  <conditionalFormatting sqref="H432:H438">
    <cfRule type="expression" dxfId="2298" priority="146">
      <formula>H432&gt;0</formula>
    </cfRule>
    <cfRule type="expression" dxfId="2297" priority="147">
      <formula>H432&lt;0</formula>
    </cfRule>
  </conditionalFormatting>
  <conditionalFormatting sqref="F455 H455">
    <cfRule type="expression" dxfId="2296" priority="144">
      <formula>F455&gt;0</formula>
    </cfRule>
    <cfRule type="expression" dxfId="2295" priority="145">
      <formula>F455&lt;0</formula>
    </cfRule>
  </conditionalFormatting>
  <conditionalFormatting sqref="F456:F460 H456:H460">
    <cfRule type="expression" dxfId="2294" priority="142">
      <formula>F456&gt;0</formula>
    </cfRule>
    <cfRule type="expression" dxfId="2293" priority="143">
      <formula>F456&lt;0</formula>
    </cfRule>
  </conditionalFormatting>
  <conditionalFormatting sqref="F468:F483 H468:H483">
    <cfRule type="expression" dxfId="2292" priority="140">
      <formula>F468&gt;0</formula>
    </cfRule>
    <cfRule type="expression" dxfId="2291" priority="141">
      <formula>F468&lt;0</formula>
    </cfRule>
  </conditionalFormatting>
  <conditionalFormatting sqref="F461:F467">
    <cfRule type="expression" dxfId="2290" priority="138">
      <formula>F461&gt;0</formula>
    </cfRule>
    <cfRule type="expression" dxfId="2289" priority="139">
      <formula>F461&lt;0</formula>
    </cfRule>
  </conditionalFormatting>
  <conditionalFormatting sqref="H461:H467">
    <cfRule type="expression" dxfId="2288" priority="136">
      <formula>H461&gt;0</formula>
    </cfRule>
    <cfRule type="expression" dxfId="2287" priority="137">
      <formula>H461&lt;0</formula>
    </cfRule>
  </conditionalFormatting>
  <conditionalFormatting sqref="F485:F490 H485:H490">
    <cfRule type="expression" dxfId="2286" priority="134">
      <formula>F485&gt;0</formula>
    </cfRule>
    <cfRule type="expression" dxfId="2285" priority="135">
      <formula>F485&lt;0</formula>
    </cfRule>
  </conditionalFormatting>
  <conditionalFormatting sqref="F491 H491">
    <cfRule type="expression" dxfId="2284" priority="132">
      <formula>F491&gt;0</formula>
    </cfRule>
    <cfRule type="expression" dxfId="2283" priority="133">
      <formula>F491&lt;0</formula>
    </cfRule>
  </conditionalFormatting>
  <conditionalFormatting sqref="F492:F496 H492:H496">
    <cfRule type="expression" dxfId="2282" priority="130">
      <formula>F492&gt;0</formula>
    </cfRule>
    <cfRule type="expression" dxfId="2281" priority="131">
      <formula>F492&lt;0</formula>
    </cfRule>
  </conditionalFormatting>
  <conditionalFormatting sqref="F504:F519 H504:H519">
    <cfRule type="expression" dxfId="2280" priority="128">
      <formula>F504&gt;0</formula>
    </cfRule>
    <cfRule type="expression" dxfId="2279" priority="129">
      <formula>F504&lt;0</formula>
    </cfRule>
  </conditionalFormatting>
  <conditionalFormatting sqref="F497:F503">
    <cfRule type="expression" dxfId="2278" priority="126">
      <formula>F497&gt;0</formula>
    </cfRule>
    <cfRule type="expression" dxfId="2277" priority="127">
      <formula>F497&lt;0</formula>
    </cfRule>
  </conditionalFormatting>
  <conditionalFormatting sqref="H497:H503">
    <cfRule type="expression" dxfId="2276" priority="124">
      <formula>H497&gt;0</formula>
    </cfRule>
    <cfRule type="expression" dxfId="2275" priority="125">
      <formula>H497&lt;0</formula>
    </cfRule>
  </conditionalFormatting>
  <conditionalFormatting sqref="F520:F525 H520:H525">
    <cfRule type="expression" dxfId="2274" priority="122">
      <formula>F520&gt;0</formula>
    </cfRule>
    <cfRule type="expression" dxfId="2273" priority="123">
      <formula>F520&lt;0</formula>
    </cfRule>
  </conditionalFormatting>
  <conditionalFormatting sqref="F526 H526">
    <cfRule type="expression" dxfId="2272" priority="120">
      <formula>F526&gt;0</formula>
    </cfRule>
    <cfRule type="expression" dxfId="2271" priority="121">
      <formula>F526&lt;0</formula>
    </cfRule>
  </conditionalFormatting>
  <conditionalFormatting sqref="F527:F531 H527:H531">
    <cfRule type="expression" dxfId="2270" priority="118">
      <formula>F527&gt;0</formula>
    </cfRule>
    <cfRule type="expression" dxfId="2269" priority="119">
      <formula>F527&lt;0</formula>
    </cfRule>
  </conditionalFormatting>
  <conditionalFormatting sqref="F539:F554 H539:H554">
    <cfRule type="expression" dxfId="2268" priority="116">
      <formula>F539&gt;0</formula>
    </cfRule>
    <cfRule type="expression" dxfId="2267" priority="117">
      <formula>F539&lt;0</formula>
    </cfRule>
  </conditionalFormatting>
  <conditionalFormatting sqref="F532:F538">
    <cfRule type="expression" dxfId="2266" priority="114">
      <formula>F532&gt;0</formula>
    </cfRule>
    <cfRule type="expression" dxfId="2265" priority="115">
      <formula>F532&lt;0</formula>
    </cfRule>
  </conditionalFormatting>
  <conditionalFormatting sqref="H532:H538">
    <cfRule type="expression" dxfId="2264" priority="112">
      <formula>H532&gt;0</formula>
    </cfRule>
    <cfRule type="expression" dxfId="2263" priority="113">
      <formula>H532&lt;0</formula>
    </cfRule>
  </conditionalFormatting>
  <conditionalFormatting sqref="M583">
    <cfRule type="expression" dxfId="2262" priority="110">
      <formula>M583&gt;0</formula>
    </cfRule>
    <cfRule type="expression" dxfId="2261" priority="111">
      <formula>M583&lt;0</formula>
    </cfRule>
  </conditionalFormatting>
  <conditionalFormatting sqref="F123:F134">
    <cfRule type="expression" dxfId="2260" priority="106">
      <formula>F123&gt;0</formula>
    </cfRule>
    <cfRule type="expression" dxfId="2259" priority="107">
      <formula>F123&lt;0</formula>
    </cfRule>
  </conditionalFormatting>
  <conditionalFormatting sqref="H123:H134">
    <cfRule type="expression" dxfId="2258" priority="104">
      <formula>H123&gt;0</formula>
    </cfRule>
    <cfRule type="expression" dxfId="2257" priority="105">
      <formula>H123&lt;0</formula>
    </cfRule>
  </conditionalFormatting>
  <conditionalFormatting sqref="F117:F122 H117:H122">
    <cfRule type="expression" dxfId="2256" priority="102">
      <formula>F117&gt;0</formula>
    </cfRule>
    <cfRule type="expression" dxfId="2255" priority="103">
      <formula>F117&lt;0</formula>
    </cfRule>
  </conditionalFormatting>
  <conditionalFormatting sqref="J119">
    <cfRule type="expression" dxfId="2254" priority="100">
      <formula>J119&gt;0</formula>
    </cfRule>
    <cfRule type="expression" dxfId="2253" priority="101">
      <formula>J119&lt;0</formula>
    </cfRule>
  </conditionalFormatting>
  <conditionalFormatting sqref="J120:J126">
    <cfRule type="expression" dxfId="2252" priority="98">
      <formula>J120&gt;0</formula>
    </cfRule>
    <cfRule type="expression" dxfId="2251" priority="99">
      <formula>J120&lt;0</formula>
    </cfRule>
  </conditionalFormatting>
  <conditionalFormatting sqref="L119:L201 L208 L210">
    <cfRule type="expression" dxfId="2250" priority="94">
      <formula>L119&gt;0</formula>
    </cfRule>
    <cfRule type="expression" dxfId="2249" priority="95">
      <formula>L119&lt;0</formula>
    </cfRule>
  </conditionalFormatting>
  <conditionalFormatting sqref="Q10">
    <cfRule type="expression" dxfId="2248" priority="92">
      <formula>Q10&gt;0</formula>
    </cfRule>
    <cfRule type="expression" dxfId="2247" priority="93">
      <formula>Q10&lt;0</formula>
    </cfRule>
  </conditionalFormatting>
  <conditionalFormatting sqref="H230:H232 F230:F232">
    <cfRule type="expression" dxfId="2246" priority="89">
      <formula>F230&gt;0</formula>
    </cfRule>
    <cfRule type="expression" dxfId="2245" priority="90">
      <formula>F230&lt;0</formula>
    </cfRule>
  </conditionalFormatting>
  <conditionalFormatting sqref="H226:H228 F226:F228">
    <cfRule type="expression" dxfId="2244" priority="87">
      <formula>F226&gt;0</formula>
    </cfRule>
    <cfRule type="expression" dxfId="2243" priority="88">
      <formula>F226&lt;0</formula>
    </cfRule>
  </conditionalFormatting>
  <conditionalFormatting sqref="H225 F225">
    <cfRule type="expression" dxfId="2242" priority="85">
      <formula>F225&gt;0</formula>
    </cfRule>
    <cfRule type="expression" dxfId="2241" priority="86">
      <formula>F225&lt;0</formula>
    </cfRule>
  </conditionalFormatting>
  <conditionalFormatting sqref="H229 F229">
    <cfRule type="expression" dxfId="2240" priority="83">
      <formula>F229&gt;0</formula>
    </cfRule>
    <cfRule type="expression" dxfId="2239" priority="84">
      <formula>F229&lt;0</formula>
    </cfRule>
  </conditionalFormatting>
  <conditionalFormatting sqref="H235:H238 F235:F238">
    <cfRule type="expression" dxfId="2238" priority="79">
      <formula>F235&gt;0</formula>
    </cfRule>
    <cfRule type="expression" dxfId="2237" priority="80">
      <formula>F235&lt;0</formula>
    </cfRule>
  </conditionalFormatting>
  <conditionalFormatting sqref="H233:H234 F233:F234">
    <cfRule type="expression" dxfId="2236" priority="77">
      <formula>F233&gt;0</formula>
    </cfRule>
    <cfRule type="expression" dxfId="2235" priority="78">
      <formula>F233&lt;0</formula>
    </cfRule>
  </conditionalFormatting>
  <conditionalFormatting sqref="H260 F260">
    <cfRule type="expression" dxfId="2234" priority="75">
      <formula>F260&gt;0</formula>
    </cfRule>
    <cfRule type="expression" dxfId="2233" priority="76">
      <formula>F260&lt;0</formula>
    </cfRule>
  </conditionalFormatting>
  <conditionalFormatting sqref="H241:H243 F241:F243">
    <cfRule type="expression" dxfId="2232" priority="73">
      <formula>F241&gt;0</formula>
    </cfRule>
    <cfRule type="expression" dxfId="2231" priority="74">
      <formula>F241&lt;0</formula>
    </cfRule>
  </conditionalFormatting>
  <conditionalFormatting sqref="H239:H240 F239:F240">
    <cfRule type="expression" dxfId="2230" priority="71">
      <formula>F239&gt;0</formula>
    </cfRule>
    <cfRule type="expression" dxfId="2229" priority="72">
      <formula>F239&lt;0</formula>
    </cfRule>
  </conditionalFormatting>
  <conditionalFormatting sqref="H253:H255 F253:F255">
    <cfRule type="expression" dxfId="2228" priority="69">
      <formula>F253&gt;0</formula>
    </cfRule>
    <cfRule type="expression" dxfId="2227" priority="70">
      <formula>F253&lt;0</formula>
    </cfRule>
  </conditionalFormatting>
  <conditionalFormatting sqref="H252 F252">
    <cfRule type="expression" dxfId="2226" priority="67">
      <formula>F252&gt;0</formula>
    </cfRule>
    <cfRule type="expression" dxfId="2225" priority="68">
      <formula>F252&lt;0</formula>
    </cfRule>
  </conditionalFormatting>
  <conditionalFormatting sqref="H249:H251 F249:F251">
    <cfRule type="expression" dxfId="2224" priority="65">
      <formula>F249&gt;0</formula>
    </cfRule>
    <cfRule type="expression" dxfId="2223" priority="66">
      <formula>F249&lt;0</formula>
    </cfRule>
  </conditionalFormatting>
  <conditionalFormatting sqref="H248 F248">
    <cfRule type="expression" dxfId="2222" priority="63">
      <formula>F248&gt;0</formula>
    </cfRule>
    <cfRule type="expression" dxfId="2221" priority="64">
      <formula>F248&lt;0</formula>
    </cfRule>
  </conditionalFormatting>
  <conditionalFormatting sqref="H245:H247 F245:F247">
    <cfRule type="expression" dxfId="2220" priority="61">
      <formula>F245&gt;0</formula>
    </cfRule>
    <cfRule type="expression" dxfId="2219" priority="62">
      <formula>F245&lt;0</formula>
    </cfRule>
  </conditionalFormatting>
  <conditionalFormatting sqref="H244 F244">
    <cfRule type="expression" dxfId="2218" priority="59">
      <formula>F244&gt;0</formula>
    </cfRule>
    <cfRule type="expression" dxfId="2217" priority="60">
      <formula>F244&lt;0</formula>
    </cfRule>
  </conditionalFormatting>
  <conditionalFormatting sqref="H257:H259 F257:F259">
    <cfRule type="expression" dxfId="2216" priority="57">
      <formula>F257&gt;0</formula>
    </cfRule>
    <cfRule type="expression" dxfId="2215" priority="58">
      <formula>F257&lt;0</formula>
    </cfRule>
  </conditionalFormatting>
  <conditionalFormatting sqref="H256 F256">
    <cfRule type="expression" dxfId="2214" priority="55">
      <formula>F256&gt;0</formula>
    </cfRule>
    <cfRule type="expression" dxfId="2213" priority="56">
      <formula>F256&lt;0</formula>
    </cfRule>
  </conditionalFormatting>
  <conditionalFormatting sqref="H264 F264">
    <cfRule type="expression" dxfId="2212" priority="51">
      <formula>F264&gt;0</formula>
    </cfRule>
    <cfRule type="expression" dxfId="2211" priority="52">
      <formula>F264&lt;0</formula>
    </cfRule>
  </conditionalFormatting>
  <conditionalFormatting sqref="H261:H263 F261:F263">
    <cfRule type="expression" dxfId="2210" priority="49">
      <formula>F261&gt;0</formula>
    </cfRule>
    <cfRule type="expression" dxfId="2209" priority="50">
      <formula>F261&lt;0</formula>
    </cfRule>
  </conditionalFormatting>
  <conditionalFormatting sqref="H275:H276 F275:F276">
    <cfRule type="expression" dxfId="2208" priority="47">
      <formula>F275&gt;0</formula>
    </cfRule>
    <cfRule type="expression" dxfId="2207" priority="48">
      <formula>F275&lt;0</formula>
    </cfRule>
  </conditionalFormatting>
  <conditionalFormatting sqref="H271:H274 F271:F274">
    <cfRule type="expression" dxfId="2206" priority="43">
      <formula>F271&gt;0</formula>
    </cfRule>
    <cfRule type="expression" dxfId="2205" priority="44">
      <formula>F271&lt;0</formula>
    </cfRule>
  </conditionalFormatting>
  <conditionalFormatting sqref="H269:H270 F269:F270">
    <cfRule type="expression" dxfId="2204" priority="41">
      <formula>F269&gt;0</formula>
    </cfRule>
    <cfRule type="expression" dxfId="2203" priority="42">
      <formula>F269&lt;0</formula>
    </cfRule>
  </conditionalFormatting>
  <conditionalFormatting sqref="H265:H268 F265:F268">
    <cfRule type="expression" dxfId="2202" priority="37">
      <formula>F265&gt;0</formula>
    </cfRule>
    <cfRule type="expression" dxfId="2201" priority="38">
      <formula>F265&lt;0</formula>
    </cfRule>
  </conditionalFormatting>
  <conditionalFormatting sqref="F284:F287 H284:H287">
    <cfRule type="expression" dxfId="2200" priority="35">
      <formula>F284&gt;0</formula>
    </cfRule>
    <cfRule type="expression" dxfId="2199" priority="36">
      <formula>F284&lt;0</formula>
    </cfRule>
  </conditionalFormatting>
  <conditionalFormatting sqref="F282:F283 H282:H283">
    <cfRule type="expression" dxfId="2198" priority="33">
      <formula>F282&gt;0</formula>
    </cfRule>
    <cfRule type="expression" dxfId="2197" priority="34">
      <formula>F282&lt;0</formula>
    </cfRule>
  </conditionalFormatting>
  <conditionalFormatting sqref="F288:F290 H288:H290 K288:K291">
    <cfRule type="expression" dxfId="2196" priority="27">
      <formula>F288&gt;0</formula>
    </cfRule>
    <cfRule type="expression" dxfId="2195" priority="28">
      <formula>F288&lt;0</formula>
    </cfRule>
  </conditionalFormatting>
  <conditionalFormatting sqref="H295:H297 F295:F297 K295:K298">
    <cfRule type="expression" dxfId="2194" priority="23">
      <formula>F295&gt;0</formula>
    </cfRule>
    <cfRule type="expression" dxfId="2193" priority="24">
      <formula>F295&lt;0</formula>
    </cfRule>
  </conditionalFormatting>
  <conditionalFormatting sqref="H298:H301 F298:F301 K299:K301">
    <cfRule type="expression" dxfId="2192" priority="21">
      <formula>F298&gt;0</formula>
    </cfRule>
    <cfRule type="expression" dxfId="2191" priority="22">
      <formula>F298&lt;0</formula>
    </cfRule>
  </conditionalFormatting>
  <conditionalFormatting sqref="H302:H303 F302:F303 K302:K303">
    <cfRule type="expression" dxfId="2190" priority="19">
      <formula>F302&gt;0</formula>
    </cfRule>
    <cfRule type="expression" dxfId="2189" priority="20">
      <formula>F302&lt;0</formula>
    </cfRule>
  </conditionalFormatting>
  <conditionalFormatting sqref="K319 F319 H319">
    <cfRule type="expression" dxfId="2188" priority="17">
      <formula>F319&gt;0</formula>
    </cfRule>
    <cfRule type="expression" dxfId="2187" priority="18">
      <formula>F319&lt;0</formula>
    </cfRule>
  </conditionalFormatting>
  <conditionalFormatting sqref="K307:K309 F307:F309 H307:H309">
    <cfRule type="expression" dxfId="2186" priority="15">
      <formula>F307&gt;0</formula>
    </cfRule>
    <cfRule type="expression" dxfId="2185" priority="16">
      <formula>F307&lt;0</formula>
    </cfRule>
  </conditionalFormatting>
  <conditionalFormatting sqref="F311:F313 H311:H313 K311:K313">
    <cfRule type="expression" dxfId="2184" priority="11">
      <formula>F311&gt;0</formula>
    </cfRule>
    <cfRule type="expression" dxfId="2183" priority="12">
      <formula>F311&lt;0</formula>
    </cfRule>
  </conditionalFormatting>
  <conditionalFormatting sqref="K310 F310 H310">
    <cfRule type="expression" dxfId="2182" priority="9">
      <formula>F310&gt;0</formula>
    </cfRule>
    <cfRule type="expression" dxfId="2181" priority="10">
      <formula>F310&lt;0</formula>
    </cfRule>
  </conditionalFormatting>
  <conditionalFormatting sqref="K314:K315 F314:F315 H314:H315">
    <cfRule type="expression" dxfId="2180" priority="7">
      <formula>F314&gt;0</formula>
    </cfRule>
    <cfRule type="expression" dxfId="2179" priority="8">
      <formula>F314&lt;0</formula>
    </cfRule>
  </conditionalFormatting>
  <conditionalFormatting sqref="K316:K318 F316:F318 H316:H318">
    <cfRule type="expression" dxfId="2178" priority="1">
      <formula>F316&gt;0</formula>
    </cfRule>
    <cfRule type="expression" dxfId="2177" priority="2">
      <formula>F316&lt;0</formula>
    </cfRule>
  </conditionalFormatting>
  <hyperlinks>
    <hyperlink ref="A3" location="ACTIVE!A1" display="Back"/>
    <hyperlink ref="A58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334</v>
      </c>
      <c r="AJ2">
        <f>$Q$2*$Q$4</f>
        <v>6055.92</v>
      </c>
      <c r="AK2">
        <f ca="1">AJ2*EXP(-$X$2 * AI2/365.25)</f>
        <v>6055.92</v>
      </c>
      <c r="AM2" s="2">
        <f>Q10</f>
        <v>0</v>
      </c>
      <c r="AO2">
        <f ca="1" xml:space="preserve"> (SUM(AB:AB) - SUM(AE:AE) - SUM(AH:AH) - SUM(AK:AK))/SUM(AB:AB)</f>
        <v>8.2495698227893488E-2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7.5698999999999996</v>
      </c>
      <c r="R4" s="425">
        <v>-3.0700000000000002E-2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6055.92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-1845.8000000000029</v>
      </c>
      <c r="R7">
        <v>200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-1845.8000000000029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-0.2335947110249417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2.1136342620113872E-2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0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7.9683157894736842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1035</v>
      </c>
      <c r="Q14" s="777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SUM(C2:C13)</f>
        <v>1850</v>
      </c>
      <c r="D18" s="18"/>
      <c r="E18" s="18"/>
      <c r="F18" s="18">
        <f>SUM(F2:F13)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8.3268900000000006</v>
      </c>
      <c r="W21" s="134"/>
    </row>
    <row r="22" spans="1:34" x14ac:dyDescent="0.25">
      <c r="O22" s="81">
        <v>1.0900000000000001</v>
      </c>
      <c r="P22" s="81">
        <f t="shared" ref="P22:P41" si="11">O22*$Q$4</f>
        <v>8.2511910000000004</v>
      </c>
      <c r="W22" s="134"/>
    </row>
    <row r="23" spans="1:34" x14ac:dyDescent="0.25">
      <c r="O23" s="81">
        <v>1.08</v>
      </c>
      <c r="P23" s="81">
        <f t="shared" si="11"/>
        <v>8.1754920000000002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8.099793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8.0240939999999998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7.9483949999999997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7.8726959999999995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7.7969970000000002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7.721298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7.6455989999999998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7.5698999999999996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7.4942009999999994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7.4185019999999993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7.3428029999999991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7.2671039999999998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7.1914049999999996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7.1157059999999994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7.0400070000000001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6.9643079999999999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6.8886089999999998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6.8129099999999996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176" priority="23">
      <formula>Q7&gt;0</formula>
    </cfRule>
    <cfRule type="expression" dxfId="2175" priority="24">
      <formula>Q7&lt;0</formula>
    </cfRule>
  </conditionalFormatting>
  <conditionalFormatting sqref="Q8">
    <cfRule type="expression" dxfId="2174" priority="21">
      <formula>Q8&gt;0</formula>
    </cfRule>
    <cfRule type="expression" dxfId="2173" priority="22">
      <formula>Q8&lt;0</formula>
    </cfRule>
  </conditionalFormatting>
  <conditionalFormatting sqref="F25:F30 F34:F63">
    <cfRule type="expression" dxfId="2172" priority="19">
      <formula>F25&gt;0</formula>
    </cfRule>
    <cfRule type="expression" dxfId="2171" priority="20">
      <formula>F25&lt;0</formula>
    </cfRule>
  </conditionalFormatting>
  <conditionalFormatting sqref="H25:H30 H34:H63">
    <cfRule type="expression" dxfId="2170" priority="17">
      <formula>H25&gt;0</formula>
    </cfRule>
    <cfRule type="expression" dxfId="2169" priority="18">
      <formula>H25&lt;0</formula>
    </cfRule>
  </conditionalFormatting>
  <conditionalFormatting sqref="F89:F110">
    <cfRule type="expression" dxfId="2168" priority="15">
      <formula>F89&gt;0</formula>
    </cfRule>
    <cfRule type="expression" dxfId="2167" priority="16">
      <formula>F89&lt;0</formula>
    </cfRule>
  </conditionalFormatting>
  <conditionalFormatting sqref="H89:H110">
    <cfRule type="expression" dxfId="2166" priority="13">
      <formula>H89&gt;0</formula>
    </cfRule>
    <cfRule type="expression" dxfId="2165" priority="14">
      <formula>H89&lt;0</formula>
    </cfRule>
  </conditionalFormatting>
  <conditionalFormatting sqref="Q10">
    <cfRule type="expression" dxfId="2164" priority="11">
      <formula>Q10&gt;0</formula>
    </cfRule>
    <cfRule type="expression" dxfId="2163" priority="12">
      <formula>Q10&lt;0</formula>
    </cfRule>
  </conditionalFormatting>
  <conditionalFormatting sqref="J25:J38">
    <cfRule type="expression" dxfId="2162" priority="9">
      <formula>J25&gt;0</formula>
    </cfRule>
    <cfRule type="expression" dxfId="2161" priority="10">
      <formula>J25&lt;0</formula>
    </cfRule>
  </conditionalFormatting>
  <conditionalFormatting sqref="K25:K38">
    <cfRule type="expression" dxfId="2160" priority="7">
      <formula>K25&gt;0</formula>
    </cfRule>
    <cfRule type="expression" dxfId="2159" priority="8">
      <formula>K25&lt;0</formula>
    </cfRule>
  </conditionalFormatting>
  <conditionalFormatting sqref="L25:L38">
    <cfRule type="expression" dxfId="2158" priority="5">
      <formula>L25&gt;0</formula>
    </cfRule>
    <cfRule type="expression" dxfId="215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56" priority="3">
      <formula>F31&gt;0</formula>
    </cfRule>
    <cfRule type="expression" dxfId="2155" priority="4">
      <formula>F31&lt;0</formula>
    </cfRule>
  </conditionalFormatting>
  <conditionalFormatting sqref="H31:H33">
    <cfRule type="expression" dxfId="2154" priority="1">
      <formula>H31&gt;0</formula>
    </cfRule>
    <cfRule type="expression" dxfId="215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36.51</v>
      </c>
      <c r="R4" s="425">
        <v>-1.03E-2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12778.5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-2167.6800000000003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-2167.6800000000003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-0.14503237616568246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9.586414680909339E-3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17.595180722891563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40.161000000000001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39.795900000000003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39.430799999999998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39.0657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38.700600000000001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38.335499999999996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37.970399999999998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37.6053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37.240200000000002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36.875099999999996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36.51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36.1449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35.779799999999994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35.414699999999996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35.049599999999998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34.6845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34.319399999999995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33.954300000000003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33.589199999999998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33.2241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32.859000000000002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179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52" priority="35">
      <formula>F60&gt;0</formula>
    </cfRule>
    <cfRule type="expression" dxfId="2151" priority="36">
      <formula>F60&lt;0</formula>
    </cfRule>
  </conditionalFormatting>
  <conditionalFormatting sqref="Q7">
    <cfRule type="expression" dxfId="2150" priority="33">
      <formula>Q7&gt;0</formula>
    </cfRule>
    <cfRule type="expression" dxfId="2149" priority="34">
      <formula>Q7&lt;0</formula>
    </cfRule>
  </conditionalFormatting>
  <conditionalFormatting sqref="Q8">
    <cfRule type="expression" dxfId="2148" priority="31">
      <formula>Q8&gt;0</formula>
    </cfRule>
    <cfRule type="expression" dxfId="2147" priority="32">
      <formula>Q8&lt;0</formula>
    </cfRule>
  </conditionalFormatting>
  <conditionalFormatting sqref="F31:F49 F51:F59">
    <cfRule type="expression" dxfId="2146" priority="29">
      <formula>F31&gt;0</formula>
    </cfRule>
    <cfRule type="expression" dxfId="2145" priority="30">
      <formula>F31&lt;0</formula>
    </cfRule>
  </conditionalFormatting>
  <conditionalFormatting sqref="H31:H49 H51:H59">
    <cfRule type="expression" dxfId="2144" priority="27">
      <formula>H31&gt;0</formula>
    </cfRule>
    <cfRule type="expression" dxfId="2143" priority="28">
      <formula>H31&lt;0</formula>
    </cfRule>
  </conditionalFormatting>
  <conditionalFormatting sqref="Q10">
    <cfRule type="expression" dxfId="2142" priority="25">
      <formula>Q10&gt;0</formula>
    </cfRule>
    <cfRule type="expression" dxfId="2141" priority="26">
      <formula>Q10&lt;0</formula>
    </cfRule>
  </conditionalFormatting>
  <conditionalFormatting sqref="J25:J38">
    <cfRule type="expression" dxfId="2140" priority="23">
      <formula>J25&gt;0</formula>
    </cfRule>
    <cfRule type="expression" dxfId="2139" priority="24">
      <formula>J25&lt;0</formula>
    </cfRule>
  </conditionalFormatting>
  <conditionalFormatting sqref="K38">
    <cfRule type="expression" dxfId="2138" priority="21">
      <formula>K38&gt;0</formula>
    </cfRule>
    <cfRule type="expression" dxfId="2137" priority="22">
      <formula>K38&lt;0</formula>
    </cfRule>
  </conditionalFormatting>
  <conditionalFormatting sqref="L25:L38">
    <cfRule type="expression" dxfId="2136" priority="19">
      <formula>L25&gt;0</formula>
    </cfRule>
    <cfRule type="expression" dxfId="2135" priority="20">
      <formula>L25&lt;0</formula>
    </cfRule>
  </conditionalFormatting>
  <conditionalFormatting sqref="F89:F110">
    <cfRule type="expression" dxfId="2134" priority="17">
      <formula>F89&gt;0</formula>
    </cfRule>
    <cfRule type="expression" dxfId="2133" priority="18">
      <formula>F89&lt;0</formula>
    </cfRule>
  </conditionalFormatting>
  <conditionalFormatting sqref="H89:H110">
    <cfRule type="expression" dxfId="2132" priority="15">
      <formula>H89&gt;0</formula>
    </cfRule>
    <cfRule type="expression" dxfId="2131" priority="16">
      <formula>H89&lt;0</formula>
    </cfRule>
  </conditionalFormatting>
  <conditionalFormatting sqref="J89:J102">
    <cfRule type="expression" dxfId="2130" priority="13">
      <formula>J89&gt;0</formula>
    </cfRule>
    <cfRule type="expression" dxfId="2129" priority="14">
      <formula>J89&lt;0</formula>
    </cfRule>
  </conditionalFormatting>
  <conditionalFormatting sqref="K89:K102">
    <cfRule type="expression" dxfId="2128" priority="11">
      <formula>K89&gt;0</formula>
    </cfRule>
    <cfRule type="expression" dxfId="2127" priority="12">
      <formula>K89&lt;0</formula>
    </cfRule>
  </conditionalFormatting>
  <conditionalFormatting sqref="L89:L102">
    <cfRule type="expression" dxfId="2126" priority="9">
      <formula>L89&gt;0</formula>
    </cfRule>
    <cfRule type="expression" dxfId="2125" priority="10">
      <formula>L89&lt;0</formula>
    </cfRule>
  </conditionalFormatting>
  <conditionalFormatting sqref="F25:F30">
    <cfRule type="expression" dxfId="2124" priority="7">
      <formula>F25&gt;0</formula>
    </cfRule>
    <cfRule type="expression" dxfId="2123" priority="8">
      <formula>F25&lt;0</formula>
    </cfRule>
  </conditionalFormatting>
  <conditionalFormatting sqref="H25:H30">
    <cfRule type="expression" dxfId="2122" priority="5">
      <formula>H25&gt;0</formula>
    </cfRule>
    <cfRule type="expression" dxfId="2121" priority="6">
      <formula>H25&lt;0</formula>
    </cfRule>
  </conditionalFormatting>
  <conditionalFormatting sqref="F50">
    <cfRule type="expression" dxfId="2120" priority="3">
      <formula>F50&gt;0</formula>
    </cfRule>
    <cfRule type="expression" dxfId="2119" priority="4">
      <formula>F50&lt;0</formula>
    </cfRule>
  </conditionalFormatting>
  <conditionalFormatting sqref="H50">
    <cfRule type="expression" dxfId="2118" priority="1">
      <formula>H50&gt;0</formula>
    </cfRule>
    <cfRule type="expression" dxfId="2117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1310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91.099900000000005</v>
      </c>
      <c r="R4" s="425">
        <v>7.4999999999999997E-3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5465.9940000000006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-42.005999999999403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-42.005999999999403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-7.6263616557733123E-3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1.9758528823851616E-2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100.20989000000002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99.298891000000012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98.387892000000008</v>
      </c>
    </row>
    <row r="20" spans="1:16" x14ac:dyDescent="0.25">
      <c r="O20" s="81">
        <v>1.07</v>
      </c>
      <c r="P20" s="81">
        <f t="shared" si="0"/>
        <v>97.476893000000018</v>
      </c>
    </row>
    <row r="21" spans="1:16" x14ac:dyDescent="0.25">
      <c r="O21" s="81">
        <v>1.06</v>
      </c>
      <c r="P21" s="81">
        <f t="shared" si="0"/>
        <v>96.565894000000014</v>
      </c>
    </row>
    <row r="22" spans="1:16" x14ac:dyDescent="0.25">
      <c r="O22" s="81">
        <v>1.05</v>
      </c>
      <c r="P22" s="81">
        <f t="shared" si="0"/>
        <v>95.65489500000001</v>
      </c>
    </row>
    <row r="23" spans="1:16" x14ac:dyDescent="0.25">
      <c r="O23" s="81">
        <v>1.04</v>
      </c>
      <c r="P23" s="81">
        <f t="shared" si="0"/>
        <v>94.743896000000007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93.832897000000003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92.921898000000013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92.010899000000009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91.099900000000005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90.188901000000001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89.277901999999997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88.366903000000008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87.455904000000004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86.544905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85.633905999999996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84.722907000000006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83.811908000000003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82.900909000000013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81.989910000000009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6" priority="35">
      <formula>F47&gt;0</formula>
    </cfRule>
    <cfRule type="expression" dxfId="2115" priority="36">
      <formula>F47&lt;0</formula>
    </cfRule>
  </conditionalFormatting>
  <conditionalFormatting sqref="Q7">
    <cfRule type="expression" dxfId="2114" priority="33">
      <formula>Q7&gt;0</formula>
    </cfRule>
    <cfRule type="expression" dxfId="2113" priority="34">
      <formula>Q7&lt;0</formula>
    </cfRule>
  </conditionalFormatting>
  <conditionalFormatting sqref="Q8">
    <cfRule type="expression" dxfId="2112" priority="31">
      <formula>Q8&gt;0</formula>
    </cfRule>
    <cfRule type="expression" dxfId="2111" priority="32">
      <formula>Q8&lt;0</formula>
    </cfRule>
  </conditionalFormatting>
  <conditionalFormatting sqref="F30:F46">
    <cfRule type="expression" dxfId="2110" priority="29">
      <formula>F30&gt;0</formula>
    </cfRule>
    <cfRule type="expression" dxfId="2109" priority="30">
      <formula>F30&lt;0</formula>
    </cfRule>
  </conditionalFormatting>
  <conditionalFormatting sqref="H30:H46">
    <cfRule type="expression" dxfId="2108" priority="27">
      <formula>H30&gt;0</formula>
    </cfRule>
    <cfRule type="expression" dxfId="2107" priority="28">
      <formula>H30&lt;0</formula>
    </cfRule>
  </conditionalFormatting>
  <conditionalFormatting sqref="Q10">
    <cfRule type="expression" dxfId="2106" priority="25">
      <formula>Q10&gt;0</formula>
    </cfRule>
    <cfRule type="expression" dxfId="2105" priority="26">
      <formula>Q10&lt;0</formula>
    </cfRule>
  </conditionalFormatting>
  <conditionalFormatting sqref="J25:J38">
    <cfRule type="expression" dxfId="2104" priority="23">
      <formula>J25&gt;0</formula>
    </cfRule>
    <cfRule type="expression" dxfId="2103" priority="24">
      <formula>J25&lt;0</formula>
    </cfRule>
  </conditionalFormatting>
  <conditionalFormatting sqref="K25:K38">
    <cfRule type="expression" dxfId="2102" priority="21">
      <formula>K25&gt;0</formula>
    </cfRule>
    <cfRule type="expression" dxfId="2101" priority="22">
      <formula>K25&lt;0</formula>
    </cfRule>
  </conditionalFormatting>
  <conditionalFormatting sqref="L25 L38">
    <cfRule type="expression" dxfId="2100" priority="19">
      <formula>L25&gt;0</formula>
    </cfRule>
    <cfRule type="expression" dxfId="2099" priority="20">
      <formula>L25&lt;0</formula>
    </cfRule>
  </conditionalFormatting>
  <conditionalFormatting sqref="F89:F110">
    <cfRule type="expression" dxfId="2098" priority="17">
      <formula>F89&gt;0</formula>
    </cfRule>
    <cfRule type="expression" dxfId="2097" priority="18">
      <formula>F89&lt;0</formula>
    </cfRule>
  </conditionalFormatting>
  <conditionalFormatting sqref="H89:H110">
    <cfRule type="expression" dxfId="2096" priority="15">
      <formula>H89&gt;0</formula>
    </cfRule>
    <cfRule type="expression" dxfId="2095" priority="16">
      <formula>H89&lt;0</formula>
    </cfRule>
  </conditionalFormatting>
  <conditionalFormatting sqref="J89:J102">
    <cfRule type="expression" dxfId="2094" priority="13">
      <formula>J89&gt;0</formula>
    </cfRule>
    <cfRule type="expression" dxfId="2093" priority="14">
      <formula>J89&lt;0</formula>
    </cfRule>
  </conditionalFormatting>
  <conditionalFormatting sqref="K89:K102">
    <cfRule type="expression" dxfId="2092" priority="11">
      <formula>K89&gt;0</formula>
    </cfRule>
    <cfRule type="expression" dxfId="2091" priority="12">
      <formula>K89&lt;0</formula>
    </cfRule>
  </conditionalFormatting>
  <conditionalFormatting sqref="L89:L102">
    <cfRule type="expression" dxfId="2090" priority="9">
      <formula>L89&gt;0</formula>
    </cfRule>
    <cfRule type="expression" dxfId="2089" priority="10">
      <formula>L89&lt;0</formula>
    </cfRule>
  </conditionalFormatting>
  <conditionalFormatting sqref="F29 F25:F26">
    <cfRule type="expression" dxfId="2088" priority="7">
      <formula>F25&gt;0</formula>
    </cfRule>
    <cfRule type="expression" dxfId="2087" priority="8">
      <formula>F25&lt;0</formula>
    </cfRule>
  </conditionalFormatting>
  <conditionalFormatting sqref="H29 H25:H27">
    <cfRule type="expression" dxfId="2086" priority="5">
      <formula>H25&gt;0</formula>
    </cfRule>
    <cfRule type="expression" dxfId="2085" priority="6">
      <formula>H25&lt;0</formula>
    </cfRule>
  </conditionalFormatting>
  <conditionalFormatting sqref="F27:F28">
    <cfRule type="expression" dxfId="2084" priority="3">
      <formula>F27&gt;0</formula>
    </cfRule>
    <cfRule type="expression" dxfId="2083" priority="4">
      <formula>F27&lt;0</formula>
    </cfRule>
  </conditionalFormatting>
  <conditionalFormatting sqref="H28">
    <cfRule type="expression" dxfId="2082" priority="1">
      <formula>H28&gt;0</formula>
    </cfRule>
    <cfRule type="expression" dxfId="208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0" priority="35">
      <formula>F47&gt;0</formula>
    </cfRule>
    <cfRule type="expression" dxfId="2079" priority="36">
      <formula>F47&lt;0</formula>
    </cfRule>
  </conditionalFormatting>
  <conditionalFormatting sqref="Q7">
    <cfRule type="expression" dxfId="2078" priority="33">
      <formula>Q7&gt;0</formula>
    </cfRule>
    <cfRule type="expression" dxfId="2077" priority="34">
      <formula>Q7&lt;0</formula>
    </cfRule>
  </conditionalFormatting>
  <conditionalFormatting sqref="Q8">
    <cfRule type="expression" dxfId="2076" priority="31">
      <formula>Q8&gt;0</formula>
    </cfRule>
    <cfRule type="expression" dxfId="2075" priority="32">
      <formula>Q8&lt;0</formula>
    </cfRule>
  </conditionalFormatting>
  <conditionalFormatting sqref="F30:F46">
    <cfRule type="expression" dxfId="2074" priority="29">
      <formula>F30&gt;0</formula>
    </cfRule>
    <cfRule type="expression" dxfId="2073" priority="30">
      <formula>F30&lt;0</formula>
    </cfRule>
  </conditionalFormatting>
  <conditionalFormatting sqref="H30:H46">
    <cfRule type="expression" dxfId="2072" priority="27">
      <formula>H30&gt;0</formula>
    </cfRule>
    <cfRule type="expression" dxfId="2071" priority="28">
      <formula>H30&lt;0</formula>
    </cfRule>
  </conditionalFormatting>
  <conditionalFormatting sqref="Q10">
    <cfRule type="expression" dxfId="2070" priority="25">
      <formula>Q10&gt;0</formula>
    </cfRule>
    <cfRule type="expression" dxfId="2069" priority="26">
      <formula>Q10&lt;0</formula>
    </cfRule>
  </conditionalFormatting>
  <conditionalFormatting sqref="J25:J38">
    <cfRule type="expression" dxfId="2068" priority="23">
      <formula>J25&gt;0</formula>
    </cfRule>
    <cfRule type="expression" dxfId="2067" priority="24">
      <formula>J25&lt;0</formula>
    </cfRule>
  </conditionalFormatting>
  <conditionalFormatting sqref="K25:K38">
    <cfRule type="expression" dxfId="2066" priority="21">
      <formula>K25&gt;0</formula>
    </cfRule>
    <cfRule type="expression" dxfId="2065" priority="22">
      <formula>K25&lt;0</formula>
    </cfRule>
  </conditionalFormatting>
  <conditionalFormatting sqref="L25 L38">
    <cfRule type="expression" dxfId="2064" priority="19">
      <formula>L25&gt;0</formula>
    </cfRule>
    <cfRule type="expression" dxfId="2063" priority="20">
      <formula>L25&lt;0</formula>
    </cfRule>
  </conditionalFormatting>
  <conditionalFormatting sqref="F89:F110">
    <cfRule type="expression" dxfId="2062" priority="17">
      <formula>F89&gt;0</formula>
    </cfRule>
    <cfRule type="expression" dxfId="2061" priority="18">
      <formula>F89&lt;0</formula>
    </cfRule>
  </conditionalFormatting>
  <conditionalFormatting sqref="H89:H110">
    <cfRule type="expression" dxfId="2060" priority="15">
      <formula>H89&gt;0</formula>
    </cfRule>
    <cfRule type="expression" dxfId="2059" priority="16">
      <formula>H89&lt;0</formula>
    </cfRule>
  </conditionalFormatting>
  <conditionalFormatting sqref="J89:J102">
    <cfRule type="expression" dxfId="2058" priority="13">
      <formula>J89&gt;0</formula>
    </cfRule>
    <cfRule type="expression" dxfId="2057" priority="14">
      <formula>J89&lt;0</formula>
    </cfRule>
  </conditionalFormatting>
  <conditionalFormatting sqref="K89:K102">
    <cfRule type="expression" dxfId="2056" priority="11">
      <formula>K89&gt;0</formula>
    </cfRule>
    <cfRule type="expression" dxfId="2055" priority="12">
      <formula>K89&lt;0</formula>
    </cfRule>
  </conditionalFormatting>
  <conditionalFormatting sqref="L89:L102">
    <cfRule type="expression" dxfId="2054" priority="9">
      <formula>L89&gt;0</formula>
    </cfRule>
    <cfRule type="expression" dxfId="2053" priority="10">
      <formula>L89&lt;0</formula>
    </cfRule>
  </conditionalFormatting>
  <conditionalFormatting sqref="F25 F29">
    <cfRule type="expression" dxfId="2052" priority="7">
      <formula>F25&gt;0</formula>
    </cfRule>
    <cfRule type="expression" dxfId="2051" priority="8">
      <formula>F25&lt;0</formula>
    </cfRule>
  </conditionalFormatting>
  <conditionalFormatting sqref="H29 H25:H27">
    <cfRule type="expression" dxfId="2050" priority="5">
      <formula>H25&gt;0</formula>
    </cfRule>
    <cfRule type="expression" dxfId="2049" priority="6">
      <formula>H25&lt;0</formula>
    </cfRule>
  </conditionalFormatting>
  <conditionalFormatting sqref="F26:F28">
    <cfRule type="expression" dxfId="2048" priority="3">
      <formula>F26&gt;0</formula>
    </cfRule>
    <cfRule type="expression" dxfId="2047" priority="4">
      <formula>F26&lt;0</formula>
    </cfRule>
  </conditionalFormatting>
  <conditionalFormatting sqref="H28">
    <cfRule type="expression" dxfId="2046" priority="1">
      <formula>H28&gt;0</formula>
    </cfRule>
    <cfRule type="expression" dxfId="204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1294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3" t="s">
        <v>1292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3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1295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1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1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1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1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1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44" priority="127">
      <formula>F141&gt;0</formula>
    </cfRule>
    <cfRule type="expression" dxfId="2043" priority="128">
      <formula>F141&lt;0</formula>
    </cfRule>
  </conditionalFormatting>
  <conditionalFormatting sqref="F198:F211 F214:F258 F261:F262">
    <cfRule type="expression" dxfId="2042" priority="123">
      <formula>F198&gt;0</formula>
    </cfRule>
    <cfRule type="expression" dxfId="2041" priority="124">
      <formula>F198&lt;0</formula>
    </cfRule>
  </conditionalFormatting>
  <conditionalFormatting sqref="F198:F211 F214:F258 F261:F262">
    <cfRule type="expression" dxfId="2040" priority="125">
      <formula>F198&gt;0</formula>
    </cfRule>
    <cfRule type="expression" dxfId="2039" priority="126">
      <formula>F198&lt;0</formula>
    </cfRule>
  </conditionalFormatting>
  <conditionalFormatting sqref="H193:H211 H214:H258 H261:H262">
    <cfRule type="expression" dxfId="2038" priority="121">
      <formula>H193&gt;0</formula>
    </cfRule>
    <cfRule type="expression" dxfId="2037" priority="122">
      <formula>H193&lt;0</formula>
    </cfRule>
  </conditionalFormatting>
  <conditionalFormatting sqref="F189:F192">
    <cfRule type="expression" dxfId="2036" priority="115">
      <formula>F189&gt;0</formula>
    </cfRule>
    <cfRule type="expression" dxfId="2035" priority="116">
      <formula>F189&lt;0</formula>
    </cfRule>
  </conditionalFormatting>
  <conditionalFormatting sqref="H189:H192">
    <cfRule type="expression" dxfId="2034" priority="113">
      <formula>H189&gt;0</formula>
    </cfRule>
    <cfRule type="expression" dxfId="2033" priority="114">
      <formula>H189&lt;0</formula>
    </cfRule>
  </conditionalFormatting>
  <conditionalFormatting sqref="Q8">
    <cfRule type="expression" dxfId="2032" priority="109">
      <formula>Q8&gt;0</formula>
    </cfRule>
    <cfRule type="expression" dxfId="2031" priority="110">
      <formula>Q8&lt;0</formula>
    </cfRule>
  </conditionalFormatting>
  <conditionalFormatting sqref="Q7">
    <cfRule type="expression" dxfId="2030" priority="111">
      <formula>Q7&gt;0</formula>
    </cfRule>
    <cfRule type="expression" dxfId="2029" priority="112">
      <formula>Q7&lt;0</formula>
    </cfRule>
  </conditionalFormatting>
  <conditionalFormatting sqref="F212">
    <cfRule type="expression" dxfId="2028" priority="105">
      <formula>F212&gt;0</formula>
    </cfRule>
    <cfRule type="expression" dxfId="2027" priority="106">
      <formula>F212&lt;0</formula>
    </cfRule>
  </conditionalFormatting>
  <conditionalFormatting sqref="F212">
    <cfRule type="expression" dxfId="2026" priority="107">
      <formula>F212&gt;0</formula>
    </cfRule>
    <cfRule type="expression" dxfId="2025" priority="108">
      <formula>F212&lt;0</formula>
    </cfRule>
  </conditionalFormatting>
  <conditionalFormatting sqref="H212">
    <cfRule type="expression" dxfId="2024" priority="103">
      <formula>H212&gt;0</formula>
    </cfRule>
    <cfRule type="expression" dxfId="2023" priority="104">
      <formula>H212&lt;0</formula>
    </cfRule>
  </conditionalFormatting>
  <conditionalFormatting sqref="F213">
    <cfRule type="expression" dxfId="2022" priority="99">
      <formula>F213&gt;0</formula>
    </cfRule>
    <cfRule type="expression" dxfId="2021" priority="100">
      <formula>F213&lt;0</formula>
    </cfRule>
  </conditionalFormatting>
  <conditionalFormatting sqref="F213">
    <cfRule type="expression" dxfId="2020" priority="101">
      <formula>F213&gt;0</formula>
    </cfRule>
    <cfRule type="expression" dxfId="2019" priority="102">
      <formula>F213&lt;0</formula>
    </cfRule>
  </conditionalFormatting>
  <conditionalFormatting sqref="H213">
    <cfRule type="expression" dxfId="2018" priority="97">
      <formula>H213&gt;0</formula>
    </cfRule>
    <cfRule type="expression" dxfId="2017" priority="98">
      <formula>H213&lt;0</formula>
    </cfRule>
  </conditionalFormatting>
  <conditionalFormatting sqref="F259:F260">
    <cfRule type="expression" dxfId="2016" priority="93">
      <formula>F259&gt;0</formula>
    </cfRule>
    <cfRule type="expression" dxfId="2015" priority="94">
      <formula>F259&lt;0</formula>
    </cfRule>
  </conditionalFormatting>
  <conditionalFormatting sqref="F259:F260">
    <cfRule type="expression" dxfId="2014" priority="95">
      <formula>F259&gt;0</formula>
    </cfRule>
    <cfRule type="expression" dxfId="2013" priority="96">
      <formula>F259&lt;0</formula>
    </cfRule>
  </conditionalFormatting>
  <conditionalFormatting sqref="H259:H260">
    <cfRule type="expression" dxfId="2012" priority="91">
      <formula>H259&gt;0</formula>
    </cfRule>
    <cfRule type="expression" dxfId="2011" priority="92">
      <formula>H259&lt;0</formula>
    </cfRule>
  </conditionalFormatting>
  <conditionalFormatting sqref="F66:F81">
    <cfRule type="expression" dxfId="2010" priority="89">
      <formula>F66&gt;0</formula>
    </cfRule>
    <cfRule type="expression" dxfId="2009" priority="90">
      <formula>F66&lt;0</formula>
    </cfRule>
  </conditionalFormatting>
  <conditionalFormatting sqref="H66:H81">
    <cfRule type="expression" dxfId="2008" priority="87">
      <formula>H66&gt;0</formula>
    </cfRule>
    <cfRule type="expression" dxfId="2007" priority="88">
      <formula>H66&lt;0</formula>
    </cfRule>
  </conditionalFormatting>
  <conditionalFormatting sqref="Q10">
    <cfRule type="expression" dxfId="2006" priority="85">
      <formula>Q10&gt;0</formula>
    </cfRule>
    <cfRule type="expression" dxfId="2005" priority="86">
      <formula>Q10&lt;0</formula>
    </cfRule>
  </conditionalFormatting>
  <conditionalFormatting sqref="J76">
    <cfRule type="expression" dxfId="2004" priority="83">
      <formula>J76&gt;0</formula>
    </cfRule>
    <cfRule type="expression" dxfId="2003" priority="84">
      <formula>J76&lt;0</formula>
    </cfRule>
  </conditionalFormatting>
  <conditionalFormatting sqref="F83:F91">
    <cfRule type="expression" dxfId="2002" priority="77">
      <formula>F83&gt;0</formula>
    </cfRule>
    <cfRule type="expression" dxfId="2001" priority="78">
      <formula>F83&lt;0</formula>
    </cfRule>
  </conditionalFormatting>
  <conditionalFormatting sqref="H83:H91">
    <cfRule type="expression" dxfId="2000" priority="75">
      <formula>H83&gt;0</formula>
    </cfRule>
    <cfRule type="expression" dxfId="1999" priority="76">
      <formula>H83&lt;0</formula>
    </cfRule>
  </conditionalFormatting>
  <conditionalFormatting sqref="R4">
    <cfRule type="expression" dxfId="1998" priority="73">
      <formula>R4&gt;0</formula>
    </cfRule>
    <cfRule type="expression" dxfId="1997" priority="74">
      <formula>R4&lt;0</formula>
    </cfRule>
  </conditionalFormatting>
  <conditionalFormatting sqref="Q9">
    <cfRule type="expression" dxfId="1996" priority="71">
      <formula>Q9&gt;0</formula>
    </cfRule>
    <cfRule type="expression" dxfId="1995" priority="72">
      <formula>Q9&lt;0</formula>
    </cfRule>
  </conditionalFormatting>
  <conditionalFormatting sqref="F92:F115">
    <cfRule type="expression" dxfId="1994" priority="67">
      <formula>F92&gt;0</formula>
    </cfRule>
    <cfRule type="expression" dxfId="1993" priority="68">
      <formula>F92&lt;0</formula>
    </cfRule>
  </conditionalFormatting>
  <conditionalFormatting sqref="H92:H115">
    <cfRule type="expression" dxfId="1992" priority="65">
      <formula>H92&gt;0</formula>
    </cfRule>
    <cfRule type="expression" dxfId="1991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90" priority="61">
      <formula>F116&gt;0</formula>
    </cfRule>
    <cfRule type="expression" dxfId="1989" priority="62">
      <formula>F116&lt;0</formula>
    </cfRule>
  </conditionalFormatting>
  <conditionalFormatting sqref="H116:H140">
    <cfRule type="expression" dxfId="1988" priority="59">
      <formula>H116&gt;0</formula>
    </cfRule>
    <cfRule type="expression" dxfId="1987" priority="60">
      <formula>H116&lt;0</formula>
    </cfRule>
  </conditionalFormatting>
  <conditionalFormatting sqref="H150:H151 F150:F151">
    <cfRule type="expression" dxfId="1986" priority="41">
      <formula>F150&gt;0</formula>
    </cfRule>
    <cfRule type="expression" dxfId="1985" priority="42">
      <formula>F150&lt;0</formula>
    </cfRule>
  </conditionalFormatting>
  <conditionalFormatting sqref="H145:H149 F145:F149">
    <cfRule type="expression" dxfId="1984" priority="39">
      <formula>F145&gt;0</formula>
    </cfRule>
    <cfRule type="expression" dxfId="1983" priority="40">
      <formula>F145&lt;0</formula>
    </cfRule>
  </conditionalFormatting>
  <conditionalFormatting sqref="F82">
    <cfRule type="expression" dxfId="1982" priority="37">
      <formula>F82&gt;0</formula>
    </cfRule>
    <cfRule type="expression" dxfId="1981" priority="38">
      <formula>F82&lt;0</formula>
    </cfRule>
  </conditionalFormatting>
  <conditionalFormatting sqref="H82">
    <cfRule type="expression" dxfId="1980" priority="35">
      <formula>H82&gt;0</formula>
    </cfRule>
    <cfRule type="expression" dxfId="1979" priority="36">
      <formula>H82&lt;0</formula>
    </cfRule>
  </conditionalFormatting>
  <conditionalFormatting sqref="F173:F175 H173:H175">
    <cfRule type="expression" dxfId="1978" priority="33">
      <formula>F173&gt;0</formula>
    </cfRule>
    <cfRule type="expression" dxfId="1977" priority="34">
      <formula>F173&lt;0</formula>
    </cfRule>
  </conditionalFormatting>
  <conditionalFormatting sqref="F162:F166 H162:H166">
    <cfRule type="expression" dxfId="1976" priority="29">
      <formula>F162&gt;0</formula>
    </cfRule>
    <cfRule type="expression" dxfId="1975" priority="30">
      <formula>F162&lt;0</formula>
    </cfRule>
  </conditionalFormatting>
  <conditionalFormatting sqref="F159:F161 H159:H161">
    <cfRule type="expression" dxfId="1974" priority="25">
      <formula>F159&gt;0</formula>
    </cfRule>
    <cfRule type="expression" dxfId="1973" priority="26">
      <formula>F159&lt;0</formula>
    </cfRule>
  </conditionalFormatting>
  <conditionalFormatting sqref="F156:F158 H156:H158">
    <cfRule type="expression" dxfId="1972" priority="23">
      <formula>F156&gt;0</formula>
    </cfRule>
    <cfRule type="expression" dxfId="1971" priority="24">
      <formula>F156&lt;0</formula>
    </cfRule>
  </conditionalFormatting>
  <conditionalFormatting sqref="F155 H155">
    <cfRule type="expression" dxfId="1970" priority="21">
      <formula>F155&gt;0</formula>
    </cfRule>
    <cfRule type="expression" dxfId="1969" priority="22">
      <formula>F155&lt;0</formula>
    </cfRule>
  </conditionalFormatting>
  <conditionalFormatting sqref="F168:F170 H168:H170 K66:K170">
    <cfRule type="expression" dxfId="1968" priority="19">
      <formula>F66&gt;0</formula>
    </cfRule>
    <cfRule type="expression" dxfId="1967" priority="20">
      <formula>F66&lt;0</formula>
    </cfRule>
  </conditionalFormatting>
  <conditionalFormatting sqref="F167 H167">
    <cfRule type="expression" dxfId="1966" priority="17">
      <formula>F167&gt;0</formula>
    </cfRule>
    <cfRule type="expression" dxfId="1965" priority="18">
      <formula>F167&lt;0</formula>
    </cfRule>
  </conditionalFormatting>
  <conditionalFormatting sqref="F171:F172 H171:H172 K171:K172">
    <cfRule type="expression" dxfId="1964" priority="15">
      <formula>F171&gt;0</formula>
    </cfRule>
    <cfRule type="expression" dxfId="1963" priority="16">
      <formula>F171&lt;0</formula>
    </cfRule>
  </conditionalFormatting>
  <conditionalFormatting sqref="F178:F180 H178:H180 K178:K180">
    <cfRule type="expression" dxfId="1962" priority="11">
      <formula>F178&gt;0</formula>
    </cfRule>
    <cfRule type="expression" dxfId="1961" priority="12">
      <formula>F178&lt;0</formula>
    </cfRule>
  </conditionalFormatting>
  <conditionalFormatting sqref="F176:F177 H176:H177 K176:K177">
    <cfRule type="expression" dxfId="1960" priority="9">
      <formula>F176&gt;0</formula>
    </cfRule>
    <cfRule type="expression" dxfId="1959" priority="10">
      <formula>F176&lt;0</formula>
    </cfRule>
  </conditionalFormatting>
  <conditionalFormatting sqref="F184:F185 H184:H185 K184:K185">
    <cfRule type="expression" dxfId="1958" priority="5">
      <formula>F184&gt;0</formula>
    </cfRule>
    <cfRule type="expression" dxfId="1957" priority="6">
      <formula>F184&lt;0</formula>
    </cfRule>
  </conditionalFormatting>
  <conditionalFormatting sqref="F182:F183 H182:H183 K182:K183">
    <cfRule type="expression" dxfId="1956" priority="3">
      <formula>F182&gt;0</formula>
    </cfRule>
    <cfRule type="expression" dxfId="1955" priority="4">
      <formula>F182&lt;0</formula>
    </cfRule>
  </conditionalFormatting>
  <conditionalFormatting sqref="F181 H181 K181">
    <cfRule type="expression" dxfId="1954" priority="1">
      <formula>F181&gt;0</formula>
    </cfRule>
    <cfRule type="expression" dxfId="1953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52" priority="31">
      <formula>Q7&gt;0</formula>
    </cfRule>
    <cfRule type="expression" dxfId="1951" priority="32">
      <formula>Q7&lt;0</formula>
    </cfRule>
  </conditionalFormatting>
  <conditionalFormatting sqref="Q8">
    <cfRule type="expression" dxfId="1950" priority="29">
      <formula>Q8&gt;0</formula>
    </cfRule>
    <cfRule type="expression" dxfId="1949" priority="30">
      <formula>Q8&lt;0</formula>
    </cfRule>
  </conditionalFormatting>
  <conditionalFormatting sqref="F62:F65">
    <cfRule type="expression" dxfId="1948" priority="21">
      <formula>F62&gt;0</formula>
    </cfRule>
    <cfRule type="expression" dxfId="1947" priority="22">
      <formula>F62&lt;0</formula>
    </cfRule>
  </conditionalFormatting>
  <conditionalFormatting sqref="F66:F74 F78:F98 F102:F106">
    <cfRule type="expression" dxfId="1946" priority="17">
      <formula>F66&gt;0</formula>
    </cfRule>
    <cfRule type="expression" dxfId="1945" priority="18">
      <formula>F66&lt;0</formula>
    </cfRule>
  </conditionalFormatting>
  <conditionalFormatting sqref="F66:F74 F78:F98 F102:F106">
    <cfRule type="expression" dxfId="1944" priority="19">
      <formula>F66&gt;0</formula>
    </cfRule>
    <cfRule type="expression" dxfId="1943" priority="20">
      <formula>F66&lt;0</formula>
    </cfRule>
  </conditionalFormatting>
  <conditionalFormatting sqref="H62:H74 H78:H98 H102:H106">
    <cfRule type="expression" dxfId="1942" priority="15">
      <formula>H62&gt;0</formula>
    </cfRule>
    <cfRule type="expression" dxfId="1941" priority="16">
      <formula>H62&lt;0</formula>
    </cfRule>
  </conditionalFormatting>
  <conditionalFormatting sqref="F57:F61">
    <cfRule type="expression" dxfId="1940" priority="13">
      <formula>F57&gt;0</formula>
    </cfRule>
    <cfRule type="expression" dxfId="1939" priority="14">
      <formula>F57&lt;0</formula>
    </cfRule>
  </conditionalFormatting>
  <conditionalFormatting sqref="H57:H61">
    <cfRule type="expression" dxfId="1938" priority="11">
      <formula>H57&gt;0</formula>
    </cfRule>
    <cfRule type="expression" dxfId="1937" priority="12">
      <formula>H57&lt;0</formula>
    </cfRule>
  </conditionalFormatting>
  <conditionalFormatting sqref="F75:F77">
    <cfRule type="expression" dxfId="1936" priority="7">
      <formula>F75&gt;0</formula>
    </cfRule>
    <cfRule type="expression" dxfId="1935" priority="8">
      <formula>F75&lt;0</formula>
    </cfRule>
  </conditionalFormatting>
  <conditionalFormatting sqref="F75:F77">
    <cfRule type="expression" dxfId="1934" priority="9">
      <formula>F75&gt;0</formula>
    </cfRule>
    <cfRule type="expression" dxfId="1933" priority="10">
      <formula>F75&lt;0</formula>
    </cfRule>
  </conditionalFormatting>
  <conditionalFormatting sqref="H75:H77">
    <cfRule type="expression" dxfId="1932" priority="5">
      <formula>H75&gt;0</formula>
    </cfRule>
    <cfRule type="expression" dxfId="1931" priority="6">
      <formula>H75&lt;0</formula>
    </cfRule>
  </conditionalFormatting>
  <conditionalFormatting sqref="F22:F30">
    <cfRule type="expression" dxfId="1930" priority="3">
      <formula>F22&gt;0</formula>
    </cfRule>
    <cfRule type="expression" dxfId="1929" priority="4">
      <formula>F22&lt;0</formula>
    </cfRule>
  </conditionalFormatting>
  <conditionalFormatting sqref="F99:F101">
    <cfRule type="expression" dxfId="1928" priority="1">
      <formula>F99&gt;0</formula>
    </cfRule>
    <cfRule type="expression" dxfId="192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26" priority="25">
      <formula>F30&gt;0</formula>
    </cfRule>
    <cfRule type="expression" dxfId="1925" priority="26">
      <formula>F30&lt;0</formula>
    </cfRule>
  </conditionalFormatting>
  <conditionalFormatting sqref="Q7">
    <cfRule type="expression" dxfId="1924" priority="23">
      <formula>Q7&gt;0</formula>
    </cfRule>
    <cfRule type="expression" dxfId="1923" priority="24">
      <formula>Q7&lt;0</formula>
    </cfRule>
  </conditionalFormatting>
  <conditionalFormatting sqref="Q8">
    <cfRule type="expression" dxfId="1922" priority="21">
      <formula>Q8&gt;0</formula>
    </cfRule>
    <cfRule type="expression" dxfId="1921" priority="22">
      <formula>Q8&lt;0</formula>
    </cfRule>
  </conditionalFormatting>
  <conditionalFormatting sqref="M74">
    <cfRule type="expression" dxfId="1920" priority="15">
      <formula>M74&gt;0</formula>
    </cfRule>
    <cfRule type="expression" dxfId="1919" priority="16">
      <formula>M74&lt;0</formula>
    </cfRule>
  </conditionalFormatting>
  <conditionalFormatting sqref="F113:F149 H113:H149">
    <cfRule type="expression" dxfId="1918" priority="13">
      <formula>F113&gt;0</formula>
    </cfRule>
    <cfRule type="expression" dxfId="1917" priority="14">
      <formula>F113&lt;0</formula>
    </cfRule>
  </conditionalFormatting>
  <conditionalFormatting sqref="F105:F112">
    <cfRule type="expression" dxfId="1916" priority="11">
      <formula>F105&gt;0</formula>
    </cfRule>
    <cfRule type="expression" dxfId="1915" priority="12">
      <formula>F105&lt;0</formula>
    </cfRule>
  </conditionalFormatting>
  <conditionalFormatting sqref="H105:H112">
    <cfRule type="expression" dxfId="1914" priority="9">
      <formula>H105&gt;0</formula>
    </cfRule>
    <cfRule type="expression" dxfId="1913" priority="10">
      <formula>H105&lt;0</formula>
    </cfRule>
  </conditionalFormatting>
  <conditionalFormatting sqref="Q10">
    <cfRule type="expression" dxfId="1912" priority="7">
      <formula>Q10&gt;0</formula>
    </cfRule>
    <cfRule type="expression" dxfId="1911" priority="8">
      <formula>Q10&lt;0</formula>
    </cfRule>
  </conditionalFormatting>
  <conditionalFormatting sqref="F25:F29">
    <cfRule type="expression" dxfId="1910" priority="5">
      <formula>F25&gt;0</formula>
    </cfRule>
    <cfRule type="expression" dxfId="1909" priority="6">
      <formula>F25&lt;0</formula>
    </cfRule>
  </conditionalFormatting>
  <conditionalFormatting sqref="H25:H29">
    <cfRule type="expression" dxfId="1908" priority="3">
      <formula>H25&gt;0</formula>
    </cfRule>
    <cfRule type="expression" dxfId="1907" priority="4">
      <formula>H25&lt;0</formula>
    </cfRule>
  </conditionalFormatting>
  <conditionalFormatting sqref="J26:J35">
    <cfRule type="expression" dxfId="1906" priority="1">
      <formula>J26&gt;0</formula>
    </cfRule>
    <cfRule type="expression" dxfId="190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1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1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04" priority="47">
      <formula>F7&gt;0</formula>
    </cfRule>
    <cfRule type="expression" dxfId="1903" priority="48">
      <formula>F7&lt;0</formula>
    </cfRule>
  </conditionalFormatting>
  <conditionalFormatting sqref="Q8">
    <cfRule type="expression" dxfId="1902" priority="45">
      <formula>Q8&gt;0</formula>
    </cfRule>
    <cfRule type="expression" dxfId="1901" priority="46">
      <formula>Q8&lt;0</formula>
    </cfRule>
  </conditionalFormatting>
  <conditionalFormatting sqref="F41:F60">
    <cfRule type="expression" dxfId="1900" priority="43">
      <formula>F41&gt;0</formula>
    </cfRule>
    <cfRule type="expression" dxfId="1899" priority="44">
      <formula>F41&lt;0</formula>
    </cfRule>
  </conditionalFormatting>
  <conditionalFormatting sqref="H41:H60">
    <cfRule type="expression" dxfId="1898" priority="41">
      <formula>H41&gt;0</formula>
    </cfRule>
    <cfRule type="expression" dxfId="1897" priority="42">
      <formula>H41&lt;0</formula>
    </cfRule>
  </conditionalFormatting>
  <conditionalFormatting sqref="Q10">
    <cfRule type="expression" dxfId="1896" priority="35">
      <formula>Q10&gt;0</formula>
    </cfRule>
    <cfRule type="expression" dxfId="1895" priority="36">
      <formula>Q10&lt;0</formula>
    </cfRule>
  </conditionalFormatting>
  <conditionalFormatting sqref="J36:J60">
    <cfRule type="expression" dxfId="1894" priority="33">
      <formula>J36&gt;0</formula>
    </cfRule>
    <cfRule type="expression" dxfId="1893" priority="34">
      <formula>J36&lt;0</formula>
    </cfRule>
  </conditionalFormatting>
  <conditionalFormatting sqref="K36:K49">
    <cfRule type="expression" dxfId="1892" priority="31">
      <formula>K36&gt;0</formula>
    </cfRule>
    <cfRule type="expression" dxfId="1891" priority="32">
      <formula>K36&lt;0</formula>
    </cfRule>
  </conditionalFormatting>
  <conditionalFormatting sqref="L36:L49">
    <cfRule type="expression" dxfId="1890" priority="29">
      <formula>L36&gt;0</formula>
    </cfRule>
    <cfRule type="expression" dxfId="1889" priority="30">
      <formula>L36&lt;0</formula>
    </cfRule>
  </conditionalFormatting>
  <conditionalFormatting sqref="F114:F135">
    <cfRule type="expression" dxfId="1888" priority="27">
      <formula>F114&gt;0</formula>
    </cfRule>
    <cfRule type="expression" dxfId="1887" priority="28">
      <formula>F114&lt;0</formula>
    </cfRule>
  </conditionalFormatting>
  <conditionalFormatting sqref="H114:H135">
    <cfRule type="expression" dxfId="1886" priority="25">
      <formula>H114&gt;0</formula>
    </cfRule>
    <cfRule type="expression" dxfId="1885" priority="26">
      <formula>H114&lt;0</formula>
    </cfRule>
  </conditionalFormatting>
  <conditionalFormatting sqref="J114:J127">
    <cfRule type="expression" dxfId="1884" priority="23">
      <formula>J114&gt;0</formula>
    </cfRule>
    <cfRule type="expression" dxfId="1883" priority="24">
      <formula>J114&lt;0</formula>
    </cfRule>
  </conditionalFormatting>
  <conditionalFormatting sqref="K114:K127">
    <cfRule type="expression" dxfId="1882" priority="21">
      <formula>K114&gt;0</formula>
    </cfRule>
    <cfRule type="expression" dxfId="1881" priority="22">
      <formula>K114&lt;0</formula>
    </cfRule>
  </conditionalFormatting>
  <conditionalFormatting sqref="L114:L127">
    <cfRule type="expression" dxfId="1880" priority="19">
      <formula>L114&gt;0</formula>
    </cfRule>
    <cfRule type="expression" dxfId="1879" priority="20">
      <formula>L114&lt;0</formula>
    </cfRule>
  </conditionalFormatting>
  <conditionalFormatting sqref="F36:F40">
    <cfRule type="expression" dxfId="1878" priority="17">
      <formula>F36&gt;0</formula>
    </cfRule>
    <cfRule type="expression" dxfId="1877" priority="18">
      <formula>F36&lt;0</formula>
    </cfRule>
  </conditionalFormatting>
  <conditionalFormatting sqref="H36:H40">
    <cfRule type="expression" dxfId="1876" priority="15">
      <formula>H36&gt;0</formula>
    </cfRule>
    <cfRule type="expression" dxfId="1875" priority="16">
      <formula>H36&lt;0</formula>
    </cfRule>
  </conditionalFormatting>
  <conditionalFormatting sqref="F61:F62">
    <cfRule type="expression" dxfId="1874" priority="13">
      <formula>F61&gt;0</formula>
    </cfRule>
    <cfRule type="expression" dxfId="1873" priority="14">
      <formula>F61&lt;0</formula>
    </cfRule>
  </conditionalFormatting>
  <conditionalFormatting sqref="H61:H62">
    <cfRule type="expression" dxfId="1872" priority="11">
      <formula>H61&gt;0</formula>
    </cfRule>
    <cfRule type="expression" dxfId="1871" priority="12">
      <formula>H61&lt;0</formula>
    </cfRule>
  </conditionalFormatting>
  <conditionalFormatting sqref="J61:J62">
    <cfRule type="expression" dxfId="1870" priority="9">
      <formula>J61&gt;0</formula>
    </cfRule>
    <cfRule type="expression" dxfId="1869" priority="10">
      <formula>J61&lt;0</formula>
    </cfRule>
  </conditionalFormatting>
  <conditionalFormatting sqref="J74:J75 H74:H75 F74:F75">
    <cfRule type="expression" dxfId="1868" priority="7">
      <formula>F74&gt;0</formula>
    </cfRule>
    <cfRule type="expression" dxfId="1867" priority="8">
      <formula>F74&lt;0</formula>
    </cfRule>
  </conditionalFormatting>
  <conditionalFormatting sqref="J79:J82 F79:F83 H79:H83">
    <cfRule type="expression" dxfId="1866" priority="3">
      <formula>F79&gt;0</formula>
    </cfRule>
    <cfRule type="expression" dxfId="1865" priority="4">
      <formula>F79&lt;0</formula>
    </cfRule>
  </conditionalFormatting>
  <conditionalFormatting sqref="J84:J86 F84:F86 H84:H86">
    <cfRule type="expression" dxfId="1864" priority="1">
      <formula>F84&gt;0</formula>
    </cfRule>
    <cfRule type="expression" dxfId="186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94.039900000000003</v>
      </c>
      <c r="R4" s="425">
        <v>2.8999999999999998E-3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9403.99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198.28999999999905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198.28999999999905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2.1539915487143731E-2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7.2309732358286222E-3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19.797873684210526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103.44389000000001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102.50349100000001</v>
      </c>
      <c r="W20" s="134"/>
    </row>
    <row r="21" spans="1:23" x14ac:dyDescent="0.25">
      <c r="O21" s="81">
        <v>1.08</v>
      </c>
      <c r="P21" s="81">
        <f t="shared" si="0"/>
        <v>101.56309200000001</v>
      </c>
      <c r="W21" s="134"/>
    </row>
    <row r="22" spans="1:23" x14ac:dyDescent="0.25">
      <c r="O22" s="81">
        <v>1.07</v>
      </c>
      <c r="P22" s="81">
        <f t="shared" si="0"/>
        <v>100.62269300000001</v>
      </c>
      <c r="W22" s="134"/>
    </row>
    <row r="23" spans="1:23" x14ac:dyDescent="0.25">
      <c r="O23" s="81">
        <v>1.06</v>
      </c>
      <c r="P23" s="81">
        <f t="shared" si="0"/>
        <v>99.682294000000013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98.741895000000014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97.801496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96.861097000000001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95.920698000000002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94.980299000000002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94.039900000000003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93.099501000000004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92.159102000000004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91.218703000000005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90.278304000000006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89.337904999999992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88.397505999999993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87.457107000000008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86.516708000000008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179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85.576309000000009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1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84.63591000000001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1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62" priority="25">
      <formula>F52&gt;0</formula>
    </cfRule>
    <cfRule type="expression" dxfId="1861" priority="26">
      <formula>F52&lt;0</formula>
    </cfRule>
  </conditionalFormatting>
  <conditionalFormatting sqref="Q7">
    <cfRule type="expression" dxfId="1860" priority="23">
      <formula>Q7&gt;0</formula>
    </cfRule>
    <cfRule type="expression" dxfId="1859" priority="24">
      <formula>Q7&lt;0</formula>
    </cfRule>
  </conditionalFormatting>
  <conditionalFormatting sqref="Q8">
    <cfRule type="expression" dxfId="1858" priority="21">
      <formula>Q8&gt;0</formula>
    </cfRule>
    <cfRule type="expression" dxfId="1857" priority="22">
      <formula>Q8&lt;0</formula>
    </cfRule>
  </conditionalFormatting>
  <conditionalFormatting sqref="F25:F37 F43:F51">
    <cfRule type="expression" dxfId="1856" priority="19">
      <formula>F25&gt;0</formula>
    </cfRule>
    <cfRule type="expression" dxfId="1855" priority="20">
      <formula>F25&lt;0</formula>
    </cfRule>
  </conditionalFormatting>
  <conditionalFormatting sqref="H25:H37 H41:H51">
    <cfRule type="expression" dxfId="1854" priority="17">
      <formula>H25&gt;0</formula>
    </cfRule>
    <cfRule type="expression" dxfId="1853" priority="18">
      <formula>H25&lt;0</formula>
    </cfRule>
  </conditionalFormatting>
  <conditionalFormatting sqref="F89:F110">
    <cfRule type="expression" dxfId="1852" priority="15">
      <formula>F89&gt;0</formula>
    </cfRule>
    <cfRule type="expression" dxfId="1851" priority="16">
      <formula>F89&lt;0</formula>
    </cfRule>
  </conditionalFormatting>
  <conditionalFormatting sqref="H89:H110">
    <cfRule type="expression" dxfId="1850" priority="13">
      <formula>H89&gt;0</formula>
    </cfRule>
    <cfRule type="expression" dxfId="1849" priority="14">
      <formula>H89&lt;0</formula>
    </cfRule>
  </conditionalFormatting>
  <conditionalFormatting sqref="Q10">
    <cfRule type="expression" dxfId="1848" priority="11">
      <formula>Q10&gt;0</formula>
    </cfRule>
    <cfRule type="expression" dxfId="1847" priority="12">
      <formula>Q10&lt;0</formula>
    </cfRule>
  </conditionalFormatting>
  <conditionalFormatting sqref="J25:J38">
    <cfRule type="expression" dxfId="1846" priority="9">
      <formula>J25&gt;0</formula>
    </cfRule>
    <cfRule type="expression" dxfId="1845" priority="10">
      <formula>J25&lt;0</formula>
    </cfRule>
  </conditionalFormatting>
  <conditionalFormatting sqref="K25:K38">
    <cfRule type="expression" dxfId="1844" priority="7">
      <formula>K25&gt;0</formula>
    </cfRule>
    <cfRule type="expression" dxfId="1843" priority="8">
      <formula>K25&lt;0</formula>
    </cfRule>
  </conditionalFormatting>
  <conditionalFormatting sqref="F38:F42">
    <cfRule type="expression" dxfId="1842" priority="3">
      <formula>F38&gt;0</formula>
    </cfRule>
    <cfRule type="expression" dxfId="1841" priority="4">
      <formula>F38&lt;0</formula>
    </cfRule>
  </conditionalFormatting>
  <conditionalFormatting sqref="H38:H40">
    <cfRule type="expression" dxfId="1840" priority="1">
      <formula>H38&gt;0</formula>
    </cfRule>
    <cfRule type="expression" dxfId="1839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38" priority="25">
      <formula>F7&gt;0</formula>
    </cfRule>
    <cfRule type="expression" dxfId="1837" priority="26">
      <formula>F7&lt;0</formula>
    </cfRule>
  </conditionalFormatting>
  <conditionalFormatting sqref="Q8">
    <cfRule type="expression" dxfId="1836" priority="23">
      <formula>Q8&gt;0</formula>
    </cfRule>
    <cfRule type="expression" dxfId="1835" priority="24">
      <formula>Q8&lt;0</formula>
    </cfRule>
  </conditionalFormatting>
  <conditionalFormatting sqref="F93:F114">
    <cfRule type="expression" dxfId="1834" priority="17">
      <formula>F93&gt;0</formula>
    </cfRule>
    <cfRule type="expression" dxfId="1833" priority="18">
      <formula>F93&lt;0</formula>
    </cfRule>
  </conditionalFormatting>
  <conditionalFormatting sqref="H93:H114">
    <cfRule type="expression" dxfId="1832" priority="15">
      <formula>H93&gt;0</formula>
    </cfRule>
    <cfRule type="expression" dxfId="1831" priority="16">
      <formula>H93&lt;0</formula>
    </cfRule>
  </conditionalFormatting>
  <conditionalFormatting sqref="Q10">
    <cfRule type="expression" dxfId="1830" priority="13">
      <formula>Q10&gt;0</formula>
    </cfRule>
    <cfRule type="expression" dxfId="1829" priority="14">
      <formula>Q10&lt;0</formula>
    </cfRule>
  </conditionalFormatting>
  <conditionalFormatting sqref="J25:J38">
    <cfRule type="expression" dxfId="1828" priority="11">
      <formula>J25&gt;0</formula>
    </cfRule>
    <cfRule type="expression" dxfId="1827" priority="12">
      <formula>J25&lt;0</formula>
    </cfRule>
  </conditionalFormatting>
  <conditionalFormatting sqref="K25:K38">
    <cfRule type="expression" dxfId="1826" priority="9">
      <formula>K25&gt;0</formula>
    </cfRule>
    <cfRule type="expression" dxfId="1825" priority="10">
      <formula>K25&lt;0</formula>
    </cfRule>
  </conditionalFormatting>
  <conditionalFormatting sqref="L25:L34">
    <cfRule type="expression" dxfId="1824" priority="7">
      <formula>L25&gt;0</formula>
    </cfRule>
    <cfRule type="expression" dxfId="1823" priority="8">
      <formula>L25&lt;0</formula>
    </cfRule>
  </conditionalFormatting>
  <conditionalFormatting sqref="J43">
    <cfRule type="expression" dxfId="1822" priority="5">
      <formula>J43&gt;0</formula>
    </cfRule>
    <cfRule type="expression" dxfId="1821" priority="6">
      <formula>J43&lt;0</formula>
    </cfRule>
  </conditionalFormatting>
  <conditionalFormatting sqref="M25:M34">
    <cfRule type="expression" dxfId="1820" priority="3">
      <formula>M25&gt;0</formula>
    </cfRule>
    <cfRule type="expression" dxfId="1819" priority="4">
      <formula>M25&lt;0</formula>
    </cfRule>
  </conditionalFormatting>
  <conditionalFormatting sqref="H61:H64 F61:F64">
    <cfRule type="expression" dxfId="1818" priority="1">
      <formula>F61&gt;0</formula>
    </cfRule>
    <cfRule type="expression" dxfId="181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37.39</v>
      </c>
      <c r="R4" s="425">
        <v>-3.2000000000000002E-3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3739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1598.6599999999999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1598.6599999999999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0.74691871384920139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2.032629045199251E-2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14.956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41.129000000000005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40.755100000000006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40.3812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40.007300000000001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39.633400000000002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39.259500000000003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38.885600000000004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38.511700000000005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38.137799999999999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37.7639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37.39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37.016100000000002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36.642200000000003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36.268299999999996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35.894399999999997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35.520499999999998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35.146599999999999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34.7727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34.398800000000001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34.024900000000002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33.651000000000003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179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1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1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16" priority="33">
      <formula>F59&gt;0</formula>
    </cfRule>
    <cfRule type="expression" dxfId="1815" priority="34">
      <formula>F59&lt;0</formula>
    </cfRule>
  </conditionalFormatting>
  <conditionalFormatting sqref="Q7">
    <cfRule type="expression" dxfId="1814" priority="31">
      <formula>Q7&gt;0</formula>
    </cfRule>
    <cfRule type="expression" dxfId="1813" priority="32">
      <formula>Q7&lt;0</formula>
    </cfRule>
  </conditionalFormatting>
  <conditionalFormatting sqref="Q8">
    <cfRule type="expression" dxfId="1812" priority="29">
      <formula>Q8&gt;0</formula>
    </cfRule>
    <cfRule type="expression" dxfId="1811" priority="30">
      <formula>Q8&lt;0</formula>
    </cfRule>
  </conditionalFormatting>
  <conditionalFormatting sqref="F30:F58">
    <cfRule type="expression" dxfId="1810" priority="27">
      <formula>F30&gt;0</formula>
    </cfRule>
    <cfRule type="expression" dxfId="1809" priority="28">
      <formula>F30&lt;0</formula>
    </cfRule>
  </conditionalFormatting>
  <conditionalFormatting sqref="H30:H58">
    <cfRule type="expression" dxfId="1808" priority="25">
      <formula>H30&gt;0</formula>
    </cfRule>
    <cfRule type="expression" dxfId="1807" priority="26">
      <formula>H30&lt;0</formula>
    </cfRule>
  </conditionalFormatting>
  <conditionalFormatting sqref="Q10">
    <cfRule type="expression" dxfId="1806" priority="23">
      <formula>Q10&gt;0</formula>
    </cfRule>
    <cfRule type="expression" dxfId="1805" priority="24">
      <formula>Q10&lt;0</formula>
    </cfRule>
  </conditionalFormatting>
  <conditionalFormatting sqref="J25:J38">
    <cfRule type="expression" dxfId="1804" priority="21">
      <formula>J25&gt;0</formula>
    </cfRule>
    <cfRule type="expression" dxfId="1803" priority="22">
      <formula>J25&lt;0</formula>
    </cfRule>
  </conditionalFormatting>
  <conditionalFormatting sqref="K25:K33">
    <cfRule type="expression" dxfId="1802" priority="19">
      <formula>K25&gt;0</formula>
    </cfRule>
    <cfRule type="expression" dxfId="1801" priority="20">
      <formula>K25&lt;0</formula>
    </cfRule>
  </conditionalFormatting>
  <conditionalFormatting sqref="L25:L38">
    <cfRule type="expression" dxfId="1800" priority="17">
      <formula>L25&gt;0</formula>
    </cfRule>
    <cfRule type="expression" dxfId="1799" priority="18">
      <formula>L25&lt;0</formula>
    </cfRule>
  </conditionalFormatting>
  <conditionalFormatting sqref="F89:F110">
    <cfRule type="expression" dxfId="1798" priority="15">
      <formula>F89&gt;0</formula>
    </cfRule>
    <cfRule type="expression" dxfId="1797" priority="16">
      <formula>F89&lt;0</formula>
    </cfRule>
  </conditionalFormatting>
  <conditionalFormatting sqref="H89:H110">
    <cfRule type="expression" dxfId="1796" priority="13">
      <formula>H89&gt;0</formula>
    </cfRule>
    <cfRule type="expression" dxfId="1795" priority="14">
      <formula>H89&lt;0</formula>
    </cfRule>
  </conditionalFormatting>
  <conditionalFormatting sqref="J89:J102">
    <cfRule type="expression" dxfId="1794" priority="11">
      <formula>J89&gt;0</formula>
    </cfRule>
    <cfRule type="expression" dxfId="1793" priority="12">
      <formula>J89&lt;0</formula>
    </cfRule>
  </conditionalFormatting>
  <conditionalFormatting sqref="K89:K102">
    <cfRule type="expression" dxfId="1792" priority="9">
      <formula>K89&gt;0</formula>
    </cfRule>
    <cfRule type="expression" dxfId="1791" priority="10">
      <formula>K89&lt;0</formula>
    </cfRule>
  </conditionalFormatting>
  <conditionalFormatting sqref="L89:L102">
    <cfRule type="expression" dxfId="1790" priority="7">
      <formula>L89&gt;0</formula>
    </cfRule>
    <cfRule type="expression" dxfId="1789" priority="8">
      <formula>L89&lt;0</formula>
    </cfRule>
  </conditionalFormatting>
  <conditionalFormatting sqref="F25:F29">
    <cfRule type="expression" dxfId="1788" priority="5">
      <formula>F25&gt;0</formula>
    </cfRule>
    <cfRule type="expression" dxfId="1787" priority="6">
      <formula>F25&lt;0</formula>
    </cfRule>
  </conditionalFormatting>
  <conditionalFormatting sqref="H25:H29">
    <cfRule type="expression" dxfId="1786" priority="3">
      <formula>H25&gt;0</formula>
    </cfRule>
    <cfRule type="expression" dxfId="1785" priority="4">
      <formula>H25&lt;0</formula>
    </cfRule>
  </conditionalFormatting>
  <conditionalFormatting sqref="F29">
    <cfRule type="expression" dxfId="1784" priority="1">
      <formula>F29&gt;0</formula>
    </cfRule>
    <cfRule type="expression" dxfId="178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82" priority="31">
      <formula>F47&gt;0</formula>
    </cfRule>
    <cfRule type="expression" dxfId="1781" priority="32">
      <formula>F47&lt;0</formula>
    </cfRule>
  </conditionalFormatting>
  <conditionalFormatting sqref="Q7">
    <cfRule type="expression" dxfId="1780" priority="29">
      <formula>Q7&gt;0</formula>
    </cfRule>
    <cfRule type="expression" dxfId="1779" priority="30">
      <formula>Q7&lt;0</formula>
    </cfRule>
  </conditionalFormatting>
  <conditionalFormatting sqref="Q8">
    <cfRule type="expression" dxfId="1778" priority="27">
      <formula>Q8&gt;0</formula>
    </cfRule>
    <cfRule type="expression" dxfId="1777" priority="28">
      <formula>Q8&lt;0</formula>
    </cfRule>
  </conditionalFormatting>
  <conditionalFormatting sqref="F30:F46">
    <cfRule type="expression" dxfId="1776" priority="25">
      <formula>F30&gt;0</formula>
    </cfRule>
    <cfRule type="expression" dxfId="1775" priority="26">
      <formula>F30&lt;0</formula>
    </cfRule>
  </conditionalFormatting>
  <conditionalFormatting sqref="H30:H46">
    <cfRule type="expression" dxfId="1774" priority="23">
      <formula>H30&gt;0</formula>
    </cfRule>
    <cfRule type="expression" dxfId="1773" priority="24">
      <formula>H30&lt;0</formula>
    </cfRule>
  </conditionalFormatting>
  <conditionalFormatting sqref="Q10">
    <cfRule type="expression" dxfId="1772" priority="21">
      <formula>Q10&gt;0</formula>
    </cfRule>
    <cfRule type="expression" dxfId="1771" priority="22">
      <formula>Q10&lt;0</formula>
    </cfRule>
  </conditionalFormatting>
  <conditionalFormatting sqref="J25:J38">
    <cfRule type="expression" dxfId="1770" priority="19">
      <formula>J25&gt;0</formula>
    </cfRule>
    <cfRule type="expression" dxfId="1769" priority="20">
      <formula>J25&lt;0</formula>
    </cfRule>
  </conditionalFormatting>
  <conditionalFormatting sqref="K25:K38">
    <cfRule type="expression" dxfId="1768" priority="17">
      <formula>K25&gt;0</formula>
    </cfRule>
    <cfRule type="expression" dxfId="1767" priority="18">
      <formula>K25&lt;0</formula>
    </cfRule>
  </conditionalFormatting>
  <conditionalFormatting sqref="L25:L38">
    <cfRule type="expression" dxfId="1766" priority="15">
      <formula>L25&gt;0</formula>
    </cfRule>
    <cfRule type="expression" dxfId="1765" priority="16">
      <formula>L25&lt;0</formula>
    </cfRule>
  </conditionalFormatting>
  <conditionalFormatting sqref="F89:F110">
    <cfRule type="expression" dxfId="1764" priority="13">
      <formula>F89&gt;0</formula>
    </cfRule>
    <cfRule type="expression" dxfId="1763" priority="14">
      <formula>F89&lt;0</formula>
    </cfRule>
  </conditionalFormatting>
  <conditionalFormatting sqref="H89:H110">
    <cfRule type="expression" dxfId="1762" priority="11">
      <formula>H89&gt;0</formula>
    </cfRule>
    <cfRule type="expression" dxfId="1761" priority="12">
      <formula>H89&lt;0</formula>
    </cfRule>
  </conditionalFormatting>
  <conditionalFormatting sqref="J89:J102">
    <cfRule type="expression" dxfId="1760" priority="9">
      <formula>J89&gt;0</formula>
    </cfRule>
    <cfRule type="expression" dxfId="1759" priority="10">
      <formula>J89&lt;0</formula>
    </cfRule>
  </conditionalFormatting>
  <conditionalFormatting sqref="K89:K102">
    <cfRule type="expression" dxfId="1758" priority="7">
      <formula>K89&gt;0</formula>
    </cfRule>
    <cfRule type="expression" dxfId="1757" priority="8">
      <formula>K89&lt;0</formula>
    </cfRule>
  </conditionalFormatting>
  <conditionalFormatting sqref="L89:L102">
    <cfRule type="expression" dxfId="1756" priority="5">
      <formula>L89&gt;0</formula>
    </cfRule>
    <cfRule type="expression" dxfId="1755" priority="6">
      <formula>L89&lt;0</formula>
    </cfRule>
  </conditionalFormatting>
  <conditionalFormatting sqref="F25:F29">
    <cfRule type="expression" dxfId="1754" priority="3">
      <formula>F25&gt;0</formula>
    </cfRule>
    <cfRule type="expression" dxfId="1753" priority="4">
      <formula>F25&lt;0</formula>
    </cfRule>
  </conditionalFormatting>
  <conditionalFormatting sqref="H25:H29">
    <cfRule type="expression" dxfId="1752" priority="1">
      <formula>H25&gt;0</formula>
    </cfRule>
    <cfRule type="expression" dxfId="17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45.32</v>
      </c>
      <c r="R4" s="425">
        <v>-5.1000000000000004E-3</v>
      </c>
      <c r="T4" s="694"/>
      <c r="U4" s="776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13596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-1891.0600000000013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-1891.0600000000013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-0.12210580962429289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4.0158870255957636E-2</v>
      </c>
      <c r="R11">
        <f>1.82/4</f>
        <v>0.45500000000000002</v>
      </c>
      <c r="T11" s="1">
        <v>43391</v>
      </c>
      <c r="U11" s="757" t="s">
        <v>1297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9.8521739130434796</v>
      </c>
      <c r="T13" s="1">
        <v>43421</v>
      </c>
      <c r="U13" s="757" t="s">
        <v>1321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49.852000000000004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49.398800000000001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48.945600000000006</v>
      </c>
    </row>
    <row r="20" spans="1:20" x14ac:dyDescent="0.25">
      <c r="O20" s="81">
        <v>1.07</v>
      </c>
      <c r="P20" s="81">
        <f t="shared" si="0"/>
        <v>48.492400000000004</v>
      </c>
    </row>
    <row r="21" spans="1:20" x14ac:dyDescent="0.25">
      <c r="O21" s="81">
        <v>1.06</v>
      </c>
      <c r="P21" s="81">
        <f t="shared" si="0"/>
        <v>48.039200000000001</v>
      </c>
    </row>
    <row r="22" spans="1:20" x14ac:dyDescent="0.25">
      <c r="O22" s="81">
        <v>1.05</v>
      </c>
      <c r="P22" s="81">
        <f t="shared" si="0"/>
        <v>47.586000000000006</v>
      </c>
    </row>
    <row r="23" spans="1:20" x14ac:dyDescent="0.25">
      <c r="O23" s="81">
        <v>1.04</v>
      </c>
      <c r="P23" s="81">
        <f t="shared" si="0"/>
        <v>47.132800000000003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46.679600000000001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46.226399999999998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45.773200000000003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45.32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44.866799999999998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44.413600000000002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43.9604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43.507199999999997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39" si="4">C32*(E32-D32)</f>
        <v>-3169.9999999999991</v>
      </c>
      <c r="G32" s="39">
        <f t="shared" ref="G32:G39" si="5">D32*C32</f>
        <v>20214</v>
      </c>
      <c r="H32" s="179">
        <f t="shared" ref="H32:H39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43.053999999999995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42.6008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42.147600000000004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41.694400000000002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41.241199999999999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40.788000000000004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0" priority="35">
      <formula>F54&gt;0</formula>
    </cfRule>
    <cfRule type="expression" dxfId="1749" priority="36">
      <formula>F54&lt;0</formula>
    </cfRule>
  </conditionalFormatting>
  <conditionalFormatting sqref="Q7">
    <cfRule type="expression" dxfId="1748" priority="33">
      <formula>Q7&gt;0</formula>
    </cfRule>
    <cfRule type="expression" dxfId="1747" priority="34">
      <formula>Q7&lt;0</formula>
    </cfRule>
  </conditionalFormatting>
  <conditionalFormatting sqref="Q8">
    <cfRule type="expression" dxfId="1746" priority="31">
      <formula>Q8&gt;0</formula>
    </cfRule>
    <cfRule type="expression" dxfId="1745" priority="32">
      <formula>Q8&lt;0</formula>
    </cfRule>
  </conditionalFormatting>
  <conditionalFormatting sqref="F30:F53">
    <cfRule type="expression" dxfId="1744" priority="29">
      <formula>F30&gt;0</formula>
    </cfRule>
    <cfRule type="expression" dxfId="1743" priority="30">
      <formula>F30&lt;0</formula>
    </cfRule>
  </conditionalFormatting>
  <conditionalFormatting sqref="H30:H53">
    <cfRule type="expression" dxfId="1742" priority="27">
      <formula>H30&gt;0</formula>
    </cfRule>
    <cfRule type="expression" dxfId="1741" priority="28">
      <formula>H30&lt;0</formula>
    </cfRule>
  </conditionalFormatting>
  <conditionalFormatting sqref="Q10">
    <cfRule type="expression" dxfId="1740" priority="25">
      <formula>Q10&gt;0</formula>
    </cfRule>
    <cfRule type="expression" dxfId="1739" priority="26">
      <formula>Q10&lt;0</formula>
    </cfRule>
  </conditionalFormatting>
  <conditionalFormatting sqref="J25:J39">
    <cfRule type="expression" dxfId="1738" priority="23">
      <formula>J25&gt;0</formula>
    </cfRule>
    <cfRule type="expression" dxfId="1737" priority="24">
      <formula>J25&lt;0</formula>
    </cfRule>
  </conditionalFormatting>
  <conditionalFormatting sqref="K25:K36">
    <cfRule type="expression" dxfId="1736" priority="21">
      <formula>K25&gt;0</formula>
    </cfRule>
    <cfRule type="expression" dxfId="1735" priority="22">
      <formula>K25&lt;0</formula>
    </cfRule>
  </conditionalFormatting>
  <conditionalFormatting sqref="L25">
    <cfRule type="expression" dxfId="1734" priority="19">
      <formula>L25&gt;0</formula>
    </cfRule>
    <cfRule type="expression" dxfId="1733" priority="20">
      <formula>L25&lt;0</formula>
    </cfRule>
  </conditionalFormatting>
  <conditionalFormatting sqref="F89:F110">
    <cfRule type="expression" dxfId="1732" priority="17">
      <formula>F89&gt;0</formula>
    </cfRule>
    <cfRule type="expression" dxfId="1731" priority="18">
      <formula>F89&lt;0</formula>
    </cfRule>
  </conditionalFormatting>
  <conditionalFormatting sqref="H89:H110">
    <cfRule type="expression" dxfId="1730" priority="15">
      <formula>H89&gt;0</formula>
    </cfRule>
    <cfRule type="expression" dxfId="1729" priority="16">
      <formula>H89&lt;0</formula>
    </cfRule>
  </conditionalFormatting>
  <conditionalFormatting sqref="J89:J102">
    <cfRule type="expression" dxfId="1728" priority="13">
      <formula>J89&gt;0</formula>
    </cfRule>
    <cfRule type="expression" dxfId="1727" priority="14">
      <formula>J89&lt;0</formula>
    </cfRule>
  </conditionalFormatting>
  <conditionalFormatting sqref="K89:K102">
    <cfRule type="expression" dxfId="1726" priority="11">
      <formula>K89&gt;0</formula>
    </cfRule>
    <cfRule type="expression" dxfId="1725" priority="12">
      <formula>K89&lt;0</formula>
    </cfRule>
  </conditionalFormatting>
  <conditionalFormatting sqref="L89:L102">
    <cfRule type="expression" dxfId="1724" priority="9">
      <formula>L89&gt;0</formula>
    </cfRule>
    <cfRule type="expression" dxfId="1723" priority="10">
      <formula>L89&lt;0</formula>
    </cfRule>
  </conditionalFormatting>
  <conditionalFormatting sqref="F25:F29">
    <cfRule type="expression" dxfId="1722" priority="7">
      <formula>F25&gt;0</formula>
    </cfRule>
    <cfRule type="expression" dxfId="1721" priority="8">
      <formula>F25&lt;0</formula>
    </cfRule>
  </conditionalFormatting>
  <conditionalFormatting sqref="H25:H29">
    <cfRule type="expression" dxfId="1720" priority="5">
      <formula>H25&gt;0</formula>
    </cfRule>
    <cfRule type="expression" dxfId="171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53.72</v>
      </c>
      <c r="R4" s="425">
        <v>-1.23E-2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10744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802.59999999999854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802.59999999999854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8.0733095942221264E-2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5.212211466865227E-2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13.480552070263487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59.092000000000006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58.5548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58.017600000000002</v>
      </c>
    </row>
    <row r="20" spans="1:21" x14ac:dyDescent="0.25">
      <c r="O20" s="81">
        <v>1.07</v>
      </c>
      <c r="P20" s="81">
        <f t="shared" si="2"/>
        <v>57.480400000000003</v>
      </c>
      <c r="T20" s="1">
        <v>43416</v>
      </c>
      <c r="U20" t="s">
        <v>1311</v>
      </c>
    </row>
    <row r="21" spans="1:21" x14ac:dyDescent="0.25">
      <c r="O21" s="81">
        <v>1.06</v>
      </c>
      <c r="P21" s="81">
        <f t="shared" si="2"/>
        <v>56.943200000000004</v>
      </c>
    </row>
    <row r="22" spans="1:21" x14ac:dyDescent="0.25">
      <c r="O22" s="81">
        <v>1.05</v>
      </c>
      <c r="P22" s="81">
        <f t="shared" si="2"/>
        <v>56.405999999999999</v>
      </c>
    </row>
    <row r="23" spans="1:21" x14ac:dyDescent="0.25">
      <c r="O23" s="81">
        <v>1.04</v>
      </c>
      <c r="P23" s="81">
        <f t="shared" si="2"/>
        <v>55.8688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55.331600000000002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54.794400000000003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54.257199999999997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53.72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53.1828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52.645599999999995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52.108399999999996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51.571199999999997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51.033999999999999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50.496799999999993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49.959600000000002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49.422400000000003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48.885199999999998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48.347999999999999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4" si="9">C45*(E45-D45)</f>
        <v>842.00000000000023</v>
      </c>
      <c r="G45" s="39">
        <f t="shared" ref="G45:G54" si="10">D45*C45</f>
        <v>11324</v>
      </c>
      <c r="H45" s="179">
        <f t="shared" ref="H45:H54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1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1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1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1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18" priority="43">
      <formula>F63&gt;0</formula>
    </cfRule>
    <cfRule type="expression" dxfId="1717" priority="44">
      <formula>F63&lt;0</formula>
    </cfRule>
  </conditionalFormatting>
  <conditionalFormatting sqref="Q7">
    <cfRule type="expression" dxfId="1716" priority="41">
      <formula>Q7&gt;0</formula>
    </cfRule>
    <cfRule type="expression" dxfId="1715" priority="42">
      <formula>Q7&lt;0</formula>
    </cfRule>
  </conditionalFormatting>
  <conditionalFormatting sqref="Q8">
    <cfRule type="expression" dxfId="1714" priority="39">
      <formula>Q8&gt;0</formula>
    </cfRule>
    <cfRule type="expression" dxfId="1713" priority="40">
      <formula>Q8&lt;0</formula>
    </cfRule>
  </conditionalFormatting>
  <conditionalFormatting sqref="F30:F62">
    <cfRule type="expression" dxfId="1712" priority="37">
      <formula>F30&gt;0</formula>
    </cfRule>
    <cfRule type="expression" dxfId="1711" priority="38">
      <formula>F30&lt;0</formula>
    </cfRule>
  </conditionalFormatting>
  <conditionalFormatting sqref="H30:H62">
    <cfRule type="expression" dxfId="1710" priority="35">
      <formula>H30&gt;0</formula>
    </cfRule>
    <cfRule type="expression" dxfId="1709" priority="36">
      <formula>H30&lt;0</formula>
    </cfRule>
  </conditionalFormatting>
  <conditionalFormatting sqref="Q10">
    <cfRule type="expression" dxfId="1708" priority="33">
      <formula>Q10&gt;0</formula>
    </cfRule>
    <cfRule type="expression" dxfId="1707" priority="34">
      <formula>Q10&lt;0</formula>
    </cfRule>
  </conditionalFormatting>
  <conditionalFormatting sqref="K25:K39">
    <cfRule type="expression" dxfId="1706" priority="29">
      <formula>K25&gt;0</formula>
    </cfRule>
    <cfRule type="expression" dxfId="1705" priority="30">
      <formula>K25&lt;0</formula>
    </cfRule>
  </conditionalFormatting>
  <conditionalFormatting sqref="L25">
    <cfRule type="expression" dxfId="1704" priority="27">
      <formula>L25&gt;0</formula>
    </cfRule>
    <cfRule type="expression" dxfId="1703" priority="28">
      <formula>L25&lt;0</formula>
    </cfRule>
  </conditionalFormatting>
  <conditionalFormatting sqref="F89:F110">
    <cfRule type="expression" dxfId="1702" priority="25">
      <formula>F89&gt;0</formula>
    </cfRule>
    <cfRule type="expression" dxfId="1701" priority="26">
      <formula>F89&lt;0</formula>
    </cfRule>
  </conditionalFormatting>
  <conditionalFormatting sqref="H89:H110">
    <cfRule type="expression" dxfId="1700" priority="23">
      <formula>H89&gt;0</formula>
    </cfRule>
    <cfRule type="expression" dxfId="1699" priority="24">
      <formula>H89&lt;0</formula>
    </cfRule>
  </conditionalFormatting>
  <conditionalFormatting sqref="J89:J102">
    <cfRule type="expression" dxfId="1698" priority="21">
      <formula>J89&gt;0</formula>
    </cfRule>
    <cfRule type="expression" dxfId="1697" priority="22">
      <formula>J89&lt;0</formula>
    </cfRule>
  </conditionalFormatting>
  <conditionalFormatting sqref="K89:K102">
    <cfRule type="expression" dxfId="1696" priority="19">
      <formula>K89&gt;0</formula>
    </cfRule>
    <cfRule type="expression" dxfId="1695" priority="20">
      <formula>K89&lt;0</formula>
    </cfRule>
  </conditionalFormatting>
  <conditionalFormatting sqref="L89:L102">
    <cfRule type="expression" dxfId="1694" priority="17">
      <formula>L89&gt;0</formula>
    </cfRule>
    <cfRule type="expression" dxfId="1693" priority="18">
      <formula>L89&lt;0</formula>
    </cfRule>
  </conditionalFormatting>
  <conditionalFormatting sqref="F25 F29">
    <cfRule type="expression" dxfId="1692" priority="15">
      <formula>F25&gt;0</formula>
    </cfRule>
    <cfRule type="expression" dxfId="1691" priority="16">
      <formula>F25&lt;0</formula>
    </cfRule>
  </conditionalFormatting>
  <conditionalFormatting sqref="H25 H29">
    <cfRule type="expression" dxfId="1690" priority="13">
      <formula>H25&gt;0</formula>
    </cfRule>
    <cfRule type="expression" dxfId="1689" priority="14">
      <formula>H25&lt;0</formula>
    </cfRule>
  </conditionalFormatting>
  <conditionalFormatting sqref="F26:F28">
    <cfRule type="expression" dxfId="1688" priority="11">
      <formula>F26&gt;0</formula>
    </cfRule>
    <cfRule type="expression" dxfId="1687" priority="12">
      <formula>F26&lt;0</formula>
    </cfRule>
  </conditionalFormatting>
  <conditionalFormatting sqref="H26:H28">
    <cfRule type="expression" dxfId="1686" priority="9">
      <formula>H26&gt;0</formula>
    </cfRule>
    <cfRule type="expression" dxfId="1685" priority="10">
      <formula>H26&lt;0</formula>
    </cfRule>
  </conditionalFormatting>
  <conditionalFormatting sqref="J25:J49">
    <cfRule type="expression" dxfId="1684" priority="5">
      <formula>J25&gt;0</formula>
    </cfRule>
    <cfRule type="expression" dxfId="1683" priority="6">
      <formula>J25&lt;0</formula>
    </cfRule>
  </conditionalFormatting>
  <conditionalFormatting sqref="J50:J51">
    <cfRule type="expression" dxfId="1682" priority="3">
      <formula>J50&gt;0</formula>
    </cfRule>
    <cfRule type="expression" dxfId="1681" priority="4">
      <formula>J50&lt;0</formula>
    </cfRule>
  </conditionalFormatting>
  <conditionalFormatting sqref="J52:J54">
    <cfRule type="expression" dxfId="1680" priority="1">
      <formula>J52&gt;0</formula>
    </cfRule>
    <cfRule type="expression" dxfId="1679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3"/>
  <sheetViews>
    <sheetView workbookViewId="0">
      <pane ySplit="1" topLeftCell="A2" activePane="bottomLeft" state="frozen"/>
      <selection activeCell="A2" sqref="A2"/>
      <selection pane="bottomLeft" activeCell="Q15" sqref="Q15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C25-H25</f>
        <v>1200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28.706366666666671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29.36</v>
      </c>
      <c r="R4" s="425">
        <v>-1.38E-2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35232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34447.640000000007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784.35999999999331</v>
      </c>
      <c r="R7">
        <v>1000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784.35999999999331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61"/>
      <c r="I9" s="3"/>
      <c r="J9" s="3"/>
      <c r="K9" s="3"/>
      <c r="L9" s="4"/>
      <c r="M9" s="4"/>
      <c r="O9" s="11" t="s">
        <v>204</v>
      </c>
      <c r="Q9" s="179">
        <f>IF(Q2=0, 0, Q8/Q6)</f>
        <v>2.2769629501469279E-2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M79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6.8119891008174394E-2</v>
      </c>
      <c r="R11">
        <v>0.5</v>
      </c>
    </row>
    <row r="12" spans="1:21" x14ac:dyDescent="0.25">
      <c r="A12" s="884" t="s">
        <v>1301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8.3885714285714279</v>
      </c>
      <c r="T13" s="694"/>
    </row>
    <row r="14" spans="1:21" x14ac:dyDescent="0.25">
      <c r="A14" s="884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4">
        <v>100</v>
      </c>
      <c r="D15" s="2">
        <v>29.68</v>
      </c>
      <c r="E15" s="2">
        <v>0</v>
      </c>
      <c r="F15" s="2">
        <f t="shared" si="0"/>
        <v>2968</v>
      </c>
      <c r="H15" s="70"/>
    </row>
    <row r="16" spans="1:21" x14ac:dyDescent="0.25">
      <c r="B16" s="404">
        <v>43427</v>
      </c>
      <c r="C16" s="4">
        <v>100</v>
      </c>
      <c r="D16" s="2">
        <v>29.36</v>
      </c>
      <c r="E16" s="2">
        <v>0</v>
      </c>
      <c r="F16" s="2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O18" s="81">
        <v>1.1000000000000001</v>
      </c>
      <c r="P18" s="81">
        <f>O18*$Q$4</f>
        <v>32.295999999999999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32.002400000000002</v>
      </c>
    </row>
    <row r="20" spans="1:21" x14ac:dyDescent="0.25">
      <c r="O20" s="81">
        <v>1.08</v>
      </c>
      <c r="P20" s="81">
        <f t="shared" si="2"/>
        <v>31.7088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31.415200000000002</v>
      </c>
    </row>
    <row r="22" spans="1:21" x14ac:dyDescent="0.25">
      <c r="O22" s="81">
        <v>1.06</v>
      </c>
      <c r="P22" s="81">
        <f t="shared" si="2"/>
        <v>31.121600000000001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30.827999999999999</v>
      </c>
    </row>
    <row r="24" spans="1:21" x14ac:dyDescent="0.25">
      <c r="O24" s="81">
        <v>1.04</v>
      </c>
      <c r="P24" s="81">
        <f t="shared" si="2"/>
        <v>30.534400000000002</v>
      </c>
      <c r="T24" s="1">
        <v>43383</v>
      </c>
      <c r="U24" t="s">
        <v>1288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1400</v>
      </c>
      <c r="I25" s="18"/>
      <c r="J25" s="18"/>
      <c r="K25" s="18">
        <f>SUM(K2:K24)</f>
        <v>46517.359999999993</v>
      </c>
      <c r="L25" s="14"/>
      <c r="M25" s="18">
        <f>SUM(M2:M10)</f>
        <v>400</v>
      </c>
      <c r="O25" s="81">
        <v>1.03</v>
      </c>
      <c r="P25" s="81">
        <f t="shared" si="2"/>
        <v>30.2408</v>
      </c>
    </row>
    <row r="26" spans="1:21" ht="15.75" thickBot="1" x14ac:dyDescent="0.3">
      <c r="A26" s="277" t="s">
        <v>191</v>
      </c>
      <c r="B26" s="278"/>
      <c r="C26" s="279">
        <f>SumByColor($A$26,C2:C24)</f>
        <v>1200</v>
      </c>
      <c r="D26" s="279"/>
      <c r="E26" s="279"/>
      <c r="F26" s="280">
        <f>SumByColor($A$26,F2:F24)</f>
        <v>38011</v>
      </c>
      <c r="G26" s="279"/>
      <c r="H26" s="279">
        <f>SumByColor($A$26,H2:H24)</f>
        <v>1400</v>
      </c>
      <c r="I26" s="279"/>
      <c r="J26" s="279"/>
      <c r="K26" s="280">
        <f>SumByColor($A$26,K2:K24)</f>
        <v>46518</v>
      </c>
      <c r="L26" s="279"/>
      <c r="M26" s="280">
        <f>SumByColor($A$26,M2:M24)</f>
        <v>400</v>
      </c>
      <c r="O26" s="81">
        <v>1.02</v>
      </c>
      <c r="P26" s="81">
        <f t="shared" si="2"/>
        <v>29.947199999999999</v>
      </c>
    </row>
    <row r="27" spans="1:21" x14ac:dyDescent="0.25">
      <c r="O27" s="81">
        <v>1.01</v>
      </c>
      <c r="P27" s="81">
        <f t="shared" si="2"/>
        <v>29.653600000000001</v>
      </c>
      <c r="T27" s="1">
        <v>43397</v>
      </c>
      <c r="U27" t="s">
        <v>1305</v>
      </c>
    </row>
    <row r="28" spans="1:21" x14ac:dyDescent="0.25">
      <c r="O28" s="81">
        <v>1</v>
      </c>
      <c r="P28" s="81">
        <f t="shared" si="2"/>
        <v>29.36</v>
      </c>
      <c r="T28" s="1">
        <v>43399</v>
      </c>
      <c r="U28" t="s">
        <v>1304</v>
      </c>
    </row>
    <row r="29" spans="1:21" x14ac:dyDescent="0.25">
      <c r="O29" s="81">
        <v>0.99</v>
      </c>
      <c r="P29" s="81">
        <f t="shared" si="2"/>
        <v>29.066399999999998</v>
      </c>
    </row>
    <row r="30" spans="1:21" x14ac:dyDescent="0.25">
      <c r="O30" s="81">
        <v>0.98</v>
      </c>
      <c r="P30" s="81">
        <f t="shared" si="2"/>
        <v>28.7728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28.479199999999999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28.185599999999997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27.891999999999999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27.598399999999998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27.3048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27.011200000000002</v>
      </c>
      <c r="T36" s="156">
        <v>43440</v>
      </c>
      <c r="U36" t="s">
        <v>1296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26.717600000000001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26.423999999999999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4">
        <v>1200</v>
      </c>
      <c r="D45" s="775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4">
        <v>1200</v>
      </c>
      <c r="D52" s="775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1">
        <f t="shared" ref="F55:F72" si="6">C55*(E55-D55)</f>
        <v>3712.799999999997</v>
      </c>
      <c r="G55" s="39">
        <f t="shared" ref="G55:G72" si="7">D55*C55</f>
        <v>36367.200000000004</v>
      </c>
      <c r="H55" s="179">
        <f t="shared" ref="H55:H72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1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1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1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3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3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3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3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3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3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3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3" x14ac:dyDescent="0.25">
      <c r="A72" s="4">
        <v>1000</v>
      </c>
      <c r="B72" s="164">
        <v>43427</v>
      </c>
      <c r="C72" s="774">
        <v>1200</v>
      </c>
      <c r="D72" s="775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3" x14ac:dyDescent="0.25">
      <c r="A73" s="4"/>
      <c r="B73" s="164"/>
      <c r="C73" s="10"/>
      <c r="D73" s="39"/>
      <c r="E73" s="39"/>
      <c r="F73" s="39"/>
      <c r="G73" s="39"/>
      <c r="H73" s="179"/>
      <c r="I73" s="39"/>
      <c r="J73" s="39"/>
      <c r="K73" s="39"/>
      <c r="L73" s="39"/>
    </row>
    <row r="74" spans="1:13" x14ac:dyDescent="0.25">
      <c r="A74" s="4"/>
      <c r="B74" s="164"/>
      <c r="C74" s="10"/>
      <c r="D74" s="39"/>
      <c r="E74" s="39"/>
      <c r="F74" s="39"/>
      <c r="G74" s="39"/>
      <c r="H74" s="179"/>
      <c r="I74" s="39"/>
      <c r="J74" s="39"/>
      <c r="K74" s="39"/>
      <c r="L74" s="39"/>
    </row>
    <row r="75" spans="1:13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3" x14ac:dyDescent="0.25">
      <c r="A76" s="4"/>
      <c r="B76" s="72"/>
      <c r="C76" s="4"/>
      <c r="D76" s="3"/>
      <c r="E76" s="3"/>
      <c r="F76" s="3"/>
      <c r="G76" s="3"/>
      <c r="H76" s="216"/>
      <c r="I76" s="3"/>
      <c r="J76" s="3"/>
      <c r="K76" s="3"/>
      <c r="L76" s="4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491"/>
      <c r="B79" s="491"/>
      <c r="C79" s="491"/>
      <c r="D79" s="492"/>
      <c r="E79" s="492"/>
      <c r="F79" s="492"/>
      <c r="G79" s="491"/>
      <c r="H79" s="491"/>
      <c r="I79" s="492"/>
      <c r="J79" s="492"/>
      <c r="K79" s="492"/>
      <c r="L79" s="491" t="s">
        <v>65</v>
      </c>
      <c r="M79" s="492">
        <f>M97+K97-F97</f>
        <v>0</v>
      </c>
    </row>
    <row r="80" spans="1:13" x14ac:dyDescent="0.25">
      <c r="A80" s="610" t="s">
        <v>1</v>
      </c>
      <c r="B80" s="610" t="s">
        <v>2</v>
      </c>
      <c r="C80" s="610" t="s">
        <v>4</v>
      </c>
      <c r="D80" s="611" t="s">
        <v>5</v>
      </c>
      <c r="E80" s="611" t="s">
        <v>94</v>
      </c>
      <c r="F80" s="611" t="s">
        <v>60</v>
      </c>
      <c r="G80" s="610" t="s">
        <v>3</v>
      </c>
      <c r="H80" s="610" t="s">
        <v>6</v>
      </c>
      <c r="I80" s="611" t="s">
        <v>7</v>
      </c>
      <c r="J80" s="611" t="s">
        <v>95</v>
      </c>
      <c r="K80" s="611" t="s">
        <v>61</v>
      </c>
      <c r="L80" s="610" t="s">
        <v>37</v>
      </c>
      <c r="M80" s="610" t="s">
        <v>38</v>
      </c>
    </row>
    <row r="81" spans="1:13" x14ac:dyDescent="0.25">
      <c r="A81" s="612" t="s">
        <v>896</v>
      </c>
      <c r="B81" s="494"/>
      <c r="C81" s="491"/>
      <c r="D81" s="492"/>
      <c r="E81" s="492"/>
      <c r="F81" s="492"/>
      <c r="G81" s="494"/>
      <c r="H81" s="491"/>
      <c r="I81" s="492"/>
      <c r="J81" s="492"/>
      <c r="K81" s="492"/>
      <c r="L81" s="494"/>
      <c r="M81" s="492"/>
    </row>
    <row r="82" spans="1:13" x14ac:dyDescent="0.25">
      <c r="A82" s="613"/>
      <c r="B82" s="494"/>
      <c r="C82" s="491"/>
      <c r="D82" s="492"/>
      <c r="E82" s="492"/>
      <c r="F82" s="492"/>
      <c r="G82" s="494"/>
      <c r="H82" s="493"/>
      <c r="I82" s="492"/>
      <c r="J82" s="492"/>
      <c r="K82" s="492"/>
      <c r="L82" s="491"/>
      <c r="M82" s="491"/>
    </row>
    <row r="83" spans="1:13" x14ac:dyDescent="0.25">
      <c r="A83" s="491"/>
      <c r="B83" s="494"/>
      <c r="C83" s="491"/>
      <c r="D83" s="492"/>
      <c r="E83" s="492"/>
      <c r="F83" s="492"/>
      <c r="G83" s="494"/>
      <c r="H83" s="493"/>
      <c r="I83" s="492"/>
      <c r="J83" s="492"/>
      <c r="K83" s="492"/>
      <c r="L83" s="491"/>
      <c r="M83" s="491"/>
    </row>
    <row r="84" spans="1:13" x14ac:dyDescent="0.25">
      <c r="A84" s="491"/>
      <c r="B84" s="494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4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3"/>
      <c r="I89" s="492"/>
      <c r="J89" s="492"/>
      <c r="K89" s="492"/>
      <c r="L89" s="491"/>
      <c r="M89" s="491"/>
    </row>
    <row r="90" spans="1:13" x14ac:dyDescent="0.25">
      <c r="A90" s="491"/>
      <c r="B90" s="491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1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1"/>
      <c r="I96" s="492"/>
      <c r="J96" s="492"/>
      <c r="K96" s="492"/>
      <c r="L96" s="491"/>
      <c r="M96" s="491"/>
    </row>
    <row r="97" spans="1:13" x14ac:dyDescent="0.25">
      <c r="A97" s="614" t="s">
        <v>81</v>
      </c>
      <c r="B97" s="615"/>
      <c r="C97" s="615">
        <f>SUM(C81:C85)</f>
        <v>0</v>
      </c>
      <c r="D97" s="616"/>
      <c r="E97" s="616"/>
      <c r="F97" s="616">
        <f>SUM(F81:F85)</f>
        <v>0</v>
      </c>
      <c r="G97" s="615"/>
      <c r="H97" s="617">
        <f>SUM(H81:H84)</f>
        <v>0</v>
      </c>
      <c r="I97" s="616"/>
      <c r="J97" s="616"/>
      <c r="K97" s="616">
        <f>SUM(K81:K84)</f>
        <v>0</v>
      </c>
      <c r="L97" s="615"/>
      <c r="M97" s="616">
        <f>SUM(M81:M89)</f>
        <v>0</v>
      </c>
    </row>
    <row r="98" spans="1:13" ht="15.75" thickBot="1" x14ac:dyDescent="0.3">
      <c r="A98" s="618" t="s">
        <v>191</v>
      </c>
      <c r="B98" s="650"/>
      <c r="C98" s="619">
        <f>SumByColor($A$26,C81:C96)</f>
        <v>0</v>
      </c>
      <c r="D98" s="619"/>
      <c r="E98" s="619"/>
      <c r="F98" s="620">
        <f>SumByColor($A$26,F81:F96)</f>
        <v>0</v>
      </c>
      <c r="G98" s="619"/>
      <c r="H98" s="619">
        <f>SumByColor($A$26,H81:H96)</f>
        <v>0</v>
      </c>
      <c r="I98" s="619"/>
      <c r="J98" s="619"/>
      <c r="K98" s="620">
        <f>SumByColor($A$26,K82:K96)</f>
        <v>0</v>
      </c>
      <c r="L98" s="619"/>
      <c r="M98" s="620">
        <f>SumByColor($A$26,M81:M96)</f>
        <v>0</v>
      </c>
    </row>
    <row r="101" spans="1:13" x14ac:dyDescent="0.25">
      <c r="B101" s="162" t="s">
        <v>113</v>
      </c>
      <c r="C101" s="162" t="s">
        <v>145</v>
      </c>
      <c r="D101" s="163" t="s">
        <v>144</v>
      </c>
      <c r="E101" s="165" t="s">
        <v>146</v>
      </c>
      <c r="F101" s="165" t="s">
        <v>65</v>
      </c>
      <c r="G101" s="177" t="s">
        <v>150</v>
      </c>
      <c r="H101" s="177" t="s">
        <v>88</v>
      </c>
      <c r="I101" s="177" t="s">
        <v>153</v>
      </c>
      <c r="J101" s="177"/>
      <c r="K101" s="177" t="s">
        <v>646</v>
      </c>
      <c r="L101" s="177" t="s">
        <v>652</v>
      </c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1:13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1:13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1:13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1:13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155"/>
    </row>
    <row r="107" spans="1:13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155"/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155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155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39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</sheetData>
  <mergeCells count="2">
    <mergeCell ref="O17:P17"/>
    <mergeCell ref="A12:A14"/>
  </mergeCells>
  <conditionalFormatting sqref="O18:O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:H76 F73:F76">
    <cfRule type="expression" dxfId="1678" priority="37">
      <formula>F37&gt;0</formula>
    </cfRule>
    <cfRule type="expression" dxfId="1677" priority="38">
      <formula>F37&lt;0</formula>
    </cfRule>
  </conditionalFormatting>
  <conditionalFormatting sqref="Q7">
    <cfRule type="expression" dxfId="1676" priority="35">
      <formula>Q7&gt;0</formula>
    </cfRule>
    <cfRule type="expression" dxfId="1675" priority="36">
      <formula>Q7&lt;0</formula>
    </cfRule>
  </conditionalFormatting>
  <conditionalFormatting sqref="Q8">
    <cfRule type="expression" dxfId="1674" priority="33">
      <formula>Q8&gt;0</formula>
    </cfRule>
    <cfRule type="expression" dxfId="1673" priority="34">
      <formula>Q8&lt;0</formula>
    </cfRule>
  </conditionalFormatting>
  <conditionalFormatting sqref="Q10">
    <cfRule type="expression" dxfId="1672" priority="27">
      <formula>Q10&gt;0</formula>
    </cfRule>
    <cfRule type="expression" dxfId="1671" priority="28">
      <formula>Q10&lt;0</formula>
    </cfRule>
  </conditionalFormatting>
  <conditionalFormatting sqref="J32:J45">
    <cfRule type="expression" dxfId="1670" priority="25">
      <formula>J32&gt;0</formula>
    </cfRule>
    <cfRule type="expression" dxfId="1669" priority="26">
      <formula>J32&lt;0</formula>
    </cfRule>
  </conditionalFormatting>
  <conditionalFormatting sqref="K32:K45">
    <cfRule type="expression" dxfId="1668" priority="23">
      <formula>K32&gt;0</formula>
    </cfRule>
    <cfRule type="expression" dxfId="1667" priority="24">
      <formula>K32&lt;0</formula>
    </cfRule>
  </conditionalFormatting>
  <conditionalFormatting sqref="L32:L40">
    <cfRule type="expression" dxfId="1666" priority="21">
      <formula>L32&gt;0</formula>
    </cfRule>
    <cfRule type="expression" dxfId="1665" priority="22">
      <formula>L32&lt;0</formula>
    </cfRule>
  </conditionalFormatting>
  <conditionalFormatting sqref="F102:F123">
    <cfRule type="expression" dxfId="1664" priority="19">
      <formula>F102&gt;0</formula>
    </cfRule>
    <cfRule type="expression" dxfId="1663" priority="20">
      <formula>F102&lt;0</formula>
    </cfRule>
  </conditionalFormatting>
  <conditionalFormatting sqref="H102:H123">
    <cfRule type="expression" dxfId="1662" priority="17">
      <formula>H102&gt;0</formula>
    </cfRule>
    <cfRule type="expression" dxfId="1661" priority="18">
      <formula>H102&lt;0</formula>
    </cfRule>
  </conditionalFormatting>
  <conditionalFormatting sqref="J102:J115">
    <cfRule type="expression" dxfId="1660" priority="15">
      <formula>J102&gt;0</formula>
    </cfRule>
    <cfRule type="expression" dxfId="1659" priority="16">
      <formula>J102&lt;0</formula>
    </cfRule>
  </conditionalFormatting>
  <conditionalFormatting sqref="K102:K115">
    <cfRule type="expression" dxfId="1658" priority="13">
      <formula>K102&gt;0</formula>
    </cfRule>
    <cfRule type="expression" dxfId="1657" priority="14">
      <formula>K102&lt;0</formula>
    </cfRule>
  </conditionalFormatting>
  <conditionalFormatting sqref="L102:L115">
    <cfRule type="expression" dxfId="1656" priority="11">
      <formula>L102&gt;0</formula>
    </cfRule>
    <cfRule type="expression" dxfId="1655" priority="12">
      <formula>L102&lt;0</formula>
    </cfRule>
  </conditionalFormatting>
  <conditionalFormatting sqref="F32:F36">
    <cfRule type="expression" dxfId="1654" priority="9">
      <formula>F32&gt;0</formula>
    </cfRule>
    <cfRule type="expression" dxfId="1653" priority="10">
      <formula>F32&lt;0</formula>
    </cfRule>
  </conditionalFormatting>
  <conditionalFormatting sqref="H32:H36">
    <cfRule type="expression" dxfId="1652" priority="7">
      <formula>H32&gt;0</formula>
    </cfRule>
    <cfRule type="expression" dxfId="1651" priority="8">
      <formula>H32&lt;0</formula>
    </cfRule>
  </conditionalFormatting>
  <conditionalFormatting sqref="Q9">
    <cfRule type="expression" dxfId="1650" priority="5">
      <formula>Q9&gt;0</formula>
    </cfRule>
    <cfRule type="expression" dxfId="1649" priority="6">
      <formula>Q9&lt;0</formula>
    </cfRule>
  </conditionalFormatting>
  <conditionalFormatting sqref="H67:H69 F67:F69">
    <cfRule type="expression" dxfId="1648" priority="3">
      <formula>F67&gt;0</formula>
    </cfRule>
    <cfRule type="expression" dxfId="1647" priority="4">
      <formula>F67&lt;0</formula>
    </cfRule>
  </conditionalFormatting>
  <conditionalFormatting sqref="H70:H72 F70:F72">
    <cfRule type="expression" dxfId="1646" priority="1">
      <formula>F70&gt;0</formula>
    </cfRule>
    <cfRule type="expression" dxfId="1645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9" t="s">
        <v>78</v>
      </c>
      <c r="P24" s="879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44" priority="24">
      <formula>F51&gt;0</formula>
    </cfRule>
    <cfRule type="expression" dxfId="1643" priority="25">
      <formula>F51&lt;0</formula>
    </cfRule>
  </conditionalFormatting>
  <conditionalFormatting sqref="Q7">
    <cfRule type="expression" dxfId="1642" priority="22">
      <formula>Q7&gt;0</formula>
    </cfRule>
    <cfRule type="expression" dxfId="1641" priority="23">
      <formula>Q7&lt;0</formula>
    </cfRule>
  </conditionalFormatting>
  <conditionalFormatting sqref="Q8">
    <cfRule type="expression" dxfId="1640" priority="20">
      <formula>Q8&gt;0</formula>
    </cfRule>
    <cfRule type="expression" dxfId="1639" priority="21">
      <formula>Q8&lt;0</formula>
    </cfRule>
  </conditionalFormatting>
  <conditionalFormatting sqref="F25:F50">
    <cfRule type="expression" dxfId="1638" priority="18">
      <formula>F25&gt;0</formula>
    </cfRule>
    <cfRule type="expression" dxfId="1637" priority="19">
      <formula>F25&lt;0</formula>
    </cfRule>
  </conditionalFormatting>
  <conditionalFormatting sqref="H25:H50">
    <cfRule type="expression" dxfId="1636" priority="16">
      <formula>H25&gt;0</formula>
    </cfRule>
    <cfRule type="expression" dxfId="1635" priority="17">
      <formula>H25&lt;0</formula>
    </cfRule>
  </conditionalFormatting>
  <conditionalFormatting sqref="F89:F110">
    <cfRule type="expression" dxfId="1634" priority="14">
      <formula>F89&gt;0</formula>
    </cfRule>
    <cfRule type="expression" dxfId="1633" priority="15">
      <formula>F89&lt;0</formula>
    </cfRule>
  </conditionalFormatting>
  <conditionalFormatting sqref="H89:H110">
    <cfRule type="expression" dxfId="1632" priority="12">
      <formula>H89&gt;0</formula>
    </cfRule>
    <cfRule type="expression" dxfId="1631" priority="13">
      <formula>H89&lt;0</formula>
    </cfRule>
  </conditionalFormatting>
  <conditionalFormatting sqref="Q10">
    <cfRule type="expression" dxfId="1630" priority="10">
      <formula>Q10&gt;0</formula>
    </cfRule>
    <cfRule type="expression" dxfId="1629" priority="11">
      <formula>Q10&lt;0</formula>
    </cfRule>
  </conditionalFormatting>
  <conditionalFormatting sqref="J25:J39">
    <cfRule type="expression" dxfId="1628" priority="8">
      <formula>J25&gt;0</formula>
    </cfRule>
    <cfRule type="expression" dxfId="1627" priority="9">
      <formula>J25&lt;0</formula>
    </cfRule>
  </conditionalFormatting>
  <conditionalFormatting sqref="K25:K38">
    <cfRule type="expression" dxfId="1626" priority="6">
      <formula>K25&gt;0</formula>
    </cfRule>
    <cfRule type="expression" dxfId="1625" priority="7">
      <formula>K25&lt;0</formula>
    </cfRule>
  </conditionalFormatting>
  <conditionalFormatting sqref="L25:L38">
    <cfRule type="expression" dxfId="1624" priority="4">
      <formula>L25&gt;0</formula>
    </cfRule>
    <cfRule type="expression" dxfId="162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22" priority="1">
      <formula>J40&gt;0</formula>
    </cfRule>
    <cfRule type="expression" dxfId="162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20" priority="74">
      <formula>F12&gt;0</formula>
    </cfRule>
    <cfRule type="expression" dxfId="161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18" priority="67">
      <formula>F124&gt;0</formula>
    </cfRule>
    <cfRule type="expression" dxfId="1617" priority="68">
      <formula>F124&lt;0</formula>
    </cfRule>
  </conditionalFormatting>
  <conditionalFormatting sqref="H124:H130">
    <cfRule type="expression" dxfId="1616" priority="55">
      <formula>H124&gt;0</formula>
    </cfRule>
    <cfRule type="expression" dxfId="1615" priority="56">
      <formula>H124&lt;0</formula>
    </cfRule>
  </conditionalFormatting>
  <conditionalFormatting sqref="H131">
    <cfRule type="expression" dxfId="1614" priority="53">
      <formula>H131&gt;0</formula>
    </cfRule>
    <cfRule type="expression" dxfId="1613" priority="54">
      <formula>H131&lt;0</formula>
    </cfRule>
  </conditionalFormatting>
  <conditionalFormatting sqref="H132">
    <cfRule type="expression" dxfId="1612" priority="51">
      <formula>H132&gt;0</formula>
    </cfRule>
    <cfRule type="expression" dxfId="1611" priority="52">
      <formula>H132&lt;0</formula>
    </cfRule>
  </conditionalFormatting>
  <conditionalFormatting sqref="H133:H135">
    <cfRule type="expression" dxfId="1610" priority="49">
      <formula>H133&gt;0</formula>
    </cfRule>
    <cfRule type="expression" dxfId="1609" priority="50">
      <formula>H133&lt;0</formula>
    </cfRule>
  </conditionalFormatting>
  <conditionalFormatting sqref="H136">
    <cfRule type="expression" dxfId="1608" priority="45">
      <formula>H136&gt;0</formula>
    </cfRule>
    <cfRule type="expression" dxfId="1607" priority="46">
      <formula>H136&lt;0</formula>
    </cfRule>
  </conditionalFormatting>
  <conditionalFormatting sqref="Q7">
    <cfRule type="expression" dxfId="1606" priority="39">
      <formula>Q7&gt;0</formula>
    </cfRule>
    <cfRule type="expression" dxfId="1605" priority="40">
      <formula>Q7&lt;0</formula>
    </cfRule>
  </conditionalFormatting>
  <conditionalFormatting sqref="Q8">
    <cfRule type="expression" dxfId="1604" priority="37">
      <formula>Q8&gt;0</formula>
    </cfRule>
    <cfRule type="expression" dxfId="1603" priority="38">
      <formula>Q8&lt;0</formula>
    </cfRule>
  </conditionalFormatting>
  <conditionalFormatting sqref="F167:F178 H167:H178">
    <cfRule type="expression" dxfId="1602" priority="35">
      <formula>F167&gt;0</formula>
    </cfRule>
    <cfRule type="expression" dxfId="1601" priority="36">
      <formula>F167&lt;0</formula>
    </cfRule>
  </conditionalFormatting>
  <conditionalFormatting sqref="F183:F197 H183:H197">
    <cfRule type="expression" dxfId="1600" priority="33">
      <formula>F183&gt;0</formula>
    </cfRule>
    <cfRule type="expression" dxfId="1599" priority="34">
      <formula>F183&lt;0</formula>
    </cfRule>
  </conditionalFormatting>
  <conditionalFormatting sqref="F198:F206 H198:H206">
    <cfRule type="expression" dxfId="1598" priority="31">
      <formula>F198&gt;0</formula>
    </cfRule>
    <cfRule type="expression" dxfId="1597" priority="32">
      <formula>F198&lt;0</formula>
    </cfRule>
  </conditionalFormatting>
  <conditionalFormatting sqref="F141:F147 H141:H147">
    <cfRule type="expression" dxfId="1596" priority="29">
      <formula>F141&gt;0</formula>
    </cfRule>
    <cfRule type="expression" dxfId="1595" priority="30">
      <formula>F141&lt;0</formula>
    </cfRule>
  </conditionalFormatting>
  <conditionalFormatting sqref="H149:H152 F149:F152">
    <cfRule type="expression" dxfId="1594" priority="27">
      <formula>F149&gt;0</formula>
    </cfRule>
    <cfRule type="expression" dxfId="1593" priority="28">
      <formula>F149&lt;0</formula>
    </cfRule>
  </conditionalFormatting>
  <conditionalFormatting sqref="F226 H215:H218 H257:H260 F257:F260 H226 H231:H233 F231:F233 F235:F244 H235:H244">
    <cfRule type="expression" dxfId="1592" priority="25">
      <formula>F215&gt;0</formula>
    </cfRule>
    <cfRule type="expression" dxfId="1591" priority="26">
      <formula>F215&lt;0</formula>
    </cfRule>
  </conditionalFormatting>
  <conditionalFormatting sqref="F207:F218">
    <cfRule type="expression" dxfId="1590" priority="23">
      <formula>F207&gt;0</formula>
    </cfRule>
    <cfRule type="expression" dxfId="1589" priority="24">
      <formula>F207&lt;0</formula>
    </cfRule>
  </conditionalFormatting>
  <conditionalFormatting sqref="H207:H208">
    <cfRule type="expression" dxfId="1588" priority="21">
      <formula>H207&gt;0</formula>
    </cfRule>
    <cfRule type="expression" dxfId="1587" priority="22">
      <formula>H207&lt;0</formula>
    </cfRule>
  </conditionalFormatting>
  <conditionalFormatting sqref="H209">
    <cfRule type="expression" dxfId="1586" priority="19">
      <formula>H209&gt;0</formula>
    </cfRule>
    <cfRule type="expression" dxfId="1585" priority="20">
      <formula>H209&lt;0</formula>
    </cfRule>
  </conditionalFormatting>
  <conditionalFormatting sqref="H210">
    <cfRule type="expression" dxfId="1584" priority="17">
      <formula>H210&gt;0</formula>
    </cfRule>
    <cfRule type="expression" dxfId="1583" priority="18">
      <formula>H210&lt;0</formula>
    </cfRule>
  </conditionalFormatting>
  <conditionalFormatting sqref="H211:H213">
    <cfRule type="expression" dxfId="1582" priority="15">
      <formula>H211&gt;0</formula>
    </cfRule>
    <cfRule type="expression" dxfId="1581" priority="16">
      <formula>H211&lt;0</formula>
    </cfRule>
  </conditionalFormatting>
  <conditionalFormatting sqref="H214">
    <cfRule type="expression" dxfId="1580" priority="13">
      <formula>H214&gt;0</formula>
    </cfRule>
    <cfRule type="expression" dxfId="1579" priority="14">
      <formula>H214&lt;0</formula>
    </cfRule>
  </conditionalFormatting>
  <conditionalFormatting sqref="F245:F256 H245:H256">
    <cfRule type="expression" dxfId="1578" priority="11">
      <formula>F245&gt;0</formula>
    </cfRule>
    <cfRule type="expression" dxfId="1577" priority="12">
      <formula>F245&lt;0</formula>
    </cfRule>
  </conditionalFormatting>
  <conditionalFormatting sqref="F261:F275 H261:H275">
    <cfRule type="expression" dxfId="1576" priority="9">
      <formula>F261&gt;0</formula>
    </cfRule>
    <cfRule type="expression" dxfId="1575" priority="10">
      <formula>F261&lt;0</formula>
    </cfRule>
  </conditionalFormatting>
  <conditionalFormatting sqref="F276:F283 H276:H283">
    <cfRule type="expression" dxfId="1574" priority="7">
      <formula>F276&gt;0</formula>
    </cfRule>
    <cfRule type="expression" dxfId="1573" priority="8">
      <formula>F276&lt;0</formula>
    </cfRule>
  </conditionalFormatting>
  <conditionalFormatting sqref="F219:F225 H219:H225">
    <cfRule type="expression" dxfId="1572" priority="5">
      <formula>F219&gt;0</formula>
    </cfRule>
    <cfRule type="expression" dxfId="1571" priority="6">
      <formula>F219&lt;0</formula>
    </cfRule>
  </conditionalFormatting>
  <conditionalFormatting sqref="H227:H230 F227:F230">
    <cfRule type="expression" dxfId="1570" priority="3">
      <formula>F227&gt;0</formula>
    </cfRule>
    <cfRule type="expression" dxfId="1569" priority="4">
      <formula>F227&lt;0</formula>
    </cfRule>
  </conditionalFormatting>
  <conditionalFormatting sqref="H234 F234">
    <cfRule type="expression" dxfId="1568" priority="1">
      <formula>F234&gt;0</formula>
    </cfRule>
    <cfRule type="expression" dxfId="156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66" priority="43">
      <formula>F33&gt;0</formula>
    </cfRule>
    <cfRule type="expression" dxfId="1565" priority="44">
      <formula>F33&lt;0</formula>
    </cfRule>
  </conditionalFormatting>
  <conditionalFormatting sqref="Q7">
    <cfRule type="expression" dxfId="1564" priority="41">
      <formula>Q7&gt;0</formula>
    </cfRule>
    <cfRule type="expression" dxfId="1563" priority="42">
      <formula>Q7&lt;0</formula>
    </cfRule>
  </conditionalFormatting>
  <conditionalFormatting sqref="Q8">
    <cfRule type="expression" dxfId="1562" priority="39">
      <formula>Q8&gt;0</formula>
    </cfRule>
    <cfRule type="expression" dxfId="1561" priority="40">
      <formula>Q8&lt;0</formula>
    </cfRule>
  </conditionalFormatting>
  <conditionalFormatting sqref="F29 F32">
    <cfRule type="expression" dxfId="1560" priority="37">
      <formula>F29&gt;0</formula>
    </cfRule>
    <cfRule type="expression" dxfId="1559" priority="38">
      <formula>F29&lt;0</formula>
    </cfRule>
  </conditionalFormatting>
  <conditionalFormatting sqref="H29 H32">
    <cfRule type="expression" dxfId="1558" priority="35">
      <formula>H29&gt;0</formula>
    </cfRule>
    <cfRule type="expression" dxfId="1557" priority="36">
      <formula>H29&lt;0</formula>
    </cfRule>
  </conditionalFormatting>
  <conditionalFormatting sqref="F30:F31">
    <cfRule type="expression" dxfId="1556" priority="33">
      <formula>F30&gt;0</formula>
    </cfRule>
    <cfRule type="expression" dxfId="1555" priority="34">
      <formula>F30&lt;0</formula>
    </cfRule>
  </conditionalFormatting>
  <conditionalFormatting sqref="H30:H31">
    <cfRule type="expression" dxfId="1554" priority="31">
      <formula>H30&gt;0</formula>
    </cfRule>
    <cfRule type="expression" dxfId="1553" priority="32">
      <formula>H30&lt;0</formula>
    </cfRule>
  </conditionalFormatting>
  <conditionalFormatting sqref="F105:F140 H105:H140">
    <cfRule type="expression" dxfId="1552" priority="29">
      <formula>F105&gt;0</formula>
    </cfRule>
    <cfRule type="expression" dxfId="1551" priority="30">
      <formula>F105&lt;0</formula>
    </cfRule>
  </conditionalFormatting>
  <conditionalFormatting sqref="F96:F99">
    <cfRule type="expression" dxfId="1550" priority="27">
      <formula>F96&gt;0</formula>
    </cfRule>
    <cfRule type="expression" dxfId="1549" priority="28">
      <formula>F96&lt;0</formula>
    </cfRule>
  </conditionalFormatting>
  <conditionalFormatting sqref="H96:H99">
    <cfRule type="expression" dxfId="1548" priority="25">
      <formula>H96&gt;0</formula>
    </cfRule>
    <cfRule type="expression" dxfId="1547" priority="26">
      <formula>H96&lt;0</formula>
    </cfRule>
  </conditionalFormatting>
  <conditionalFormatting sqref="F25:F28">
    <cfRule type="expression" dxfId="1546" priority="19">
      <formula>F25&gt;0</formula>
    </cfRule>
    <cfRule type="expression" dxfId="1545" priority="20">
      <formula>F25&lt;0</formula>
    </cfRule>
  </conditionalFormatting>
  <conditionalFormatting sqref="H25:H28">
    <cfRule type="expression" dxfId="1544" priority="17">
      <formula>H25&gt;0</formula>
    </cfRule>
    <cfRule type="expression" dxfId="1543" priority="18">
      <formula>H25&lt;0</formula>
    </cfRule>
  </conditionalFormatting>
  <conditionalFormatting sqref="J27">
    <cfRule type="expression" dxfId="1542" priority="15">
      <formula>J27&gt;0</formula>
    </cfRule>
    <cfRule type="expression" dxfId="1541" priority="16">
      <formula>J27&lt;0</formula>
    </cfRule>
  </conditionalFormatting>
  <conditionalFormatting sqref="F104">
    <cfRule type="expression" dxfId="1540" priority="13">
      <formula>F104&gt;0</formula>
    </cfRule>
    <cfRule type="expression" dxfId="1539" priority="14">
      <formula>F104&lt;0</formula>
    </cfRule>
  </conditionalFormatting>
  <conditionalFormatting sqref="H104">
    <cfRule type="expression" dxfId="1538" priority="11">
      <formula>H104&gt;0</formula>
    </cfRule>
    <cfRule type="expression" dxfId="1537" priority="12">
      <formula>H104&lt;0</formula>
    </cfRule>
  </conditionalFormatting>
  <conditionalFormatting sqref="F100:F103">
    <cfRule type="expression" dxfId="1536" priority="9">
      <formula>F100&gt;0</formula>
    </cfRule>
    <cfRule type="expression" dxfId="1535" priority="10">
      <formula>F100&lt;0</formula>
    </cfRule>
  </conditionalFormatting>
  <conditionalFormatting sqref="H100:H103">
    <cfRule type="expression" dxfId="1534" priority="7">
      <formula>H100&gt;0</formula>
    </cfRule>
    <cfRule type="expression" dxfId="1533" priority="8">
      <formula>H100&lt;0</formula>
    </cfRule>
  </conditionalFormatting>
  <conditionalFormatting sqref="J102">
    <cfRule type="expression" dxfId="1532" priority="5">
      <formula>J102&gt;0</formula>
    </cfRule>
    <cfRule type="expression" dxfId="1531" priority="6">
      <formula>J102&lt;0</formula>
    </cfRule>
  </conditionalFormatting>
  <conditionalFormatting sqref="Q10">
    <cfRule type="expression" dxfId="1530" priority="3">
      <formula>Q10&gt;0</formula>
    </cfRule>
    <cfRule type="expression" dxfId="1529" priority="4">
      <formula>Q10&lt;0</formula>
    </cfRule>
  </conditionalFormatting>
  <conditionalFormatting sqref="M71">
    <cfRule type="expression" dxfId="1528" priority="1">
      <formula>M71&gt;0</formula>
    </cfRule>
    <cfRule type="expression" dxfId="152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26" priority="33">
      <formula>F34&gt;0</formula>
    </cfRule>
    <cfRule type="expression" dxfId="1525" priority="34">
      <formula>F34&lt;0</formula>
    </cfRule>
  </conditionalFormatting>
  <conditionalFormatting sqref="Q7">
    <cfRule type="expression" dxfId="1524" priority="31">
      <formula>Q7&gt;0</formula>
    </cfRule>
    <cfRule type="expression" dxfId="1523" priority="32">
      <formula>Q7&lt;0</formula>
    </cfRule>
  </conditionalFormatting>
  <conditionalFormatting sqref="Q8">
    <cfRule type="expression" dxfId="1522" priority="29">
      <formula>Q8&gt;0</formula>
    </cfRule>
    <cfRule type="expression" dxfId="1521" priority="30">
      <formula>Q8&lt;0</formula>
    </cfRule>
  </conditionalFormatting>
  <conditionalFormatting sqref="F27:F33">
    <cfRule type="expression" dxfId="1520" priority="27">
      <formula>F27&gt;0</formula>
    </cfRule>
    <cfRule type="expression" dxfId="1519" priority="28">
      <formula>F27&lt;0</formula>
    </cfRule>
  </conditionalFormatting>
  <conditionalFormatting sqref="H27:H33">
    <cfRule type="expression" dxfId="1518" priority="25">
      <formula>H27&gt;0</formula>
    </cfRule>
    <cfRule type="expression" dxfId="1517" priority="26">
      <formula>H27&lt;0</formula>
    </cfRule>
  </conditionalFormatting>
  <conditionalFormatting sqref="M46">
    <cfRule type="expression" dxfId="1516" priority="23">
      <formula>M46&gt;0</formula>
    </cfRule>
    <cfRule type="expression" dxfId="1515" priority="24">
      <formula>M46&lt;0</formula>
    </cfRule>
  </conditionalFormatting>
  <conditionalFormatting sqref="F79:F87 H79:H87">
    <cfRule type="expression" dxfId="1514" priority="21">
      <formula>F79&gt;0</formula>
    </cfRule>
    <cfRule type="expression" dxfId="1513" priority="22">
      <formula>F79&lt;0</formula>
    </cfRule>
  </conditionalFormatting>
  <conditionalFormatting sqref="F73 F77:F78">
    <cfRule type="expression" dxfId="1512" priority="19">
      <formula>F73&gt;0</formula>
    </cfRule>
    <cfRule type="expression" dxfId="1511" priority="20">
      <formula>F73&lt;0</formula>
    </cfRule>
  </conditionalFormatting>
  <conditionalFormatting sqref="H73 H77:H78">
    <cfRule type="expression" dxfId="1510" priority="17">
      <formula>H73&gt;0</formula>
    </cfRule>
    <cfRule type="expression" dxfId="1509" priority="18">
      <formula>H73&lt;0</formula>
    </cfRule>
  </conditionalFormatting>
  <conditionalFormatting sqref="F70:F72">
    <cfRule type="expression" dxfId="1508" priority="15">
      <formula>F70&gt;0</formula>
    </cfRule>
    <cfRule type="expression" dxfId="1507" priority="16">
      <formula>F70&lt;0</formula>
    </cfRule>
  </conditionalFormatting>
  <conditionalFormatting sqref="H70:H72">
    <cfRule type="expression" dxfId="1506" priority="13">
      <formula>H70&gt;0</formula>
    </cfRule>
    <cfRule type="expression" dxfId="1505" priority="14">
      <formula>H70&lt;0</formula>
    </cfRule>
  </conditionalFormatting>
  <conditionalFormatting sqref="F25:F26">
    <cfRule type="expression" dxfId="1504" priority="11">
      <formula>F25&gt;0</formula>
    </cfRule>
    <cfRule type="expression" dxfId="1503" priority="12">
      <formula>F25&lt;0</formula>
    </cfRule>
  </conditionalFormatting>
  <conditionalFormatting sqref="H25:H26">
    <cfRule type="expression" dxfId="1502" priority="9">
      <formula>H25&gt;0</formula>
    </cfRule>
    <cfRule type="expression" dxfId="1501" priority="10">
      <formula>H25&lt;0</formula>
    </cfRule>
  </conditionalFormatting>
  <conditionalFormatting sqref="F76">
    <cfRule type="expression" dxfId="1500" priority="7">
      <formula>F76&gt;0</formula>
    </cfRule>
    <cfRule type="expression" dxfId="1499" priority="8">
      <formula>F76&lt;0</formula>
    </cfRule>
  </conditionalFormatting>
  <conditionalFormatting sqref="H76">
    <cfRule type="expression" dxfId="1498" priority="5">
      <formula>H76&gt;0</formula>
    </cfRule>
    <cfRule type="expression" dxfId="1497" priority="6">
      <formula>H76&lt;0</formula>
    </cfRule>
  </conditionalFormatting>
  <conditionalFormatting sqref="F74:F75">
    <cfRule type="expression" dxfId="1496" priority="3">
      <formula>F74&gt;0</formula>
    </cfRule>
    <cfRule type="expression" dxfId="1495" priority="4">
      <formula>F74&lt;0</formula>
    </cfRule>
  </conditionalFormatting>
  <conditionalFormatting sqref="H74:H75">
    <cfRule type="expression" dxfId="1494" priority="1">
      <formula>H74&gt;0</formula>
    </cfRule>
    <cfRule type="expression" dxfId="149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1" si="1">H2*I2-J2</f>
        <v>4127.03</v>
      </c>
      <c r="L2" s="72">
        <v>43312</v>
      </c>
      <c r="M2" s="43">
        <v>15.13</v>
      </c>
      <c r="O2" s="11" t="s">
        <v>57</v>
      </c>
      <c r="Q2">
        <f>C21-H21</f>
        <v>100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155.43350000000012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159.2099</v>
      </c>
      <c r="R4" s="425">
        <v>-7.1999999999999998E-3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15920.99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15543.350000000013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377.63999999998668</v>
      </c>
      <c r="R7">
        <v>35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377.63999999998668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2.4295920763541087E-2</v>
      </c>
      <c r="T9" s="156"/>
    </row>
    <row r="10" spans="1:21" ht="15" customHeight="1" x14ac:dyDescent="0.25">
      <c r="A10" s="788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2" t="s">
        <v>1309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8.0397010487413163E-3</v>
      </c>
      <c r="R11">
        <v>0.32</v>
      </c>
    </row>
    <row r="12" spans="1:21" x14ac:dyDescent="0.25">
      <c r="A12" s="882"/>
      <c r="B12" s="407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2"/>
      <c r="B13" s="407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2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4">
        <v>20</v>
      </c>
      <c r="D17" s="2">
        <v>157.68</v>
      </c>
      <c r="E17" s="2">
        <v>0</v>
      </c>
      <c r="F17" s="2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SUM(H2:H12)</f>
        <v>200</v>
      </c>
      <c r="I21" s="18"/>
      <c r="J21" s="18"/>
      <c r="K21" s="18">
        <f>SUM(K2:K12)</f>
        <v>34299.419999999991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200</v>
      </c>
      <c r="D22" s="279"/>
      <c r="E22" s="279"/>
      <c r="F22" s="280">
        <f>SumByColor($A$22,F2:F20)</f>
        <v>33208</v>
      </c>
      <c r="G22" s="279"/>
      <c r="H22" s="279">
        <f>SumByColor($A$22,H2:H20)</f>
        <v>200</v>
      </c>
      <c r="I22" s="279"/>
      <c r="J22" s="279"/>
      <c r="K22" s="280">
        <f>SumByColor($A$22,K2:K20)</f>
        <v>34300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175.13089000000002</v>
      </c>
      <c r="Q23" s="2"/>
    </row>
    <row r="24" spans="1:17" x14ac:dyDescent="0.25">
      <c r="O24" s="81">
        <v>1.0900000000000001</v>
      </c>
      <c r="P24" s="81">
        <f t="shared" ref="P24:P43" si="2">O24*$Q$4</f>
        <v>173.53879100000003</v>
      </c>
      <c r="Q24" s="2"/>
    </row>
    <row r="25" spans="1:17" x14ac:dyDescent="0.25">
      <c r="O25" s="81">
        <v>1.08</v>
      </c>
      <c r="P25" s="81">
        <f t="shared" si="2"/>
        <v>171.94669200000001</v>
      </c>
      <c r="Q25" s="2"/>
    </row>
    <row r="26" spans="1:17" x14ac:dyDescent="0.25">
      <c r="O26" s="81">
        <v>1.07</v>
      </c>
      <c r="P26" s="81">
        <f t="shared" si="2"/>
        <v>170.35459300000002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168.762494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167.17039500000001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165.57829600000002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163.986197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162.39409800000001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160.801999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159.2099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157.61780100000001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156.025702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154.43360300000001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152.84150399999999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151.249405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149.65730600000001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148.06520700000002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146.47310800000002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144.88100900000001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143.28891000000002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7" si="9">C47*(E47-D47)</f>
        <v>1036.4549999999999</v>
      </c>
      <c r="G47" s="39">
        <f t="shared" ref="G47:G57" si="10">D47*C47</f>
        <v>1651.9949999999999</v>
      </c>
      <c r="H47" s="179">
        <f t="shared" ref="H47:H57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1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1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1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1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1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492" priority="51">
      <formula>F66&gt;0</formula>
    </cfRule>
    <cfRule type="expression" dxfId="1491" priority="52">
      <formula>F66&lt;0</formula>
    </cfRule>
  </conditionalFormatting>
  <conditionalFormatting sqref="Q7">
    <cfRule type="expression" dxfId="1490" priority="49">
      <formula>Q7&gt;0</formula>
    </cfRule>
    <cfRule type="expression" dxfId="1489" priority="50">
      <formula>Q7&lt;0</formula>
    </cfRule>
  </conditionalFormatting>
  <conditionalFormatting sqref="Q8">
    <cfRule type="expression" dxfId="1488" priority="47">
      <formula>Q8&gt;0</formula>
    </cfRule>
    <cfRule type="expression" dxfId="1487" priority="48">
      <formula>Q8&lt;0</formula>
    </cfRule>
  </conditionalFormatting>
  <conditionalFormatting sqref="F34:F46 F49:F65">
    <cfRule type="expression" dxfId="1486" priority="45">
      <formula>F34&gt;0</formula>
    </cfRule>
    <cfRule type="expression" dxfId="1485" priority="46">
      <formula>F34&lt;0</formula>
    </cfRule>
  </conditionalFormatting>
  <conditionalFormatting sqref="H34:H46 H49:H65">
    <cfRule type="expression" dxfId="1484" priority="43">
      <formula>H34&gt;0</formula>
    </cfRule>
    <cfRule type="expression" dxfId="1483" priority="44">
      <formula>H34&lt;0</formula>
    </cfRule>
  </conditionalFormatting>
  <conditionalFormatting sqref="Q10">
    <cfRule type="expression" dxfId="1482" priority="41">
      <formula>Q10&gt;0</formula>
    </cfRule>
    <cfRule type="expression" dxfId="1481" priority="42">
      <formula>Q10&lt;0</formula>
    </cfRule>
  </conditionalFormatting>
  <conditionalFormatting sqref="J28:J41">
    <cfRule type="expression" dxfId="1480" priority="39">
      <formula>J28&gt;0</formula>
    </cfRule>
    <cfRule type="expression" dxfId="1479" priority="40">
      <formula>J28&lt;0</formula>
    </cfRule>
  </conditionalFormatting>
  <conditionalFormatting sqref="K28:K41">
    <cfRule type="expression" dxfId="1478" priority="37">
      <formula>K28&gt;0</formula>
    </cfRule>
    <cfRule type="expression" dxfId="1477" priority="38">
      <formula>K28&lt;0</formula>
    </cfRule>
  </conditionalFormatting>
  <conditionalFormatting sqref="L28:L41">
    <cfRule type="expression" dxfId="1476" priority="35">
      <formula>L28&gt;0</formula>
    </cfRule>
    <cfRule type="expression" dxfId="1475" priority="36">
      <formula>L28&lt;0</formula>
    </cfRule>
  </conditionalFormatting>
  <conditionalFormatting sqref="F92:F113">
    <cfRule type="expression" dxfId="1474" priority="33">
      <formula>F92&gt;0</formula>
    </cfRule>
    <cfRule type="expression" dxfId="1473" priority="34">
      <formula>F92&lt;0</formula>
    </cfRule>
  </conditionalFormatting>
  <conditionalFormatting sqref="H92:H113">
    <cfRule type="expression" dxfId="1472" priority="31">
      <formula>H92&gt;0</formula>
    </cfRule>
    <cfRule type="expression" dxfId="1471" priority="32">
      <formula>H92&lt;0</formula>
    </cfRule>
  </conditionalFormatting>
  <conditionalFormatting sqref="J92:J105">
    <cfRule type="expression" dxfId="1470" priority="29">
      <formula>J92&gt;0</formula>
    </cfRule>
    <cfRule type="expression" dxfId="1469" priority="30">
      <formula>J92&lt;0</formula>
    </cfRule>
  </conditionalFormatting>
  <conditionalFormatting sqref="K92:K105">
    <cfRule type="expression" dxfId="1468" priority="27">
      <formula>K92&gt;0</formula>
    </cfRule>
    <cfRule type="expression" dxfId="1467" priority="28">
      <formula>K92&lt;0</formula>
    </cfRule>
  </conditionalFormatting>
  <conditionalFormatting sqref="L92:L105">
    <cfRule type="expression" dxfId="1466" priority="25">
      <formula>L92&gt;0</formula>
    </cfRule>
    <cfRule type="expression" dxfId="1465" priority="26">
      <formula>L92&lt;0</formula>
    </cfRule>
  </conditionalFormatting>
  <conditionalFormatting sqref="F28:F31">
    <cfRule type="expression" dxfId="1464" priority="23">
      <formula>F28&gt;0</formula>
    </cfRule>
    <cfRule type="expression" dxfId="1463" priority="24">
      <formula>F28&lt;0</formula>
    </cfRule>
  </conditionalFormatting>
  <conditionalFormatting sqref="H28:H31">
    <cfRule type="expression" dxfId="1462" priority="21">
      <formula>H28&gt;0</formula>
    </cfRule>
    <cfRule type="expression" dxfId="1461" priority="22">
      <formula>H28&lt;0</formula>
    </cfRule>
  </conditionalFormatting>
  <conditionalFormatting sqref="F32:F33">
    <cfRule type="expression" dxfId="1460" priority="17">
      <formula>F32&gt;0</formula>
    </cfRule>
    <cfRule type="expression" dxfId="1459" priority="18">
      <formula>F32&lt;0</formula>
    </cfRule>
  </conditionalFormatting>
  <conditionalFormatting sqref="H32:H33">
    <cfRule type="expression" dxfId="1458" priority="15">
      <formula>H32&gt;0</formula>
    </cfRule>
    <cfRule type="expression" dxfId="1457" priority="16">
      <formula>H32&lt;0</formula>
    </cfRule>
  </conditionalFormatting>
  <conditionalFormatting sqref="J48">
    <cfRule type="expression" dxfId="1456" priority="13">
      <formula>J48&gt;0</formula>
    </cfRule>
    <cfRule type="expression" dxfId="1455" priority="14">
      <formula>J48&lt;0</formula>
    </cfRule>
  </conditionalFormatting>
  <conditionalFormatting sqref="F47:F48">
    <cfRule type="expression" dxfId="1454" priority="11">
      <formula>F47&gt;0</formula>
    </cfRule>
    <cfRule type="expression" dxfId="1453" priority="12">
      <formula>F47&lt;0</formula>
    </cfRule>
  </conditionalFormatting>
  <conditionalFormatting sqref="H47:H48">
    <cfRule type="expression" dxfId="1452" priority="9">
      <formula>H47&gt;0</formula>
    </cfRule>
    <cfRule type="expression" dxfId="1451" priority="10">
      <formula>H47&lt;0</formula>
    </cfRule>
  </conditionalFormatting>
  <conditionalFormatting sqref="J49:J53">
    <cfRule type="expression" dxfId="1450" priority="7">
      <formula>J49&gt;0</formula>
    </cfRule>
    <cfRule type="expression" dxfId="1449" priority="8">
      <formula>J49&lt;0</formula>
    </cfRule>
  </conditionalFormatting>
  <conditionalFormatting sqref="J54">
    <cfRule type="expression" dxfId="1448" priority="5">
      <formula>J54&gt;0</formula>
    </cfRule>
    <cfRule type="expression" dxfId="1447" priority="6">
      <formula>J54&lt;0</formula>
    </cfRule>
  </conditionalFormatting>
  <conditionalFormatting sqref="J55:J56">
    <cfRule type="expression" dxfId="1446" priority="3">
      <formula>J55&gt;0</formula>
    </cfRule>
    <cfRule type="expression" dxfId="1445" priority="4">
      <formula>J55&lt;0</formula>
    </cfRule>
  </conditionalFormatting>
  <conditionalFormatting sqref="J57">
    <cfRule type="expression" dxfId="1444" priority="1">
      <formula>J57&gt;0</formula>
    </cfRule>
    <cfRule type="expression" dxfId="1443" priority="2">
      <formula>J57&lt;0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1284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9" t="s">
        <v>78</v>
      </c>
      <c r="P21" s="879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1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1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1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1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1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42" priority="33">
      <formula>F7&gt;0</formula>
    </cfRule>
    <cfRule type="expression" dxfId="1441" priority="34">
      <formula>F7&lt;0</formula>
    </cfRule>
  </conditionalFormatting>
  <conditionalFormatting sqref="Q8">
    <cfRule type="expression" dxfId="1440" priority="31">
      <formula>Q8&gt;0</formula>
    </cfRule>
    <cfRule type="expression" dxfId="1439" priority="32">
      <formula>Q8&lt;0</formula>
    </cfRule>
  </conditionalFormatting>
  <conditionalFormatting sqref="F114:F135">
    <cfRule type="expression" dxfId="1438" priority="25">
      <formula>F114&gt;0</formula>
    </cfRule>
    <cfRule type="expression" dxfId="1437" priority="26">
      <formula>F114&lt;0</formula>
    </cfRule>
  </conditionalFormatting>
  <conditionalFormatting sqref="H114:H135">
    <cfRule type="expression" dxfId="1436" priority="23">
      <formula>H114&gt;0</formula>
    </cfRule>
    <cfRule type="expression" dxfId="1435" priority="24">
      <formula>H114&lt;0</formula>
    </cfRule>
  </conditionalFormatting>
  <conditionalFormatting sqref="Q10">
    <cfRule type="expression" dxfId="1434" priority="21">
      <formula>Q10&gt;0</formula>
    </cfRule>
    <cfRule type="expression" dxfId="1433" priority="22">
      <formula>Q10&lt;0</formula>
    </cfRule>
  </conditionalFormatting>
  <conditionalFormatting sqref="J31:J44">
    <cfRule type="expression" dxfId="1432" priority="19">
      <formula>J31&gt;0</formula>
    </cfRule>
    <cfRule type="expression" dxfId="1431" priority="20">
      <formula>J31&lt;0</formula>
    </cfRule>
  </conditionalFormatting>
  <conditionalFormatting sqref="K31:K44">
    <cfRule type="expression" dxfId="1430" priority="17">
      <formula>K31&gt;0</formula>
    </cfRule>
    <cfRule type="expression" dxfId="1429" priority="18">
      <formula>K31&lt;0</formula>
    </cfRule>
  </conditionalFormatting>
  <conditionalFormatting sqref="L31:L35 L37:L44">
    <cfRule type="expression" dxfId="1428" priority="15">
      <formula>L31&gt;0</formula>
    </cfRule>
    <cfRule type="expression" dxfId="1427" priority="16">
      <formula>L31&lt;0</formula>
    </cfRule>
  </conditionalFormatting>
  <conditionalFormatting sqref="M31:M44">
    <cfRule type="expression" dxfId="1426" priority="13">
      <formula>M31&gt;0</formula>
    </cfRule>
    <cfRule type="expression" dxfId="1425" priority="14">
      <formula>M31&lt;0</formula>
    </cfRule>
  </conditionalFormatting>
  <conditionalFormatting sqref="F82 H82">
    <cfRule type="expression" dxfId="1424" priority="9">
      <formula>F82&gt;0</formula>
    </cfRule>
    <cfRule type="expression" dxfId="1423" priority="10">
      <formula>F82&lt;0</formula>
    </cfRule>
  </conditionalFormatting>
  <conditionalFormatting sqref="F75:F81 H75:H81">
    <cfRule type="expression" dxfId="1422" priority="7">
      <formula>F75&gt;0</formula>
    </cfRule>
    <cfRule type="expression" dxfId="1421" priority="8">
      <formula>F75&lt;0</formula>
    </cfRule>
  </conditionalFormatting>
  <conditionalFormatting sqref="F71:F74 H71:H74">
    <cfRule type="expression" dxfId="1420" priority="5">
      <formula>F71&gt;0</formula>
    </cfRule>
    <cfRule type="expression" dxfId="1419" priority="6">
      <formula>F71&lt;0</formula>
    </cfRule>
  </conditionalFormatting>
  <conditionalFormatting sqref="F86 H84:H86">
    <cfRule type="expression" dxfId="1418" priority="3">
      <formula>F84&gt;0</formula>
    </cfRule>
    <cfRule type="expression" dxfId="1417" priority="4">
      <formula>F84&lt;0</formula>
    </cfRule>
  </conditionalFormatting>
  <conditionalFormatting sqref="J86">
    <cfRule type="expression" dxfId="1416" priority="1">
      <formula>J86&gt;0</formula>
    </cfRule>
    <cfRule type="expression" dxfId="1415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4" priority="21">
      <formula>F47&gt;0</formula>
    </cfRule>
    <cfRule type="expression" dxfId="1413" priority="22">
      <formula>F47&lt;0</formula>
    </cfRule>
  </conditionalFormatting>
  <conditionalFormatting sqref="Q7">
    <cfRule type="expression" dxfId="1412" priority="19">
      <formula>Q7&gt;0</formula>
    </cfRule>
    <cfRule type="expression" dxfId="1411" priority="20">
      <formula>Q7&lt;0</formula>
    </cfRule>
  </conditionalFormatting>
  <conditionalFormatting sqref="Q8">
    <cfRule type="expression" dxfId="1410" priority="17">
      <formula>Q8&gt;0</formula>
    </cfRule>
    <cfRule type="expression" dxfId="1409" priority="18">
      <formula>Q8&lt;0</formula>
    </cfRule>
  </conditionalFormatting>
  <conditionalFormatting sqref="F25:F46">
    <cfRule type="expression" dxfId="1408" priority="15">
      <formula>F25&gt;0</formula>
    </cfRule>
    <cfRule type="expression" dxfId="1407" priority="16">
      <formula>F25&lt;0</formula>
    </cfRule>
  </conditionalFormatting>
  <conditionalFormatting sqref="H25:H46">
    <cfRule type="expression" dxfId="1406" priority="13">
      <formula>H25&gt;0</formula>
    </cfRule>
    <cfRule type="expression" dxfId="1405" priority="14">
      <formula>H25&lt;0</formula>
    </cfRule>
  </conditionalFormatting>
  <conditionalFormatting sqref="F89:F110">
    <cfRule type="expression" dxfId="1404" priority="11">
      <formula>F89&gt;0</formula>
    </cfRule>
    <cfRule type="expression" dxfId="1403" priority="12">
      <formula>F89&lt;0</formula>
    </cfRule>
  </conditionalFormatting>
  <conditionalFormatting sqref="H89:H110">
    <cfRule type="expression" dxfId="1402" priority="9">
      <formula>H89&gt;0</formula>
    </cfRule>
    <cfRule type="expression" dxfId="1401" priority="10">
      <formula>H89&lt;0</formula>
    </cfRule>
  </conditionalFormatting>
  <conditionalFormatting sqref="Q10">
    <cfRule type="expression" dxfId="1400" priority="7">
      <formula>Q10&gt;0</formula>
    </cfRule>
    <cfRule type="expression" dxfId="1399" priority="8">
      <formula>Q10&lt;0</formula>
    </cfRule>
  </conditionalFormatting>
  <conditionalFormatting sqref="J25:J38">
    <cfRule type="expression" dxfId="1398" priority="5">
      <formula>J25&gt;0</formula>
    </cfRule>
    <cfRule type="expression" dxfId="1397" priority="6">
      <formula>J25&lt;0</formula>
    </cfRule>
  </conditionalFormatting>
  <conditionalFormatting sqref="K25:K38">
    <cfRule type="expression" dxfId="1396" priority="3">
      <formula>K25&gt;0</formula>
    </cfRule>
    <cfRule type="expression" dxfId="1395" priority="4">
      <formula>K25&lt;0</formula>
    </cfRule>
  </conditionalFormatting>
  <conditionalFormatting sqref="L25:L38">
    <cfRule type="expression" dxfId="1394" priority="1">
      <formula>L25&gt;0</formula>
    </cfRule>
    <cfRule type="expression" dxfId="139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1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1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92" priority="43">
      <formula>F54&gt;0</formula>
    </cfRule>
    <cfRule type="expression" dxfId="1391" priority="44">
      <formula>F54&lt;0</formula>
    </cfRule>
  </conditionalFormatting>
  <conditionalFormatting sqref="Q7">
    <cfRule type="expression" dxfId="1390" priority="41">
      <formula>Q7&gt;0</formula>
    </cfRule>
    <cfRule type="expression" dxfId="1389" priority="42">
      <formula>Q7&lt;0</formula>
    </cfRule>
  </conditionalFormatting>
  <conditionalFormatting sqref="Q8">
    <cfRule type="expression" dxfId="1388" priority="39">
      <formula>Q8&gt;0</formula>
    </cfRule>
    <cfRule type="expression" dxfId="1387" priority="40">
      <formula>Q8&lt;0</formula>
    </cfRule>
  </conditionalFormatting>
  <conditionalFormatting sqref="F33:F36 F38:F53">
    <cfRule type="expression" dxfId="1386" priority="37">
      <formula>F33&gt;0</formula>
    </cfRule>
    <cfRule type="expression" dxfId="1385" priority="38">
      <formula>F33&lt;0</formula>
    </cfRule>
  </conditionalFormatting>
  <conditionalFormatting sqref="H33:H36 H38:H53">
    <cfRule type="expression" dxfId="1384" priority="35">
      <formula>H33&gt;0</formula>
    </cfRule>
    <cfRule type="expression" dxfId="1383" priority="36">
      <formula>H33&lt;0</formula>
    </cfRule>
  </conditionalFormatting>
  <conditionalFormatting sqref="Q10">
    <cfRule type="expression" dxfId="1382" priority="33">
      <formula>Q10&gt;0</formula>
    </cfRule>
    <cfRule type="expression" dxfId="1381" priority="34">
      <formula>Q10&lt;0</formula>
    </cfRule>
  </conditionalFormatting>
  <conditionalFormatting sqref="J25:J37">
    <cfRule type="expression" dxfId="1380" priority="31">
      <formula>J25&gt;0</formula>
    </cfRule>
    <cfRule type="expression" dxfId="1379" priority="32">
      <formula>J25&lt;0</formula>
    </cfRule>
  </conditionalFormatting>
  <conditionalFormatting sqref="K25:K38">
    <cfRule type="expression" dxfId="1378" priority="29">
      <formula>K25&gt;0</formula>
    </cfRule>
    <cfRule type="expression" dxfId="1377" priority="30">
      <formula>K25&lt;0</formula>
    </cfRule>
  </conditionalFormatting>
  <conditionalFormatting sqref="L25">
    <cfRule type="expression" dxfId="1376" priority="27">
      <formula>L25&gt;0</formula>
    </cfRule>
    <cfRule type="expression" dxfId="1375" priority="28">
      <formula>L25&lt;0</formula>
    </cfRule>
  </conditionalFormatting>
  <conditionalFormatting sqref="F89:F110">
    <cfRule type="expression" dxfId="1374" priority="25">
      <formula>F89&gt;0</formula>
    </cfRule>
    <cfRule type="expression" dxfId="1373" priority="26">
      <formula>F89&lt;0</formula>
    </cfRule>
  </conditionalFormatting>
  <conditionalFormatting sqref="H89:H110">
    <cfRule type="expression" dxfId="1372" priority="23">
      <formula>H89&gt;0</formula>
    </cfRule>
    <cfRule type="expression" dxfId="1371" priority="24">
      <formula>H89&lt;0</formula>
    </cfRule>
  </conditionalFormatting>
  <conditionalFormatting sqref="J89:J102">
    <cfRule type="expression" dxfId="1370" priority="21">
      <formula>J89&gt;0</formula>
    </cfRule>
    <cfRule type="expression" dxfId="1369" priority="22">
      <formula>J89&lt;0</formula>
    </cfRule>
  </conditionalFormatting>
  <conditionalFormatting sqref="K89:K102">
    <cfRule type="expression" dxfId="1368" priority="19">
      <formula>K89&gt;0</formula>
    </cfRule>
    <cfRule type="expression" dxfId="1367" priority="20">
      <formula>K89&lt;0</formula>
    </cfRule>
  </conditionalFormatting>
  <conditionalFormatting sqref="L89:L102">
    <cfRule type="expression" dxfId="1366" priority="17">
      <formula>L89&gt;0</formula>
    </cfRule>
    <cfRule type="expression" dxfId="1365" priority="18">
      <formula>L89&lt;0</formula>
    </cfRule>
  </conditionalFormatting>
  <conditionalFormatting sqref="F29:F32">
    <cfRule type="expression" dxfId="1364" priority="15">
      <formula>F29&gt;0</formula>
    </cfRule>
    <cfRule type="expression" dxfId="1363" priority="16">
      <formula>F29&lt;0</formula>
    </cfRule>
  </conditionalFormatting>
  <conditionalFormatting sqref="H29:H32">
    <cfRule type="expression" dxfId="1362" priority="13">
      <formula>H29&gt;0</formula>
    </cfRule>
    <cfRule type="expression" dxfId="1361" priority="14">
      <formula>H29&lt;0</formula>
    </cfRule>
  </conditionalFormatting>
  <conditionalFormatting sqref="F25:F28">
    <cfRule type="expression" dxfId="1360" priority="11">
      <formula>F25&gt;0</formula>
    </cfRule>
    <cfRule type="expression" dxfId="1359" priority="12">
      <formula>F25&lt;0</formula>
    </cfRule>
  </conditionalFormatting>
  <conditionalFormatting sqref="H25:H28">
    <cfRule type="expression" dxfId="1358" priority="9">
      <formula>H25&gt;0</formula>
    </cfRule>
    <cfRule type="expression" dxfId="1357" priority="10">
      <formula>H25&lt;0</formula>
    </cfRule>
  </conditionalFormatting>
  <conditionalFormatting sqref="F37">
    <cfRule type="expression" dxfId="1356" priority="7">
      <formula>F37&gt;0</formula>
    </cfRule>
    <cfRule type="expression" dxfId="1355" priority="8">
      <formula>F37&lt;0</formula>
    </cfRule>
  </conditionalFormatting>
  <conditionalFormatting sqref="H37">
    <cfRule type="expression" dxfId="1354" priority="5">
      <formula>H37&gt;0</formula>
    </cfRule>
    <cfRule type="expression" dxfId="1353" priority="6">
      <formula>H37&lt;0</formula>
    </cfRule>
  </conditionalFormatting>
  <conditionalFormatting sqref="J49">
    <cfRule type="expression" dxfId="1352" priority="3">
      <formula>J49&gt;0</formula>
    </cfRule>
    <cfRule type="expression" dxfId="1351" priority="4">
      <formula>J49&lt;0</formula>
    </cfRule>
  </conditionalFormatting>
  <conditionalFormatting sqref="J38:J48">
    <cfRule type="expression" dxfId="1350" priority="1">
      <formula>J38&gt;0</formula>
    </cfRule>
    <cfRule type="expression" dxfId="134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185.63566666666668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186.69990000000001</v>
      </c>
      <c r="R4" s="425">
        <v>1.5E-3</v>
      </c>
      <c r="T4" s="694"/>
      <c r="U4" s="30"/>
    </row>
    <row r="5" spans="1:21" x14ac:dyDescent="0.25">
      <c r="B5" s="407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11201.994000000001</v>
      </c>
    </row>
    <row r="6" spans="1:21" x14ac:dyDescent="0.25">
      <c r="B6" s="659">
        <v>43413</v>
      </c>
      <c r="C6" s="4">
        <v>30</v>
      </c>
      <c r="D6" s="3">
        <v>182.47</v>
      </c>
      <c r="E6" s="3">
        <v>0</v>
      </c>
      <c r="F6" s="3">
        <f>C6*D6+E6</f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11138.140000000001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63.85399999999936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63.85399999999936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5.7329141131283456E-3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1.0283883387189816E-2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21.6589211136891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80</v>
      </c>
      <c r="D19" s="279"/>
      <c r="E19" s="279"/>
      <c r="F19" s="280">
        <f>SumByColor($A$19,F2:F17)</f>
        <v>14674</v>
      </c>
      <c r="G19" s="279"/>
      <c r="H19" s="279">
        <f>SumByColor($A$19,H2:H17)</f>
        <v>80</v>
      </c>
      <c r="I19" s="279"/>
      <c r="J19" s="279"/>
      <c r="K19" s="280">
        <f>SumByColor($A$19,K2:K17)</f>
        <v>14969</v>
      </c>
      <c r="L19" s="279"/>
      <c r="M19" s="280">
        <f>SumByColor($A$19,M2:M17)</f>
        <v>0</v>
      </c>
    </row>
    <row r="21" spans="1:16" ht="20.25" thickBot="1" x14ac:dyDescent="0.35">
      <c r="O21" s="789" t="s">
        <v>78</v>
      </c>
      <c r="P21" s="789"/>
    </row>
    <row r="22" spans="1:16" ht="15.75" thickTop="1" x14ac:dyDescent="0.25">
      <c r="O22" s="81">
        <v>1.1000000000000001</v>
      </c>
      <c r="P22" s="81">
        <f>O22*$Q$4</f>
        <v>205.36989000000003</v>
      </c>
    </row>
    <row r="23" spans="1:16" x14ac:dyDescent="0.25">
      <c r="O23" s="81">
        <v>1.0900000000000001</v>
      </c>
      <c r="P23" s="81">
        <f t="shared" ref="P23:P42" si="0">O23*$Q$4</f>
        <v>203.50289100000003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0"/>
        <v>201.63589200000004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0"/>
        <v>199.76889300000002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0"/>
        <v>197.90189400000003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0"/>
        <v>196.03489500000003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179">
        <f t="shared" ref="H28:H40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194.16789600000001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179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192.30089700000002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179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190.43389800000003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179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188.56689900000001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1">
        <f t="shared" si="1"/>
        <v>267.10799999999949</v>
      </c>
      <c r="G32" s="39">
        <f t="shared" si="2"/>
        <v>11498.892</v>
      </c>
      <c r="H32" s="179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186.69990000000001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179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184.83290100000002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1">
        <f t="shared" si="1"/>
        <v>-939.00000000000034</v>
      </c>
      <c r="G34" s="39">
        <f t="shared" si="2"/>
        <v>11499</v>
      </c>
      <c r="H34" s="179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182.965902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1">
        <f t="shared" si="1"/>
        <v>-1324.0919999999994</v>
      </c>
      <c r="G35" s="39">
        <f t="shared" si="2"/>
        <v>11498.892</v>
      </c>
      <c r="H35" s="179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181.09890300000001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1">
        <f>C36*(E36-D36)</f>
        <v>-1426.0860000000011</v>
      </c>
      <c r="G36" s="39">
        <f>D36*C36</f>
        <v>16535.286</v>
      </c>
      <c r="H36" s="179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179.23190400000001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>C37*(E37-D37)</f>
        <v>-1291.1580000000008</v>
      </c>
      <c r="G37" s="39">
        <f>D37*C37</f>
        <v>11453.958000000001</v>
      </c>
      <c r="H37" s="179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177.36490499999999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>C38*(E38-D38)</f>
        <v>-80.999999999999659</v>
      </c>
      <c r="G38" s="39">
        <f>D38*C38</f>
        <v>11454</v>
      </c>
      <c r="H38" s="179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175.497906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>C39*(E39-D39)</f>
        <v>28.760999999999797</v>
      </c>
      <c r="G39" s="39">
        <f>D39*C39</f>
        <v>5664.0389999999998</v>
      </c>
      <c r="H39" s="179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173.63090700000004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>C40*(E40-D40)</f>
        <v>-80.742000000001326</v>
      </c>
      <c r="G40" s="39">
        <f>D40*C40</f>
        <v>11138.142000000002</v>
      </c>
      <c r="H40" s="179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171.76390800000001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0.91</v>
      </c>
      <c r="P41" s="81">
        <f t="shared" si="0"/>
        <v>169.89690900000002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</v>
      </c>
      <c r="P42" s="81">
        <f t="shared" si="0"/>
        <v>168.02991000000003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8" priority="35">
      <formula>F47&gt;0</formula>
    </cfRule>
    <cfRule type="expression" dxfId="1347" priority="36">
      <formula>F47&lt;0</formula>
    </cfRule>
  </conditionalFormatting>
  <conditionalFormatting sqref="Q7">
    <cfRule type="expression" dxfId="1346" priority="33">
      <formula>Q7&gt;0</formula>
    </cfRule>
    <cfRule type="expression" dxfId="1345" priority="34">
      <formula>Q7&lt;0</formula>
    </cfRule>
  </conditionalFormatting>
  <conditionalFormatting sqref="Q8">
    <cfRule type="expression" dxfId="1344" priority="31">
      <formula>Q8&gt;0</formula>
    </cfRule>
    <cfRule type="expression" dxfId="1343" priority="32">
      <formula>Q8&lt;0</formula>
    </cfRule>
  </conditionalFormatting>
  <conditionalFormatting sqref="F34:F46">
    <cfRule type="expression" dxfId="1342" priority="29">
      <formula>F34&gt;0</formula>
    </cfRule>
    <cfRule type="expression" dxfId="1341" priority="30">
      <formula>F34&lt;0</formula>
    </cfRule>
  </conditionalFormatting>
  <conditionalFormatting sqref="H34:H46">
    <cfRule type="expression" dxfId="1340" priority="27">
      <formula>H34&gt;0</formula>
    </cfRule>
    <cfRule type="expression" dxfId="1339" priority="28">
      <formula>H34&lt;0</formula>
    </cfRule>
  </conditionalFormatting>
  <conditionalFormatting sqref="Q10">
    <cfRule type="expression" dxfId="1338" priority="25">
      <formula>Q10&gt;0</formula>
    </cfRule>
    <cfRule type="expression" dxfId="1337" priority="26">
      <formula>Q10&lt;0</formula>
    </cfRule>
  </conditionalFormatting>
  <conditionalFormatting sqref="J25:J38">
    <cfRule type="expression" dxfId="1336" priority="23">
      <formula>J25&gt;0</formula>
    </cfRule>
    <cfRule type="expression" dxfId="1335" priority="24">
      <formula>J25&lt;0</formula>
    </cfRule>
  </conditionalFormatting>
  <conditionalFormatting sqref="K25:K29 K31:K38">
    <cfRule type="expression" dxfId="1334" priority="21">
      <formula>K25&gt;0</formula>
    </cfRule>
    <cfRule type="expression" dxfId="1333" priority="22">
      <formula>K25&lt;0</formula>
    </cfRule>
  </conditionalFormatting>
  <conditionalFormatting sqref="L25:L38">
    <cfRule type="expression" dxfId="1332" priority="19">
      <formula>L25&gt;0</formula>
    </cfRule>
    <cfRule type="expression" dxfId="1331" priority="20">
      <formula>L25&lt;0</formula>
    </cfRule>
  </conditionalFormatting>
  <conditionalFormatting sqref="F89:F110">
    <cfRule type="expression" dxfId="1330" priority="17">
      <formula>F89&gt;0</formula>
    </cfRule>
    <cfRule type="expression" dxfId="1329" priority="18">
      <formula>F89&lt;0</formula>
    </cfRule>
  </conditionalFormatting>
  <conditionalFormatting sqref="H89:H110">
    <cfRule type="expression" dxfId="1328" priority="15">
      <formula>H89&gt;0</formula>
    </cfRule>
    <cfRule type="expression" dxfId="1327" priority="16">
      <formula>H89&lt;0</formula>
    </cfRule>
  </conditionalFormatting>
  <conditionalFormatting sqref="J89:J102">
    <cfRule type="expression" dxfId="1326" priority="13">
      <formula>J89&gt;0</formula>
    </cfRule>
    <cfRule type="expression" dxfId="1325" priority="14">
      <formula>J89&lt;0</formula>
    </cfRule>
  </conditionalFormatting>
  <conditionalFormatting sqref="K89:K102">
    <cfRule type="expression" dxfId="1324" priority="11">
      <formula>K89&gt;0</formula>
    </cfRule>
    <cfRule type="expression" dxfId="1323" priority="12">
      <formula>K89&lt;0</formula>
    </cfRule>
  </conditionalFormatting>
  <conditionalFormatting sqref="L89:L102">
    <cfRule type="expression" dxfId="1322" priority="9">
      <formula>L89&gt;0</formula>
    </cfRule>
    <cfRule type="expression" dxfId="1321" priority="10">
      <formula>L89&lt;0</formula>
    </cfRule>
  </conditionalFormatting>
  <conditionalFormatting sqref="F25:F27">
    <cfRule type="expression" dxfId="1320" priority="7">
      <formula>F25&gt;0</formula>
    </cfRule>
    <cfRule type="expression" dxfId="1319" priority="8">
      <formula>F25&lt;0</formula>
    </cfRule>
  </conditionalFormatting>
  <conditionalFormatting sqref="H25:H27">
    <cfRule type="expression" dxfId="1318" priority="5">
      <formula>H25&gt;0</formula>
    </cfRule>
    <cfRule type="expression" dxfId="1317" priority="6">
      <formula>H25&lt;0</formula>
    </cfRule>
  </conditionalFormatting>
  <conditionalFormatting sqref="F28:F33">
    <cfRule type="expression" dxfId="1316" priority="3">
      <formula>F28&gt;0</formula>
    </cfRule>
    <cfRule type="expression" dxfId="1315" priority="4">
      <formula>F28&lt;0</formula>
    </cfRule>
  </conditionalFormatting>
  <conditionalFormatting sqref="H28:H33">
    <cfRule type="expression" dxfId="1314" priority="1">
      <formula>H28&gt;0</formula>
    </cfRule>
    <cfRule type="expression" dxfId="131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2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51.04</v>
      </c>
      <c r="R4" s="425">
        <v>-2.3999999999999998E-3</v>
      </c>
      <c r="T4" t="s">
        <v>1114</v>
      </c>
      <c r="U4" s="11" t="s">
        <v>1306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25520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-2637.41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-2637.41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-9.3666640504222506E-2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4.8981191222570532E-2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13.983561643835616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1307</v>
      </c>
    </row>
    <row r="15" spans="1:21" x14ac:dyDescent="0.25">
      <c r="H15" s="70"/>
      <c r="U15" s="405" t="s">
        <v>1308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56.144000000000005</v>
      </c>
    </row>
    <row r="23" spans="1:16" x14ac:dyDescent="0.25">
      <c r="O23" s="81">
        <v>1.0900000000000001</v>
      </c>
      <c r="P23" s="81">
        <f t="shared" ref="P23:P42" si="1">O23*$Q$4</f>
        <v>55.633600000000001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55.123200000000004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54.6128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54.102400000000003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53.591999999999999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53.081600000000002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52.571199999999997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52.0608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51.550399999999996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51.04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50.529600000000002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50.019199999999998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49.508800000000001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48.998399999999997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48.488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47.977599999999995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47.467199999999998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46.956800000000001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46.446400000000004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45.936</v>
      </c>
      <c r="Q42" s="2"/>
      <c r="T42" s="1">
        <v>43421</v>
      </c>
      <c r="U42" t="s">
        <v>1320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8" si="8">C43*(E43-D43)</f>
        <v>138.58000000000033</v>
      </c>
      <c r="G43" s="39">
        <f t="shared" ref="G43:G58" si="9">D43*C43</f>
        <v>11867.42</v>
      </c>
      <c r="H43" s="179">
        <f t="shared" ref="H43:H58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12" priority="35">
      <formula>F25&gt;0</formula>
    </cfRule>
    <cfRule type="expression" dxfId="1311" priority="36">
      <formula>F25&lt;0</formula>
    </cfRule>
  </conditionalFormatting>
  <conditionalFormatting sqref="Q7">
    <cfRule type="expression" dxfId="1310" priority="33">
      <formula>Q7&gt;0</formula>
    </cfRule>
    <cfRule type="expression" dxfId="1309" priority="34">
      <formula>Q7&lt;0</formula>
    </cfRule>
  </conditionalFormatting>
  <conditionalFormatting sqref="Q8">
    <cfRule type="expression" dxfId="1308" priority="31">
      <formula>Q8&gt;0</formula>
    </cfRule>
    <cfRule type="expression" dxfId="1307" priority="32">
      <formula>Q8&lt;0</formula>
    </cfRule>
  </conditionalFormatting>
  <conditionalFormatting sqref="F39:F62">
    <cfRule type="expression" dxfId="1306" priority="29">
      <formula>F39&gt;0</formula>
    </cfRule>
    <cfRule type="expression" dxfId="1305" priority="30">
      <formula>F39&lt;0</formula>
    </cfRule>
  </conditionalFormatting>
  <conditionalFormatting sqref="H39:H62">
    <cfRule type="expression" dxfId="1304" priority="27">
      <formula>H39&gt;0</formula>
    </cfRule>
    <cfRule type="expression" dxfId="1303" priority="28">
      <formula>H39&lt;0</formula>
    </cfRule>
  </conditionalFormatting>
  <conditionalFormatting sqref="Q10">
    <cfRule type="expression" dxfId="1302" priority="25">
      <formula>Q10&gt;0</formula>
    </cfRule>
    <cfRule type="expression" dxfId="1301" priority="26">
      <formula>Q10&lt;0</formula>
    </cfRule>
  </conditionalFormatting>
  <conditionalFormatting sqref="L25:L32">
    <cfRule type="expression" dxfId="1300" priority="19">
      <formula>L25&gt;0</formula>
    </cfRule>
    <cfRule type="expression" dxfId="1299" priority="20">
      <formula>L25&lt;0</formula>
    </cfRule>
  </conditionalFormatting>
  <conditionalFormatting sqref="F88:F109">
    <cfRule type="expression" dxfId="1298" priority="17">
      <formula>F88&gt;0</formula>
    </cfRule>
    <cfRule type="expression" dxfId="1297" priority="18">
      <formula>F88&lt;0</formula>
    </cfRule>
  </conditionalFormatting>
  <conditionalFormatting sqref="H88:H109">
    <cfRule type="expression" dxfId="1296" priority="15">
      <formula>H88&gt;0</formula>
    </cfRule>
    <cfRule type="expression" dxfId="1295" priority="16">
      <formula>H88&lt;0</formula>
    </cfRule>
  </conditionalFormatting>
  <conditionalFormatting sqref="J88:J101">
    <cfRule type="expression" dxfId="1294" priority="13">
      <formula>J88&gt;0</formula>
    </cfRule>
    <cfRule type="expression" dxfId="1293" priority="14">
      <formula>J88&lt;0</formula>
    </cfRule>
  </conditionalFormatting>
  <conditionalFormatting sqref="K88:K101">
    <cfRule type="expression" dxfId="1292" priority="11">
      <formula>K88&gt;0</formula>
    </cfRule>
    <cfRule type="expression" dxfId="1291" priority="12">
      <formula>K88&lt;0</formula>
    </cfRule>
  </conditionalFormatting>
  <conditionalFormatting sqref="L88:L101">
    <cfRule type="expression" dxfId="1290" priority="9">
      <formula>L88&gt;0</formula>
    </cfRule>
    <cfRule type="expression" dxfId="1289" priority="10">
      <formula>L88&lt;0</formula>
    </cfRule>
  </conditionalFormatting>
  <conditionalFormatting sqref="F25:F29">
    <cfRule type="expression" dxfId="1288" priority="7">
      <formula>F25&gt;0</formula>
    </cfRule>
    <cfRule type="expression" dxfId="1287" priority="8">
      <formula>F25&lt;0</formula>
    </cfRule>
  </conditionalFormatting>
  <conditionalFormatting sqref="H25:H29">
    <cfRule type="expression" dxfId="1286" priority="5">
      <formula>H25&gt;0</formula>
    </cfRule>
    <cfRule type="expression" dxfId="1285" priority="6">
      <formula>H25&lt;0</formula>
    </cfRule>
  </conditionalFormatting>
  <conditionalFormatting sqref="F35:F38">
    <cfRule type="expression" dxfId="1284" priority="3">
      <formula>F35&gt;0</formula>
    </cfRule>
    <cfRule type="expression" dxfId="1283" priority="4">
      <formula>F35&lt;0</formula>
    </cfRule>
  </conditionalFormatting>
  <conditionalFormatting sqref="H35:H38">
    <cfRule type="expression" dxfId="1282" priority="1">
      <formula>H35&gt;0</formula>
    </cfRule>
    <cfRule type="expression" dxfId="128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0" priority="35">
      <formula>F47&gt;0</formula>
    </cfRule>
    <cfRule type="expression" dxfId="1279" priority="36">
      <formula>F47&lt;0</formula>
    </cfRule>
  </conditionalFormatting>
  <conditionalFormatting sqref="Q7">
    <cfRule type="expression" dxfId="1278" priority="33">
      <formula>Q7&gt;0</formula>
    </cfRule>
    <cfRule type="expression" dxfId="1277" priority="34">
      <formula>Q7&lt;0</formula>
    </cfRule>
  </conditionalFormatting>
  <conditionalFormatting sqref="Q8">
    <cfRule type="expression" dxfId="1276" priority="31">
      <formula>Q8&gt;0</formula>
    </cfRule>
    <cfRule type="expression" dxfId="1275" priority="32">
      <formula>Q8&lt;0</formula>
    </cfRule>
  </conditionalFormatting>
  <conditionalFormatting sqref="F32:F46">
    <cfRule type="expression" dxfId="1274" priority="29">
      <formula>F32&gt;0</formula>
    </cfRule>
    <cfRule type="expression" dxfId="1273" priority="30">
      <formula>F32&lt;0</formula>
    </cfRule>
  </conditionalFormatting>
  <conditionalFormatting sqref="H32:H46">
    <cfRule type="expression" dxfId="1272" priority="27">
      <formula>H32&gt;0</formula>
    </cfRule>
    <cfRule type="expression" dxfId="1271" priority="28">
      <formula>H32&lt;0</formula>
    </cfRule>
  </conditionalFormatting>
  <conditionalFormatting sqref="Q10">
    <cfRule type="expression" dxfId="1270" priority="25">
      <formula>Q10&gt;0</formula>
    </cfRule>
    <cfRule type="expression" dxfId="1269" priority="26">
      <formula>Q10&lt;0</formula>
    </cfRule>
  </conditionalFormatting>
  <conditionalFormatting sqref="J25:J38">
    <cfRule type="expression" dxfId="1268" priority="23">
      <formula>J25&gt;0</formula>
    </cfRule>
    <cfRule type="expression" dxfId="1267" priority="24">
      <formula>J25&lt;0</formula>
    </cfRule>
  </conditionalFormatting>
  <conditionalFormatting sqref="K25:K38">
    <cfRule type="expression" dxfId="1266" priority="21">
      <formula>K25&gt;0</formula>
    </cfRule>
    <cfRule type="expression" dxfId="1265" priority="22">
      <formula>K25&lt;0</formula>
    </cfRule>
  </conditionalFormatting>
  <conditionalFormatting sqref="L25:L38">
    <cfRule type="expression" dxfId="1264" priority="19">
      <formula>L25&gt;0</formula>
    </cfRule>
    <cfRule type="expression" dxfId="1263" priority="20">
      <formula>L25&lt;0</formula>
    </cfRule>
  </conditionalFormatting>
  <conditionalFormatting sqref="F89:F110">
    <cfRule type="expression" dxfId="1262" priority="17">
      <formula>F89&gt;0</formula>
    </cfRule>
    <cfRule type="expression" dxfId="1261" priority="18">
      <formula>F89&lt;0</formula>
    </cfRule>
  </conditionalFormatting>
  <conditionalFormatting sqref="H89:H110">
    <cfRule type="expression" dxfId="1260" priority="15">
      <formula>H89&gt;0</formula>
    </cfRule>
    <cfRule type="expression" dxfId="1259" priority="16">
      <formula>H89&lt;0</formula>
    </cfRule>
  </conditionalFormatting>
  <conditionalFormatting sqref="J89:J102">
    <cfRule type="expression" dxfId="1258" priority="13">
      <formula>J89&gt;0</formula>
    </cfRule>
    <cfRule type="expression" dxfId="1257" priority="14">
      <formula>J89&lt;0</formula>
    </cfRule>
  </conditionalFormatting>
  <conditionalFormatting sqref="K89:K102">
    <cfRule type="expression" dxfId="1256" priority="11">
      <formula>K89&gt;0</formula>
    </cfRule>
    <cfRule type="expression" dxfId="1255" priority="12">
      <formula>K89&lt;0</formula>
    </cfRule>
  </conditionalFormatting>
  <conditionalFormatting sqref="L89:L102">
    <cfRule type="expression" dxfId="1254" priority="9">
      <formula>L89&gt;0</formula>
    </cfRule>
    <cfRule type="expression" dxfId="1253" priority="10">
      <formula>L89&lt;0</formula>
    </cfRule>
  </conditionalFormatting>
  <conditionalFormatting sqref="F25:F28">
    <cfRule type="expression" dxfId="1252" priority="7">
      <formula>F25&gt;0</formula>
    </cfRule>
    <cfRule type="expression" dxfId="1251" priority="8">
      <formula>F25&lt;0</formula>
    </cfRule>
  </conditionalFormatting>
  <conditionalFormatting sqref="H25:H28">
    <cfRule type="expression" dxfId="1250" priority="5">
      <formula>H25&gt;0</formula>
    </cfRule>
    <cfRule type="expression" dxfId="1249" priority="6">
      <formula>H25&lt;0</formula>
    </cfRule>
  </conditionalFormatting>
  <conditionalFormatting sqref="F29:F31">
    <cfRule type="expression" dxfId="1248" priority="3">
      <formula>F29&gt;0</formula>
    </cfRule>
    <cfRule type="expression" dxfId="1247" priority="4">
      <formula>F29&lt;0</formula>
    </cfRule>
  </conditionalFormatting>
  <conditionalFormatting sqref="H29:H31">
    <cfRule type="expression" dxfId="1246" priority="1">
      <formula>H29&gt;0</formula>
    </cfRule>
    <cfRule type="expression" dxfId="124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1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70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112.10085714285724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122.66</v>
      </c>
      <c r="R4" s="425">
        <v>-9.4999999999999998E-3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8586.1999999999989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7847.0600000000068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739.13999999999396</v>
      </c>
      <c r="R7">
        <v>50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739.13999999999396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9.4193239251387562E-2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M79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61"/>
      <c r="I11" s="3"/>
      <c r="J11" s="3"/>
      <c r="K11" s="3"/>
      <c r="L11" s="72"/>
      <c r="M11" s="4"/>
      <c r="O11" s="11" t="s">
        <v>175</v>
      </c>
      <c r="P11" s="33"/>
      <c r="Q11" s="134">
        <f>R11*4/Q4</f>
        <v>4.2393608348279804E-3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922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948</v>
      </c>
      <c r="Q13" s="2">
        <f>Q4/8.62</f>
        <v>14.22969837587007</v>
      </c>
      <c r="T13" s="1">
        <v>43260</v>
      </c>
      <c r="U13" t="s">
        <v>1096</v>
      </c>
    </row>
    <row r="14" spans="1:21" x14ac:dyDescent="0.25">
      <c r="B14" s="72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1035</v>
      </c>
      <c r="Q14" s="1">
        <v>43324</v>
      </c>
    </row>
    <row r="15" spans="1:21" x14ac:dyDescent="0.25">
      <c r="B15" s="72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1098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B17" s="404">
        <v>43424</v>
      </c>
      <c r="C17" s="4">
        <v>20</v>
      </c>
      <c r="D17" s="2">
        <v>120.5</v>
      </c>
      <c r="E17" s="2">
        <v>0</v>
      </c>
      <c r="F17" s="2">
        <f>C17*D17+E17</f>
        <v>2410</v>
      </c>
      <c r="T17" s="1">
        <v>43264</v>
      </c>
      <c r="U17" t="s">
        <v>1101</v>
      </c>
    </row>
    <row r="18" spans="1:21" ht="20.25" thickBot="1" x14ac:dyDescent="0.35">
      <c r="O18" s="701" t="s">
        <v>78</v>
      </c>
      <c r="P18" s="701"/>
      <c r="U18" t="s">
        <v>1102</v>
      </c>
    </row>
    <row r="19" spans="1:21" ht="15.75" thickTop="1" x14ac:dyDescent="0.25">
      <c r="O19" s="81">
        <v>1.1000000000000001</v>
      </c>
      <c r="P19" s="81">
        <f>O19*$Q$4</f>
        <v>134.92600000000002</v>
      </c>
    </row>
    <row r="20" spans="1:21" x14ac:dyDescent="0.25">
      <c r="O20" s="81">
        <v>1.0900000000000001</v>
      </c>
      <c r="P20" s="81">
        <f t="shared" ref="P20:P39" si="2">O20*$Q$4</f>
        <v>133.6994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2"/>
        <v>132.47280000000001</v>
      </c>
    </row>
    <row r="22" spans="1:21" x14ac:dyDescent="0.25">
      <c r="O22" s="81">
        <v>1.07</v>
      </c>
      <c r="P22" s="81">
        <f t="shared" si="2"/>
        <v>131.24620000000002</v>
      </c>
    </row>
    <row r="23" spans="1:21" x14ac:dyDescent="0.25">
      <c r="O23" s="81">
        <v>1.06</v>
      </c>
      <c r="P23" s="81">
        <f t="shared" si="2"/>
        <v>130.0196</v>
      </c>
    </row>
    <row r="24" spans="1:21" x14ac:dyDescent="0.25">
      <c r="O24" s="81">
        <v>1.05</v>
      </c>
      <c r="P24" s="81">
        <f t="shared" si="2"/>
        <v>128.79300000000001</v>
      </c>
    </row>
    <row r="25" spans="1:21" x14ac:dyDescent="0.25">
      <c r="A25" s="31" t="s">
        <v>81</v>
      </c>
      <c r="B25" s="14"/>
      <c r="C25" s="14">
        <f>SUM(C2:C17)</f>
        <v>310</v>
      </c>
      <c r="D25" s="18"/>
      <c r="E25" s="18"/>
      <c r="F25" s="18">
        <f>SUM(F2:F17)</f>
        <v>40574.200000000004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127.5664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240</v>
      </c>
      <c r="D26" s="279"/>
      <c r="E26" s="279"/>
      <c r="F26" s="280">
        <f>SumByColor($A$26,F2:F24)</f>
        <v>31257</v>
      </c>
      <c r="G26" s="279"/>
      <c r="H26" s="279">
        <f>SumByColor($A$26,H2:H24)</f>
        <v>240</v>
      </c>
      <c r="I26" s="279"/>
      <c r="J26" s="279"/>
      <c r="K26" s="280">
        <f>SumByColor($A$26,K2:K24)</f>
        <v>32704</v>
      </c>
      <c r="L26" s="279"/>
      <c r="M26" s="280">
        <f>SumByColor($A$26,M2:M24)</f>
        <v>23</v>
      </c>
      <c r="O26" s="81">
        <v>1.03</v>
      </c>
      <c r="P26" s="81">
        <f t="shared" si="2"/>
        <v>126.3398</v>
      </c>
      <c r="T26" s="67"/>
    </row>
    <row r="27" spans="1:21" x14ac:dyDescent="0.25">
      <c r="O27" s="81">
        <v>1.02</v>
      </c>
      <c r="P27" s="81">
        <f t="shared" si="2"/>
        <v>125.11319999999999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2"/>
        <v>123.8866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2"/>
        <v>122.66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2"/>
        <v>121.43339999999999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2"/>
        <v>120.2068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179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118.9802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179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117.75359999999999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179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116.52699999999999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179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115.3004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179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114.07380000000001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179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112.8472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179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111.6206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179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110.39400000000001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179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179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179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179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179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179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179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179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179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179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179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179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179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179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179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179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179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179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179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179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179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179">
        <f t="shared" si="14"/>
        <v>0.72733296521258972</v>
      </c>
      <c r="I61" s="39"/>
      <c r="J61" s="781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1">
        <f t="shared" ref="F62:F72" si="15">C62*(E62-D62)</f>
        <v>1388.1899999999998</v>
      </c>
      <c r="G62" s="39">
        <f t="shared" ref="G62:G72" si="16">D62*C62</f>
        <v>1710.81</v>
      </c>
      <c r="H62" s="179">
        <f t="shared" ref="H62:H72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1">
        <f t="shared" si="15"/>
        <v>1471.19</v>
      </c>
      <c r="G63" s="39">
        <f t="shared" si="16"/>
        <v>1710.81</v>
      </c>
      <c r="H63" s="179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1">
        <f t="shared" si="15"/>
        <v>1590.39</v>
      </c>
      <c r="G64" s="39">
        <f t="shared" si="16"/>
        <v>1710.81</v>
      </c>
      <c r="H64" s="179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179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179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179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179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179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179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179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5"/>
        <v>631.33700000000067</v>
      </c>
      <c r="G72" s="39">
        <f t="shared" si="16"/>
        <v>7847.0630000000001</v>
      </c>
      <c r="H72" s="179">
        <f t="shared" si="17"/>
        <v>8.045519705907811E-2</v>
      </c>
      <c r="I72" s="39"/>
      <c r="J72" s="39"/>
      <c r="K72" s="39"/>
      <c r="L72" s="39">
        <v>14.05</v>
      </c>
    </row>
    <row r="73" spans="1:13" x14ac:dyDescent="0.25">
      <c r="A73" s="4"/>
      <c r="B73" s="164"/>
      <c r="C73" s="10"/>
      <c r="D73" s="39"/>
      <c r="E73" s="39"/>
      <c r="F73" s="39"/>
      <c r="G73" s="39"/>
      <c r="H73" s="179"/>
      <c r="I73" s="39"/>
      <c r="J73" s="39"/>
      <c r="K73" s="39"/>
      <c r="L73" s="39"/>
    </row>
    <row r="74" spans="1:13" x14ac:dyDescent="0.25">
      <c r="A74" s="4"/>
      <c r="B74" s="164"/>
      <c r="C74" s="10"/>
      <c r="D74" s="39"/>
      <c r="E74" s="39"/>
      <c r="F74" s="39"/>
      <c r="G74" s="39"/>
      <c r="H74" s="179"/>
      <c r="I74" s="39"/>
      <c r="J74" s="39"/>
      <c r="K74" s="39"/>
      <c r="L74" s="39"/>
    </row>
    <row r="75" spans="1:13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3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491"/>
      <c r="B79" s="491"/>
      <c r="C79" s="491"/>
      <c r="D79" s="492"/>
      <c r="E79" s="492"/>
      <c r="F79" s="492"/>
      <c r="G79" s="491"/>
      <c r="H79" s="491"/>
      <c r="I79" s="492"/>
      <c r="J79" s="492"/>
      <c r="K79" s="492"/>
      <c r="L79" s="491" t="s">
        <v>65</v>
      </c>
      <c r="M79" s="492">
        <f>M97+K97-F97</f>
        <v>0</v>
      </c>
    </row>
    <row r="80" spans="1:13" x14ac:dyDescent="0.25">
      <c r="A80" s="610" t="s">
        <v>1</v>
      </c>
      <c r="B80" s="610" t="s">
        <v>2</v>
      </c>
      <c r="C80" s="610" t="s">
        <v>4</v>
      </c>
      <c r="D80" s="611" t="s">
        <v>5</v>
      </c>
      <c r="E80" s="611" t="s">
        <v>94</v>
      </c>
      <c r="F80" s="611" t="s">
        <v>60</v>
      </c>
      <c r="G80" s="610" t="s">
        <v>3</v>
      </c>
      <c r="H80" s="610" t="s">
        <v>6</v>
      </c>
      <c r="I80" s="611" t="s">
        <v>7</v>
      </c>
      <c r="J80" s="611" t="s">
        <v>95</v>
      </c>
      <c r="K80" s="611" t="s">
        <v>61</v>
      </c>
      <c r="L80" s="610" t="s">
        <v>37</v>
      </c>
      <c r="M80" s="610" t="s">
        <v>38</v>
      </c>
    </row>
    <row r="81" spans="1:13" x14ac:dyDescent="0.25">
      <c r="A81" s="612" t="s">
        <v>894</v>
      </c>
      <c r="B81" s="494"/>
      <c r="C81" s="491"/>
      <c r="D81" s="492"/>
      <c r="E81" s="492"/>
      <c r="F81" s="492"/>
      <c r="G81" s="494"/>
      <c r="H81" s="491"/>
      <c r="I81" s="492"/>
      <c r="J81" s="492"/>
      <c r="K81" s="492"/>
      <c r="L81" s="494"/>
      <c r="M81" s="492"/>
    </row>
    <row r="82" spans="1:13" x14ac:dyDescent="0.25">
      <c r="A82" s="613"/>
      <c r="B82" s="494"/>
      <c r="C82" s="491"/>
      <c r="D82" s="492"/>
      <c r="E82" s="492"/>
      <c r="F82" s="492"/>
      <c r="G82" s="494"/>
      <c r="H82" s="493"/>
      <c r="I82" s="492"/>
      <c r="J82" s="492"/>
      <c r="K82" s="492"/>
      <c r="L82" s="491"/>
      <c r="M82" s="491"/>
    </row>
    <row r="83" spans="1:13" x14ac:dyDescent="0.25">
      <c r="A83" s="491"/>
      <c r="B83" s="494"/>
      <c r="C83" s="491"/>
      <c r="D83" s="492"/>
      <c r="E83" s="492"/>
      <c r="F83" s="492"/>
      <c r="G83" s="494"/>
      <c r="H83" s="493"/>
      <c r="I83" s="492"/>
      <c r="J83" s="492"/>
      <c r="K83" s="492"/>
      <c r="L83" s="491"/>
      <c r="M83" s="491"/>
    </row>
    <row r="84" spans="1:13" x14ac:dyDescent="0.25">
      <c r="A84" s="491"/>
      <c r="B84" s="494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4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3"/>
      <c r="I89" s="492"/>
      <c r="J89" s="492"/>
      <c r="K89" s="492"/>
      <c r="L89" s="491"/>
      <c r="M89" s="491"/>
    </row>
    <row r="90" spans="1:13" x14ac:dyDescent="0.25">
      <c r="A90" s="491"/>
      <c r="B90" s="491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1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1"/>
      <c r="I96" s="492"/>
      <c r="J96" s="492"/>
      <c r="K96" s="492"/>
      <c r="L96" s="491"/>
      <c r="M96" s="491"/>
    </row>
    <row r="97" spans="1:13" x14ac:dyDescent="0.25">
      <c r="A97" s="614" t="s">
        <v>81</v>
      </c>
      <c r="B97" s="615"/>
      <c r="C97" s="615">
        <f>SUM(C81:C85)</f>
        <v>0</v>
      </c>
      <c r="D97" s="616"/>
      <c r="E97" s="616"/>
      <c r="F97" s="616">
        <f>SUM(F81:F85)</f>
        <v>0</v>
      </c>
      <c r="G97" s="615"/>
      <c r="H97" s="617">
        <f>SUM(H81:H84)</f>
        <v>0</v>
      </c>
      <c r="I97" s="616"/>
      <c r="J97" s="616"/>
      <c r="K97" s="616">
        <f>SUM(K81:K84)</f>
        <v>0</v>
      </c>
      <c r="L97" s="615"/>
      <c r="M97" s="616">
        <f>SUM(M81:M89)</f>
        <v>0</v>
      </c>
    </row>
    <row r="98" spans="1:13" ht="15.75" thickBot="1" x14ac:dyDescent="0.3">
      <c r="A98" s="618" t="s">
        <v>191</v>
      </c>
      <c r="B98" s="650"/>
      <c r="C98" s="619">
        <f>SumByColor($A$26,C81:C96)</f>
        <v>0</v>
      </c>
      <c r="D98" s="619"/>
      <c r="E98" s="619"/>
      <c r="F98" s="620">
        <f>SumByColor($A$26,F81:F96)</f>
        <v>0</v>
      </c>
      <c r="G98" s="619"/>
      <c r="H98" s="619">
        <f>SumByColor($A$26,H81:H96)</f>
        <v>0</v>
      </c>
      <c r="I98" s="619"/>
      <c r="J98" s="619"/>
      <c r="K98" s="620">
        <f>SumByColor($A$26,K82:K96)</f>
        <v>0</v>
      </c>
      <c r="L98" s="619"/>
      <c r="M98" s="620">
        <f>SumByColor($A$26,M81:M96)</f>
        <v>0</v>
      </c>
    </row>
    <row r="101" spans="1:13" x14ac:dyDescent="0.25">
      <c r="B101" s="162" t="s">
        <v>113</v>
      </c>
      <c r="C101" s="162" t="s">
        <v>145</v>
      </c>
      <c r="D101" s="163" t="s">
        <v>144</v>
      </c>
      <c r="E101" s="165" t="s">
        <v>146</v>
      </c>
      <c r="F101" s="165" t="s">
        <v>65</v>
      </c>
      <c r="G101" s="177" t="s">
        <v>150</v>
      </c>
      <c r="H101" s="177" t="s">
        <v>88</v>
      </c>
      <c r="I101" s="177" t="s">
        <v>153</v>
      </c>
      <c r="J101" s="177" t="s">
        <v>149</v>
      </c>
      <c r="K101" s="177" t="s">
        <v>646</v>
      </c>
      <c r="L101" s="177" t="s">
        <v>652</v>
      </c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1:13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1:13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1:13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1:13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155"/>
    </row>
    <row r="107" spans="1:13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155"/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155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155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39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44" priority="39">
      <formula>F7&gt;0</formula>
    </cfRule>
    <cfRule type="expression" dxfId="1243" priority="40">
      <formula>F7&lt;0</formula>
    </cfRule>
  </conditionalFormatting>
  <conditionalFormatting sqref="Q8">
    <cfRule type="expression" dxfId="1242" priority="37">
      <formula>Q8&gt;0</formula>
    </cfRule>
    <cfRule type="expression" dxfId="1241" priority="38">
      <formula>Q8&lt;0</formula>
    </cfRule>
  </conditionalFormatting>
  <conditionalFormatting sqref="F41:F61">
    <cfRule type="expression" dxfId="1240" priority="35">
      <formula>F41&gt;0</formula>
    </cfRule>
    <cfRule type="expression" dxfId="1239" priority="36">
      <formula>F41&lt;0</formula>
    </cfRule>
  </conditionalFormatting>
  <conditionalFormatting sqref="H41:H61">
    <cfRule type="expression" dxfId="1238" priority="33">
      <formula>H41&gt;0</formula>
    </cfRule>
    <cfRule type="expression" dxfId="1237" priority="34">
      <formula>H41&lt;0</formula>
    </cfRule>
  </conditionalFormatting>
  <conditionalFormatting sqref="Q10">
    <cfRule type="expression" dxfId="1236" priority="31">
      <formula>Q10&gt;0</formula>
    </cfRule>
    <cfRule type="expression" dxfId="1235" priority="32">
      <formula>Q10&lt;0</formula>
    </cfRule>
  </conditionalFormatting>
  <conditionalFormatting sqref="J32:J45">
    <cfRule type="expression" dxfId="1234" priority="29">
      <formula>J32&gt;0</formula>
    </cfRule>
    <cfRule type="expression" dxfId="1233" priority="30">
      <formula>J32&lt;0</formula>
    </cfRule>
  </conditionalFormatting>
  <conditionalFormatting sqref="K32:K42 K44:K45">
    <cfRule type="expression" dxfId="1232" priority="27">
      <formula>K32&gt;0</formula>
    </cfRule>
    <cfRule type="expression" dxfId="1231" priority="28">
      <formula>K32&lt;0</formula>
    </cfRule>
  </conditionalFormatting>
  <conditionalFormatting sqref="L32">
    <cfRule type="expression" dxfId="1230" priority="25">
      <formula>L32&gt;0</formula>
    </cfRule>
    <cfRule type="expression" dxfId="1229" priority="26">
      <formula>L32&lt;0</formula>
    </cfRule>
  </conditionalFormatting>
  <conditionalFormatting sqref="F102:F123">
    <cfRule type="expression" dxfId="1228" priority="23">
      <formula>F102&gt;0</formula>
    </cfRule>
    <cfRule type="expression" dxfId="1227" priority="24">
      <formula>F102&lt;0</formula>
    </cfRule>
  </conditionalFormatting>
  <conditionalFormatting sqref="H102:H123">
    <cfRule type="expression" dxfId="1226" priority="21">
      <formula>H102&gt;0</formula>
    </cfRule>
    <cfRule type="expression" dxfId="1225" priority="22">
      <formula>H102&lt;0</formula>
    </cfRule>
  </conditionalFormatting>
  <conditionalFormatting sqref="J102:J115">
    <cfRule type="expression" dxfId="1224" priority="19">
      <formula>J102&gt;0</formula>
    </cfRule>
    <cfRule type="expression" dxfId="1223" priority="20">
      <formula>J102&lt;0</formula>
    </cfRule>
  </conditionalFormatting>
  <conditionalFormatting sqref="K102:K115">
    <cfRule type="expression" dxfId="1222" priority="17">
      <formula>K102&gt;0</formula>
    </cfRule>
    <cfRule type="expression" dxfId="1221" priority="18">
      <formula>K102&lt;0</formula>
    </cfRule>
  </conditionalFormatting>
  <conditionalFormatting sqref="L102:L115">
    <cfRule type="expression" dxfId="1220" priority="15">
      <formula>L102&gt;0</formula>
    </cfRule>
    <cfRule type="expression" dxfId="1219" priority="16">
      <formula>L102&lt;0</formula>
    </cfRule>
  </conditionalFormatting>
  <conditionalFormatting sqref="F32:F40">
    <cfRule type="expression" dxfId="1218" priority="13">
      <formula>F32&gt;0</formula>
    </cfRule>
    <cfRule type="expression" dxfId="1217" priority="14">
      <formula>F32&lt;0</formula>
    </cfRule>
  </conditionalFormatting>
  <conditionalFormatting sqref="H32:H40">
    <cfRule type="expression" dxfId="1216" priority="11">
      <formula>H32&gt;0</formula>
    </cfRule>
    <cfRule type="expression" dxfId="1215" priority="12">
      <formula>H32&lt;0</formula>
    </cfRule>
  </conditionalFormatting>
  <conditionalFormatting sqref="J61">
    <cfRule type="expression" dxfId="1214" priority="9">
      <formula>J61&gt;0</formula>
    </cfRule>
    <cfRule type="expression" dxfId="1213" priority="10">
      <formula>J61&lt;0</formula>
    </cfRule>
  </conditionalFormatting>
  <conditionalFormatting sqref="F62:F64">
    <cfRule type="expression" dxfId="1212" priority="7">
      <formula>F62&gt;0</formula>
    </cfRule>
    <cfRule type="expression" dxfId="1211" priority="8">
      <formula>F62&lt;0</formula>
    </cfRule>
  </conditionalFormatting>
  <conditionalFormatting sqref="H62:H64">
    <cfRule type="expression" dxfId="1210" priority="5">
      <formula>H62&gt;0</formula>
    </cfRule>
    <cfRule type="expression" dxfId="1209" priority="6">
      <formula>H62&lt;0</formula>
    </cfRule>
  </conditionalFormatting>
  <conditionalFormatting sqref="H68:H70 F68:F70">
    <cfRule type="expression" dxfId="1208" priority="3">
      <formula>F68&gt;0</formula>
    </cfRule>
    <cfRule type="expression" dxfId="1207" priority="4">
      <formula>F68&lt;0</formula>
    </cfRule>
  </conditionalFormatting>
  <conditionalFormatting sqref="H71:H73 F71:F73">
    <cfRule type="expression" dxfId="1206" priority="1">
      <formula>F71&gt;0</formula>
    </cfRule>
    <cfRule type="expression" dxfId="1205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04" priority="31">
      <formula>F60&gt;0</formula>
    </cfRule>
    <cfRule type="expression" dxfId="1203" priority="32">
      <formula>F60&lt;0</formula>
    </cfRule>
  </conditionalFormatting>
  <conditionalFormatting sqref="Q7">
    <cfRule type="expression" dxfId="1202" priority="29">
      <formula>Q7&gt;0</formula>
    </cfRule>
    <cfRule type="expression" dxfId="1201" priority="30">
      <formula>Q7&lt;0</formula>
    </cfRule>
  </conditionalFormatting>
  <conditionalFormatting sqref="Q8">
    <cfRule type="expression" dxfId="1200" priority="27">
      <formula>Q8&gt;0</formula>
    </cfRule>
    <cfRule type="expression" dxfId="1199" priority="28">
      <formula>Q8&lt;0</formula>
    </cfRule>
  </conditionalFormatting>
  <conditionalFormatting sqref="F32:F59">
    <cfRule type="expression" dxfId="1198" priority="25">
      <formula>F32&gt;0</formula>
    </cfRule>
    <cfRule type="expression" dxfId="1197" priority="26">
      <formula>F32&lt;0</formula>
    </cfRule>
  </conditionalFormatting>
  <conditionalFormatting sqref="H32:H59">
    <cfRule type="expression" dxfId="1196" priority="23">
      <formula>H32&gt;0</formula>
    </cfRule>
    <cfRule type="expression" dxfId="1195" priority="24">
      <formula>H32&lt;0</formula>
    </cfRule>
  </conditionalFormatting>
  <conditionalFormatting sqref="Q10">
    <cfRule type="expression" dxfId="1194" priority="21">
      <formula>Q10&gt;0</formula>
    </cfRule>
    <cfRule type="expression" dxfId="1193" priority="22">
      <formula>Q10&lt;0</formula>
    </cfRule>
  </conditionalFormatting>
  <conditionalFormatting sqref="J25:J38">
    <cfRule type="expression" dxfId="1192" priority="19">
      <formula>J25&gt;0</formula>
    </cfRule>
    <cfRule type="expression" dxfId="1191" priority="20">
      <formula>J25&lt;0</formula>
    </cfRule>
  </conditionalFormatting>
  <conditionalFormatting sqref="K25:K38">
    <cfRule type="expression" dxfId="1190" priority="17">
      <formula>K25&gt;0</formula>
    </cfRule>
    <cfRule type="expression" dxfId="1189" priority="18">
      <formula>K25&lt;0</formula>
    </cfRule>
  </conditionalFormatting>
  <conditionalFormatting sqref="L25:L38">
    <cfRule type="expression" dxfId="1188" priority="15">
      <formula>L25&gt;0</formula>
    </cfRule>
    <cfRule type="expression" dxfId="1187" priority="16">
      <formula>L25&lt;0</formula>
    </cfRule>
  </conditionalFormatting>
  <conditionalFormatting sqref="F89:F110">
    <cfRule type="expression" dxfId="1186" priority="13">
      <formula>F89&gt;0</formula>
    </cfRule>
    <cfRule type="expression" dxfId="1185" priority="14">
      <formula>F89&lt;0</formula>
    </cfRule>
  </conditionalFormatting>
  <conditionalFormatting sqref="H89:H110">
    <cfRule type="expression" dxfId="1184" priority="11">
      <formula>H89&gt;0</formula>
    </cfRule>
    <cfRule type="expression" dxfId="1183" priority="12">
      <formula>H89&lt;0</formula>
    </cfRule>
  </conditionalFormatting>
  <conditionalFormatting sqref="J89:J102">
    <cfRule type="expression" dxfId="1182" priority="9">
      <formula>J89&gt;0</formula>
    </cfRule>
    <cfRule type="expression" dxfId="1181" priority="10">
      <formula>J89&lt;0</formula>
    </cfRule>
  </conditionalFormatting>
  <conditionalFormatting sqref="K89:K102">
    <cfRule type="expression" dxfId="1180" priority="7">
      <formula>K89&gt;0</formula>
    </cfRule>
    <cfRule type="expression" dxfId="1179" priority="8">
      <formula>K89&lt;0</formula>
    </cfRule>
  </conditionalFormatting>
  <conditionalFormatting sqref="L89:L102">
    <cfRule type="expression" dxfId="1178" priority="5">
      <formula>L89&gt;0</formula>
    </cfRule>
    <cfRule type="expression" dxfId="1177" priority="6">
      <formula>L89&lt;0</formula>
    </cfRule>
  </conditionalFormatting>
  <conditionalFormatting sqref="F25:F31">
    <cfRule type="expression" dxfId="1176" priority="3">
      <formula>F25&gt;0</formula>
    </cfRule>
    <cfRule type="expression" dxfId="1175" priority="4">
      <formula>F25&lt;0</formula>
    </cfRule>
  </conditionalFormatting>
  <conditionalFormatting sqref="H25:H31">
    <cfRule type="expression" dxfId="1174" priority="1">
      <formula>H25&gt;0</formula>
    </cfRule>
    <cfRule type="expression" dxfId="117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1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1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2" priority="39">
      <formula>F47&gt;0</formula>
    </cfRule>
    <cfRule type="expression" dxfId="1171" priority="40">
      <formula>F47&lt;0</formula>
    </cfRule>
  </conditionalFormatting>
  <conditionalFormatting sqref="Q7">
    <cfRule type="expression" dxfId="1170" priority="37">
      <formula>Q7&gt;0</formula>
    </cfRule>
    <cfRule type="expression" dxfId="1169" priority="38">
      <formula>Q7&lt;0</formula>
    </cfRule>
  </conditionalFormatting>
  <conditionalFormatting sqref="Q8">
    <cfRule type="expression" dxfId="1168" priority="35">
      <formula>Q8&gt;0</formula>
    </cfRule>
    <cfRule type="expression" dxfId="1167" priority="36">
      <formula>Q8&lt;0</formula>
    </cfRule>
  </conditionalFormatting>
  <conditionalFormatting sqref="F30:F33 F38:F46">
    <cfRule type="expression" dxfId="1166" priority="33">
      <formula>F30&gt;0</formula>
    </cfRule>
    <cfRule type="expression" dxfId="1165" priority="34">
      <formula>F30&lt;0</formula>
    </cfRule>
  </conditionalFormatting>
  <conditionalFormatting sqref="H30:H33 H37:H46">
    <cfRule type="expression" dxfId="1164" priority="31">
      <formula>H30&gt;0</formula>
    </cfRule>
    <cfRule type="expression" dxfId="1163" priority="32">
      <formula>H30&lt;0</formula>
    </cfRule>
  </conditionalFormatting>
  <conditionalFormatting sqref="Q10">
    <cfRule type="expression" dxfId="1162" priority="29">
      <formula>Q10&gt;0</formula>
    </cfRule>
    <cfRule type="expression" dxfId="1161" priority="30">
      <formula>Q10&lt;0</formula>
    </cfRule>
  </conditionalFormatting>
  <conditionalFormatting sqref="K25:K38">
    <cfRule type="expression" dxfId="1160" priority="25">
      <formula>K25&gt;0</formula>
    </cfRule>
    <cfRule type="expression" dxfId="1159" priority="26">
      <formula>K25&lt;0</formula>
    </cfRule>
  </conditionalFormatting>
  <conditionalFormatting sqref="L25:L38">
    <cfRule type="expression" dxfId="1158" priority="23">
      <formula>L25&gt;0</formula>
    </cfRule>
    <cfRule type="expression" dxfId="1157" priority="24">
      <formula>L25&lt;0</formula>
    </cfRule>
  </conditionalFormatting>
  <conditionalFormatting sqref="F89:F110">
    <cfRule type="expression" dxfId="1156" priority="21">
      <formula>F89&gt;0</formula>
    </cfRule>
    <cfRule type="expression" dxfId="1155" priority="22">
      <formula>F89&lt;0</formula>
    </cfRule>
  </conditionalFormatting>
  <conditionalFormatting sqref="H89:H110">
    <cfRule type="expression" dxfId="1154" priority="19">
      <formula>H89&gt;0</formula>
    </cfRule>
    <cfRule type="expression" dxfId="1153" priority="20">
      <formula>H89&lt;0</formula>
    </cfRule>
  </conditionalFormatting>
  <conditionalFormatting sqref="J89:J102">
    <cfRule type="expression" dxfId="1152" priority="17">
      <formula>J89&gt;0</formula>
    </cfRule>
    <cfRule type="expression" dxfId="1151" priority="18">
      <formula>J89&lt;0</formula>
    </cfRule>
  </conditionalFormatting>
  <conditionalFormatting sqref="K89:K102">
    <cfRule type="expression" dxfId="1150" priority="15">
      <formula>K89&gt;0</formula>
    </cfRule>
    <cfRule type="expression" dxfId="1149" priority="16">
      <formula>K89&lt;0</formula>
    </cfRule>
  </conditionalFormatting>
  <conditionalFormatting sqref="L89:L102">
    <cfRule type="expression" dxfId="1148" priority="13">
      <formula>L89&gt;0</formula>
    </cfRule>
    <cfRule type="expression" dxfId="1147" priority="14">
      <formula>L89&lt;0</formula>
    </cfRule>
  </conditionalFormatting>
  <conditionalFormatting sqref="F25:F29">
    <cfRule type="expression" dxfId="1146" priority="11">
      <formula>F25&gt;0</formula>
    </cfRule>
    <cfRule type="expression" dxfId="1145" priority="12">
      <formula>F25&lt;0</formula>
    </cfRule>
  </conditionalFormatting>
  <conditionalFormatting sqref="H25:H29">
    <cfRule type="expression" dxfId="1144" priority="9">
      <formula>H25&gt;0</formula>
    </cfRule>
    <cfRule type="expression" dxfId="1143" priority="10">
      <formula>H25&lt;0</formula>
    </cfRule>
  </conditionalFormatting>
  <conditionalFormatting sqref="F34:F37">
    <cfRule type="expression" dxfId="1142" priority="7">
      <formula>F34&gt;0</formula>
    </cfRule>
    <cfRule type="expression" dxfId="1141" priority="8">
      <formula>F34&lt;0</formula>
    </cfRule>
  </conditionalFormatting>
  <conditionalFormatting sqref="H34:H36">
    <cfRule type="expression" dxfId="1140" priority="5">
      <formula>H34&gt;0</formula>
    </cfRule>
    <cfRule type="expression" dxfId="1139" priority="6">
      <formula>H34&lt;0</formula>
    </cfRule>
  </conditionalFormatting>
  <conditionalFormatting sqref="J39">
    <cfRule type="expression" dxfId="1138" priority="3">
      <formula>J39&gt;0</formula>
    </cfRule>
    <cfRule type="expression" dxfId="1137" priority="4">
      <formula>J39&lt;0</formula>
    </cfRule>
  </conditionalFormatting>
  <conditionalFormatting sqref="J25:J38">
    <cfRule type="expression" dxfId="1136" priority="1">
      <formula>J25&gt;0</formula>
    </cfRule>
    <cfRule type="expression" dxfId="1135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34" priority="57">
      <formula>F27&gt;0</formula>
    </cfRule>
    <cfRule type="expression" dxfId="1133" priority="58">
      <formula>F27&lt;0</formula>
    </cfRule>
  </conditionalFormatting>
  <conditionalFormatting sqref="H28:H33">
    <cfRule type="expression" dxfId="1132" priority="53">
      <formula>H28&gt;0</formula>
    </cfRule>
    <cfRule type="expression" dxfId="1131" priority="54">
      <formula>H28&lt;0</formula>
    </cfRule>
  </conditionalFormatting>
  <conditionalFormatting sqref="F24:F26">
    <cfRule type="expression" dxfId="1130" priority="39">
      <formula>F24&gt;0</formula>
    </cfRule>
    <cfRule type="expression" dxfId="1129" priority="40">
      <formula>F24&lt;0</formula>
    </cfRule>
  </conditionalFormatting>
  <conditionalFormatting sqref="Q8">
    <cfRule type="expression" dxfId="1128" priority="33">
      <formula>Q8&gt;0</formula>
    </cfRule>
    <cfRule type="expression" dxfId="1127" priority="34">
      <formula>Q8&lt;0</formula>
    </cfRule>
  </conditionalFormatting>
  <conditionalFormatting sqref="Q7">
    <cfRule type="expression" dxfId="1126" priority="35">
      <formula>Q7&gt;0</formula>
    </cfRule>
    <cfRule type="expression" dxfId="1125" priority="36">
      <formula>Q7&lt;0</formula>
    </cfRule>
  </conditionalFormatting>
  <conditionalFormatting sqref="F34">
    <cfRule type="expression" dxfId="1124" priority="31">
      <formula>F34&gt;0</formula>
    </cfRule>
    <cfRule type="expression" dxfId="1123" priority="32">
      <formula>F34&lt;0</formula>
    </cfRule>
  </conditionalFormatting>
  <conditionalFormatting sqref="H34">
    <cfRule type="expression" dxfId="1122" priority="29">
      <formula>H34&gt;0</formula>
    </cfRule>
    <cfRule type="expression" dxfId="1121" priority="30">
      <formula>H34&lt;0</formula>
    </cfRule>
  </conditionalFormatting>
  <conditionalFormatting sqref="M36">
    <cfRule type="expression" dxfId="1120" priority="19">
      <formula>M36&gt;0</formula>
    </cfRule>
    <cfRule type="expression" dxfId="1119" priority="20">
      <formula>M36&lt;0</formula>
    </cfRule>
  </conditionalFormatting>
  <conditionalFormatting sqref="Q10">
    <cfRule type="expression" dxfId="1118" priority="15">
      <formula>Q10&gt;0</formula>
    </cfRule>
    <cfRule type="expression" dxfId="1117" priority="16">
      <formula>Q10&lt;0</formula>
    </cfRule>
  </conditionalFormatting>
  <conditionalFormatting sqref="F23">
    <cfRule type="expression" dxfId="1116" priority="13">
      <formula>F23&gt;0</formula>
    </cfRule>
    <cfRule type="expression" dxfId="1115" priority="14">
      <formula>F23&lt;0</formula>
    </cfRule>
  </conditionalFormatting>
  <conditionalFormatting sqref="I25:J25">
    <cfRule type="expression" dxfId="1114" priority="9">
      <formula>I25&gt;0</formula>
    </cfRule>
    <cfRule type="expression" dxfId="1113" priority="10">
      <formula>I25&lt;0</formula>
    </cfRule>
  </conditionalFormatting>
  <conditionalFormatting sqref="I26:J27">
    <cfRule type="expression" dxfId="1112" priority="7">
      <formula>I26&gt;0</formula>
    </cfRule>
    <cfRule type="expression" dxfId="1111" priority="8">
      <formula>I26&lt;0</formula>
    </cfRule>
  </conditionalFormatting>
  <conditionalFormatting sqref="K25:K27">
    <cfRule type="expression" dxfId="1110" priority="5">
      <formula>K25&gt;0</formula>
    </cfRule>
    <cfRule type="expression" dxfId="1109" priority="6">
      <formula>K25&lt;0</formula>
    </cfRule>
  </conditionalFormatting>
  <conditionalFormatting sqref="I23:J23">
    <cfRule type="expression" dxfId="1108" priority="3">
      <formula>I23&gt;0</formula>
    </cfRule>
    <cfRule type="expression" dxfId="110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300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5.1964999999998929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35</v>
      </c>
      <c r="R4" s="424">
        <v>-1.2999999999999999E-2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10500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1558.9499999999678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10393.31000000003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8941.050000000032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5.7353026075244342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2.8571428571428571E-3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18.421052631578949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38.5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38.150000000000006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37.800000000000004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37.450000000000003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37.1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36.75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36.4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36.050000000000004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35.700000000000003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35.35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35</v>
      </c>
      <c r="U29" s="1">
        <v>43417</v>
      </c>
      <c r="V29" t="s">
        <v>1315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34.65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34.299999999999997</v>
      </c>
      <c r="U31" s="156">
        <v>43431</v>
      </c>
      <c r="V31" t="s">
        <v>1314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33.949999999999996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2">
        <f>D33*C33+E33</f>
        <v>6500</v>
      </c>
      <c r="G33" s="29"/>
      <c r="O33" s="81">
        <v>0.96</v>
      </c>
      <c r="P33" s="81">
        <f t="shared" si="3"/>
        <v>33.6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33.25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32.9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29"/>
      <c r="C36" s="4"/>
      <c r="D36" s="3"/>
      <c r="E36" s="3"/>
      <c r="F36" s="3"/>
      <c r="G36" s="29"/>
      <c r="O36" s="81">
        <v>0.93</v>
      </c>
      <c r="P36" s="81">
        <f t="shared" si="3"/>
        <v>32.550000000000004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29"/>
      <c r="C37" s="4"/>
      <c r="G37" s="29"/>
      <c r="O37" s="81">
        <v>0.92</v>
      </c>
      <c r="P37" s="81">
        <f t="shared" si="3"/>
        <v>32.200000000000003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31.85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31.5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109411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4">C47*(E47-D47)</f>
        <v>267.00000000000017</v>
      </c>
      <c r="G47" s="457">
        <f t="shared" ref="G47:G52" si="5">D47*C47</f>
        <v>2758</v>
      </c>
      <c r="H47" s="496">
        <f t="shared" ref="H47:H52" si="6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4"/>
        <v>436.92999999999989</v>
      </c>
      <c r="G48" s="457">
        <f t="shared" si="5"/>
        <v>2718.07</v>
      </c>
      <c r="H48" s="496">
        <f t="shared" si="6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179">
        <f t="shared" si="6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179">
        <f t="shared" si="6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179">
        <f t="shared" si="6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179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179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179">
        <f t="shared" si="9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179">
        <f t="shared" si="9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179">
        <f t="shared" si="9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179">
        <f t="shared" si="9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179">
        <f t="shared" si="9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179">
        <f t="shared" si="9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179">
        <f t="shared" si="9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179">
        <f t="shared" si="9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179">
        <f t="shared" si="9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179">
        <f t="shared" si="9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179">
        <f t="shared" si="9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179">
        <f t="shared" si="9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179">
        <f t="shared" si="9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179">
        <f t="shared" ref="H68:H79" si="12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179">
        <f t="shared" si="12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179">
        <f t="shared" si="12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179">
        <f t="shared" si="12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179">
        <f t="shared" si="12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179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179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179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179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179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179">
        <f t="shared" si="12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179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179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179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179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179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179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179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179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179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179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179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179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179">
        <f t="shared" si="15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179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179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179">
        <f t="shared" si="18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179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179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179">
        <f t="shared" si="18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179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179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179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179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179">
        <f t="shared" si="21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179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179">
        <f t="shared" si="21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179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179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179">
        <f t="shared" si="21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179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179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179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179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179">
        <f t="shared" si="25"/>
        <v>0.5913271278078146</v>
      </c>
      <c r="I116" s="186" t="s">
        <v>1176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179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179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179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179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179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179">
        <f t="shared" si="25"/>
        <v>0.36989465902790614</v>
      </c>
      <c r="I122" s="39" t="s">
        <v>1253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179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179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179">
        <f t="shared" si="28"/>
        <v>0.83622828784119119</v>
      </c>
      <c r="I125" s="438" t="s">
        <v>1258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179">
        <f t="shared" si="28"/>
        <v>0.8659184878913172</v>
      </c>
      <c r="I126" s="39"/>
      <c r="J126" s="39"/>
      <c r="K126" s="781">
        <f t="shared" si="29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179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179">
        <f t="shared" si="28"/>
        <v>0.35217784396107005</v>
      </c>
      <c r="I128" s="39" t="s">
        <v>1253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179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179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179">
        <f t="shared" si="28"/>
        <v>0.37921253700650603</v>
      </c>
      <c r="I131" s="39"/>
      <c r="J131" s="39"/>
      <c r="K131" s="781">
        <f t="shared" si="29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179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179">
        <f t="shared" si="28"/>
        <v>2.256841505131129</v>
      </c>
      <c r="I133" s="39"/>
      <c r="J133" s="39"/>
      <c r="K133" s="781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179">
        <f t="shared" si="28"/>
        <v>2.300643579528042</v>
      </c>
      <c r="I134" s="39"/>
      <c r="J134" s="39"/>
      <c r="K134" s="781">
        <f t="shared" si="30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179">
        <f t="shared" si="28"/>
        <v>-1.8829074151654799</v>
      </c>
      <c r="I135" s="39"/>
      <c r="J135" s="39"/>
      <c r="K135" s="781">
        <f t="shared" si="30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179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3" si="31">C137*(E137-D137)</f>
        <v>7264.2000000000007</v>
      </c>
      <c r="G137" s="39">
        <f t="shared" ref="G137:G143" si="32">D137*C137</f>
        <v>9180.7999999999993</v>
      </c>
      <c r="H137" s="179">
        <f t="shared" ref="H137:H143" si="33">(E137-D137)/D137</f>
        <v>0.79123823631927515</v>
      </c>
      <c r="I137" s="39"/>
      <c r="J137" s="39"/>
      <c r="K137" s="781">
        <f t="shared" si="30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179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179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179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179">
        <f t="shared" si="33"/>
        <v>1.0022484541877459</v>
      </c>
      <c r="I141" s="39"/>
      <c r="J141" s="39"/>
      <c r="K141" s="781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179">
        <f t="shared" si="33"/>
        <v>1.0309162450815068</v>
      </c>
      <c r="I142" s="39"/>
      <c r="J142" s="39"/>
      <c r="K142" s="781">
        <f t="shared" ref="K142:K143" si="34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179">
        <f t="shared" si="33"/>
        <v>6.0566727605118826</v>
      </c>
      <c r="I143" s="39"/>
      <c r="J143" s="39"/>
      <c r="K143" s="781">
        <f t="shared" si="34"/>
        <v>10894.31</v>
      </c>
      <c r="L143" s="39">
        <v>19.3</v>
      </c>
    </row>
    <row r="144" spans="1:12" x14ac:dyDescent="0.25">
      <c r="B144" s="164"/>
      <c r="C144" s="10"/>
      <c r="D144" s="39"/>
      <c r="E144" s="39"/>
      <c r="F144" s="39"/>
      <c r="G144" s="39"/>
      <c r="H144" s="179"/>
      <c r="I144" s="39"/>
      <c r="J144" s="39"/>
      <c r="K144" s="39"/>
      <c r="L144" s="39"/>
    </row>
    <row r="145" spans="2:12" x14ac:dyDescent="0.25">
      <c r="B145" s="164"/>
      <c r="C145" s="10"/>
      <c r="D145" s="39"/>
      <c r="E145" s="39"/>
      <c r="F145" s="39"/>
      <c r="G145" s="39"/>
      <c r="H145" s="179"/>
      <c r="I145" s="39"/>
      <c r="J145" s="39"/>
      <c r="K145" s="39"/>
      <c r="L145" s="39"/>
    </row>
    <row r="146" spans="2:12" x14ac:dyDescent="0.25">
      <c r="B146" s="164"/>
      <c r="C146" s="10"/>
      <c r="D146" s="39"/>
      <c r="E146" s="39"/>
      <c r="F146" s="39"/>
      <c r="G146" s="39"/>
      <c r="H146" s="179"/>
      <c r="I146" s="39"/>
      <c r="J146" s="39"/>
      <c r="K146" s="39"/>
      <c r="L146" s="39"/>
    </row>
    <row r="147" spans="2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2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2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2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2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5">C152*(E152-D152)</f>
        <v>-30.999999999999872</v>
      </c>
      <c r="G152" s="299">
        <f t="shared" ref="G152:G157" si="36">D152*C152</f>
        <v>2500</v>
      </c>
      <c r="H152" s="300">
        <f t="shared" ref="H152:H157" si="37">(E152-D152)/D152</f>
        <v>-1.2399999999999949E-2</v>
      </c>
      <c r="I152" s="299"/>
    </row>
    <row r="153" spans="2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5"/>
        <v>26.000000000000156</v>
      </c>
      <c r="G153" s="299">
        <f t="shared" si="36"/>
        <v>2500</v>
      </c>
      <c r="H153" s="300">
        <f t="shared" si="37"/>
        <v>1.0400000000000062E-2</v>
      </c>
      <c r="I153" s="299"/>
    </row>
    <row r="154" spans="2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5"/>
        <v>157.00000000000003</v>
      </c>
      <c r="G154" s="299">
        <f t="shared" si="36"/>
        <v>2500</v>
      </c>
      <c r="H154" s="300">
        <f t="shared" si="37"/>
        <v>6.2800000000000009E-2</v>
      </c>
      <c r="I154" s="299"/>
    </row>
    <row r="155" spans="2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5"/>
        <v>46.999999999999886</v>
      </c>
      <c r="G155" s="299">
        <f t="shared" si="36"/>
        <v>2500</v>
      </c>
      <c r="H155" s="300">
        <f t="shared" si="37"/>
        <v>1.8799999999999956E-2</v>
      </c>
      <c r="I155" s="299"/>
    </row>
    <row r="156" spans="2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5"/>
        <v>69.000000000000128</v>
      </c>
      <c r="G156" s="299">
        <f t="shared" si="36"/>
        <v>2500</v>
      </c>
      <c r="H156" s="300">
        <f t="shared" si="37"/>
        <v>2.7600000000000052E-2</v>
      </c>
      <c r="I156" s="299"/>
    </row>
    <row r="157" spans="2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5"/>
        <v>148.00000000000006</v>
      </c>
      <c r="G157" s="299">
        <f t="shared" si="36"/>
        <v>2500</v>
      </c>
      <c r="H157" s="300">
        <f t="shared" si="37"/>
        <v>5.9200000000000016E-2</v>
      </c>
      <c r="I157" s="299"/>
    </row>
    <row r="158" spans="2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8">C158*(E158-D158)</f>
        <v>428.00000000000011</v>
      </c>
      <c r="G158" s="299">
        <f t="shared" ref="G158:G164" si="39">D158*C158</f>
        <v>2500</v>
      </c>
      <c r="H158" s="300">
        <f t="shared" ref="H158:H164" si="40">(E158-D158)/D158</f>
        <v>0.17120000000000005</v>
      </c>
      <c r="I158" s="299"/>
    </row>
    <row r="159" spans="2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8"/>
        <v>368</v>
      </c>
      <c r="G159" s="299">
        <f t="shared" si="39"/>
        <v>2500</v>
      </c>
      <c r="H159" s="300">
        <f t="shared" si="40"/>
        <v>0.1472</v>
      </c>
      <c r="I159" s="299"/>
    </row>
    <row r="160" spans="2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8"/>
        <v>401.00000000000017</v>
      </c>
      <c r="G160" s="299">
        <f t="shared" si="39"/>
        <v>2500</v>
      </c>
      <c r="H160" s="300">
        <f t="shared" si="40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8"/>
        <v>389.00000000000006</v>
      </c>
      <c r="G161" s="299">
        <f t="shared" si="39"/>
        <v>2500</v>
      </c>
      <c r="H161" s="300">
        <f t="shared" si="40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8"/>
        <v>362.99999999999989</v>
      </c>
      <c r="G162" s="299">
        <f t="shared" si="39"/>
        <v>2500</v>
      </c>
      <c r="H162" s="300">
        <f t="shared" si="40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8"/>
        <v>434</v>
      </c>
      <c r="G163" s="299">
        <f t="shared" si="39"/>
        <v>2500</v>
      </c>
      <c r="H163" s="300">
        <f t="shared" si="40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8"/>
        <v>200</v>
      </c>
      <c r="G164" s="299">
        <f t="shared" si="39"/>
        <v>2500</v>
      </c>
      <c r="H164" s="300">
        <f t="shared" si="40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1">C169*(E169-D169)</f>
        <v>-9.9999999999999645</v>
      </c>
      <c r="G169" s="198">
        <f t="shared" ref="G169:G174" si="42">D169*C169</f>
        <v>1287</v>
      </c>
      <c r="H169" s="212">
        <f t="shared" ref="H169:H174" si="43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1"/>
        <v>-45.999999999999908</v>
      </c>
      <c r="G170" s="198">
        <f t="shared" si="42"/>
        <v>1287</v>
      </c>
      <c r="H170" s="212">
        <f t="shared" si="43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1"/>
        <v>-82.000000000000028</v>
      </c>
      <c r="G171" s="198">
        <f t="shared" si="42"/>
        <v>2496</v>
      </c>
      <c r="H171" s="212">
        <f t="shared" si="43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1"/>
        <v>-99.000000000000028</v>
      </c>
      <c r="G172" s="198">
        <f t="shared" si="42"/>
        <v>3720</v>
      </c>
      <c r="H172" s="212">
        <f t="shared" si="43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1"/>
        <v>-121.50000000000034</v>
      </c>
      <c r="G173" s="198">
        <f t="shared" si="42"/>
        <v>3720</v>
      </c>
      <c r="H173" s="212">
        <f t="shared" si="43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1"/>
        <v>-50.999999999999979</v>
      </c>
      <c r="G174" s="198">
        <f t="shared" si="42"/>
        <v>3720</v>
      </c>
      <c r="H174" s="212">
        <f t="shared" si="43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4">C175*(E175-D175)</f>
        <v>13.499999999999979</v>
      </c>
      <c r="G175" s="198">
        <f t="shared" ref="G175:G186" si="45">D175*C175</f>
        <v>3720</v>
      </c>
      <c r="H175" s="212">
        <f t="shared" ref="H175:H186" si="46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4"/>
        <v>40.499999999999936</v>
      </c>
      <c r="G176" s="198">
        <f t="shared" si="45"/>
        <v>3720</v>
      </c>
      <c r="H176" s="212">
        <f t="shared" si="46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4"/>
        <v>7.5000000000001066</v>
      </c>
      <c r="G177" s="198">
        <f t="shared" si="45"/>
        <v>3720</v>
      </c>
      <c r="H177" s="212">
        <f t="shared" si="46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4"/>
        <v>-33.000000000000362</v>
      </c>
      <c r="G178" s="198">
        <f t="shared" si="45"/>
        <v>3720</v>
      </c>
      <c r="H178" s="212">
        <f t="shared" si="46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4"/>
        <v>-211.50000000000003</v>
      </c>
      <c r="G179" s="198">
        <f t="shared" si="45"/>
        <v>3720</v>
      </c>
      <c r="H179" s="212">
        <f t="shared" si="46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4"/>
        <v>-144.00000000000011</v>
      </c>
      <c r="G180" s="198">
        <f t="shared" si="45"/>
        <v>3720</v>
      </c>
      <c r="H180" s="212">
        <f t="shared" si="46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4"/>
        <v>-73.500000000000298</v>
      </c>
      <c r="G181" s="198">
        <f t="shared" si="45"/>
        <v>3720</v>
      </c>
      <c r="H181" s="212">
        <f t="shared" si="46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4"/>
        <v>-104.53499999999991</v>
      </c>
      <c r="G182" s="198">
        <f t="shared" si="45"/>
        <v>3694.0349999999999</v>
      </c>
      <c r="H182" s="212">
        <f t="shared" si="46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4"/>
        <v>-164.53499999999968</v>
      </c>
      <c r="G183" s="198">
        <f t="shared" si="45"/>
        <v>3694.0349999999999</v>
      </c>
      <c r="H183" s="212">
        <f t="shared" si="46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4"/>
        <v>8.2949999999998525</v>
      </c>
      <c r="G184" s="198">
        <f t="shared" si="45"/>
        <v>3639.7050000000004</v>
      </c>
      <c r="H184" s="212">
        <f t="shared" si="46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4"/>
        <v>69.794999999999874</v>
      </c>
      <c r="G185" s="198">
        <f t="shared" si="45"/>
        <v>3639.7050000000004</v>
      </c>
      <c r="H185" s="212">
        <f t="shared" si="46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4"/>
        <v>589.25999999999976</v>
      </c>
      <c r="G186" s="198">
        <f t="shared" si="45"/>
        <v>2250.7400000000002</v>
      </c>
      <c r="H186" s="212">
        <f t="shared" si="46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06" priority="112">
      <formula>F95&gt;0</formula>
    </cfRule>
    <cfRule type="expression" dxfId="1105" priority="113">
      <formula>F95&lt;0</formula>
    </cfRule>
  </conditionalFormatting>
  <conditionalFormatting sqref="Q7">
    <cfRule type="expression" dxfId="1104" priority="100">
      <formula>Q7&gt;0</formula>
    </cfRule>
    <cfRule type="expression" dxfId="1103" priority="101">
      <formula>Q7&lt;0</formula>
    </cfRule>
  </conditionalFormatting>
  <conditionalFormatting sqref="Q8">
    <cfRule type="expression" dxfId="1102" priority="98">
      <formula>Q8&gt;0</formula>
    </cfRule>
    <cfRule type="expression" dxfId="1101" priority="99">
      <formula>Q8&lt;0</formula>
    </cfRule>
  </conditionalFormatting>
  <conditionalFormatting sqref="F152:F164">
    <cfRule type="expression" dxfId="1100" priority="96">
      <formula>F152&gt;0</formula>
    </cfRule>
    <cfRule type="expression" dxfId="1099" priority="97">
      <formula>F152&lt;0</formula>
    </cfRule>
  </conditionalFormatting>
  <conditionalFormatting sqref="H152:H164">
    <cfRule type="expression" dxfId="1098" priority="94">
      <formula>H152&gt;0</formula>
    </cfRule>
    <cfRule type="expression" dxfId="1097" priority="95">
      <formula>H152&lt;0</formula>
    </cfRule>
  </conditionalFormatting>
  <conditionalFormatting sqref="H168:H171">
    <cfRule type="expression" dxfId="1096" priority="90">
      <formula>H168&gt;0</formula>
    </cfRule>
    <cfRule type="expression" dxfId="1095" priority="91">
      <formula>H168&lt;0</formula>
    </cfRule>
  </conditionalFormatting>
  <conditionalFormatting sqref="F168:F171">
    <cfRule type="expression" dxfId="1094" priority="92">
      <formula>F168&gt;0</formula>
    </cfRule>
    <cfRule type="expression" dxfId="1093" priority="93">
      <formula>F168&lt;0</formula>
    </cfRule>
  </conditionalFormatting>
  <conditionalFormatting sqref="M194">
    <cfRule type="expression" dxfId="1092" priority="88">
      <formula>M194&gt;0</formula>
    </cfRule>
    <cfRule type="expression" dxfId="1091" priority="89">
      <formula>M194&lt;0</formula>
    </cfRule>
  </conditionalFormatting>
  <conditionalFormatting sqref="F47:F48 F55:F92">
    <cfRule type="expression" dxfId="1090" priority="86">
      <formula>F47&gt;0</formula>
    </cfRule>
    <cfRule type="expression" dxfId="1089" priority="87">
      <formula>F47&lt;0</formula>
    </cfRule>
  </conditionalFormatting>
  <conditionalFormatting sqref="H47:H48 H55:H92">
    <cfRule type="expression" dxfId="1088" priority="84">
      <formula>H47&gt;0</formula>
    </cfRule>
    <cfRule type="expression" dxfId="1087" priority="85">
      <formula>H47&lt;0</formula>
    </cfRule>
  </conditionalFormatting>
  <conditionalFormatting sqref="Q10">
    <cfRule type="expression" dxfId="1086" priority="82">
      <formula>Q10&gt;0</formula>
    </cfRule>
    <cfRule type="expression" dxfId="1085" priority="83">
      <formula>Q10&lt;0</formula>
    </cfRule>
  </conditionalFormatting>
  <conditionalFormatting sqref="F49:F54">
    <cfRule type="expression" dxfId="1084" priority="80">
      <formula>F49&gt;0</formula>
    </cfRule>
    <cfRule type="expression" dxfId="1083" priority="81">
      <formula>F49&lt;0</formula>
    </cfRule>
  </conditionalFormatting>
  <conditionalFormatting sqref="H49:H54">
    <cfRule type="expression" dxfId="1082" priority="78">
      <formula>H49&gt;0</formula>
    </cfRule>
    <cfRule type="expression" dxfId="1081" priority="79">
      <formula>H49&lt;0</formula>
    </cfRule>
  </conditionalFormatting>
  <conditionalFormatting sqref="K52:K59">
    <cfRule type="expression" dxfId="1080" priority="76">
      <formula>K52&gt;0</formula>
    </cfRule>
    <cfRule type="expression" dxfId="1079" priority="77">
      <formula>K52&lt;0</formula>
    </cfRule>
  </conditionalFormatting>
  <conditionalFormatting sqref="K60:K92">
    <cfRule type="expression" dxfId="1078" priority="74">
      <formula>K60&gt;0</formula>
    </cfRule>
    <cfRule type="expression" dxfId="1077" priority="75">
      <formula>K60&lt;0</formula>
    </cfRule>
  </conditionalFormatting>
  <conditionalFormatting sqref="F93:F94">
    <cfRule type="expression" dxfId="1076" priority="71">
      <formula>F93&gt;0</formula>
    </cfRule>
    <cfRule type="expression" dxfId="1075" priority="72">
      <formula>F93&lt;0</formula>
    </cfRule>
  </conditionalFormatting>
  <conditionalFormatting sqref="H93:H94">
    <cfRule type="expression" dxfId="1074" priority="69">
      <formula>H93&gt;0</formula>
    </cfRule>
    <cfRule type="expression" dxfId="1073" priority="70">
      <formula>H93&lt;0</formula>
    </cfRule>
  </conditionalFormatting>
  <conditionalFormatting sqref="K93:K94">
    <cfRule type="expression" dxfId="1072" priority="67">
      <formula>K93&gt;0</formula>
    </cfRule>
    <cfRule type="expression" dxfId="1071" priority="68">
      <formula>K93&lt;0</formula>
    </cfRule>
  </conditionalFormatting>
  <conditionalFormatting sqref="F103:F105 H103:H105 K103:K105">
    <cfRule type="expression" dxfId="1070" priority="63">
      <formula>F103&gt;0</formula>
    </cfRule>
    <cfRule type="expression" dxfId="1069" priority="64">
      <formula>F103&lt;0</formula>
    </cfRule>
  </conditionalFormatting>
  <conditionalFormatting sqref="L95:L101 L149">
    <cfRule type="expression" dxfId="1068" priority="61">
      <formula>L95&gt;0</formula>
    </cfRule>
    <cfRule type="expression" dxfId="1067" priority="62">
      <formula>L95&lt;0</formula>
    </cfRule>
  </conditionalFormatting>
  <conditionalFormatting sqref="L52:L59">
    <cfRule type="expression" dxfId="1066" priority="59">
      <formula>L52&gt;0</formula>
    </cfRule>
    <cfRule type="expression" dxfId="1065" priority="60">
      <formula>L52&lt;0</formula>
    </cfRule>
  </conditionalFormatting>
  <conditionalFormatting sqref="L60:L92">
    <cfRule type="expression" dxfId="1064" priority="57">
      <formula>L60&gt;0</formula>
    </cfRule>
    <cfRule type="expression" dxfId="1063" priority="58">
      <formula>L60&lt;0</formula>
    </cfRule>
  </conditionalFormatting>
  <conditionalFormatting sqref="L93:L94">
    <cfRule type="expression" dxfId="1062" priority="55">
      <formula>L93&gt;0</formula>
    </cfRule>
    <cfRule type="expression" dxfId="1061" priority="56">
      <formula>L93&lt;0</formula>
    </cfRule>
  </conditionalFormatting>
  <conditionalFormatting sqref="L103:L105">
    <cfRule type="expression" dxfId="1060" priority="53">
      <formula>L103&gt;0</formula>
    </cfRule>
    <cfRule type="expression" dxfId="1059" priority="54">
      <formula>L103&lt;0</formula>
    </cfRule>
  </conditionalFormatting>
  <conditionalFormatting sqref="F112:F115 H112:H115">
    <cfRule type="expression" dxfId="1058" priority="51">
      <formula>F112&gt;0</formula>
    </cfRule>
    <cfRule type="expression" dxfId="1057" priority="52">
      <formula>F112&lt;0</formula>
    </cfRule>
  </conditionalFormatting>
  <conditionalFormatting sqref="K109:K111 F109:F111 H109:H111">
    <cfRule type="expression" dxfId="1056" priority="47">
      <formula>F109&gt;0</formula>
    </cfRule>
    <cfRule type="expression" dxfId="1055" priority="48">
      <formula>F109&lt;0</formula>
    </cfRule>
  </conditionalFormatting>
  <conditionalFormatting sqref="L109:L110">
    <cfRule type="expression" dxfId="1054" priority="45">
      <formula>L109&gt;0</formula>
    </cfRule>
    <cfRule type="expression" dxfId="1053" priority="46">
      <formula>L109&lt;0</formula>
    </cfRule>
  </conditionalFormatting>
  <conditionalFormatting sqref="K106:K108 F106:F108 H106:H108">
    <cfRule type="expression" dxfId="1052" priority="43">
      <formula>F106&gt;0</formula>
    </cfRule>
    <cfRule type="expression" dxfId="1051" priority="44">
      <formula>F106&lt;0</formula>
    </cfRule>
  </conditionalFormatting>
  <conditionalFormatting sqref="L107:L108">
    <cfRule type="expression" dxfId="1050" priority="41">
      <formula>L107&gt;0</formula>
    </cfRule>
    <cfRule type="expression" dxfId="1049" priority="42">
      <formula>L107&lt;0</formula>
    </cfRule>
  </conditionalFormatting>
  <conditionalFormatting sqref="H117:H120 F117:F120">
    <cfRule type="expression" dxfId="1048" priority="35">
      <formula>F117&gt;0</formula>
    </cfRule>
    <cfRule type="expression" dxfId="1047" priority="36">
      <formula>F117&lt;0</formula>
    </cfRule>
  </conditionalFormatting>
  <conditionalFormatting sqref="H121:H124 F121:F124">
    <cfRule type="expression" dxfId="1046" priority="31">
      <formula>F121&gt;0</formula>
    </cfRule>
    <cfRule type="expression" dxfId="1045" priority="32">
      <formula>F121&lt;0</formula>
    </cfRule>
  </conditionalFormatting>
  <conditionalFormatting sqref="F126:F131 H126:H131 K126:K131">
    <cfRule type="expression" dxfId="1044" priority="27">
      <formula>F126&gt;0</formula>
    </cfRule>
    <cfRule type="expression" dxfId="1043" priority="28">
      <formula>F126&lt;0</formula>
    </cfRule>
  </conditionalFormatting>
  <conditionalFormatting sqref="L130:L131">
    <cfRule type="expression" dxfId="1042" priority="21">
      <formula>L130&gt;0</formula>
    </cfRule>
    <cfRule type="expression" dxfId="1041" priority="22">
      <formula>L130&lt;0</formula>
    </cfRule>
  </conditionalFormatting>
  <conditionalFormatting sqref="F132:F134 H132:H134 K132:K135">
    <cfRule type="expression" dxfId="1040" priority="19">
      <formula>F132&gt;0</formula>
    </cfRule>
    <cfRule type="expression" dxfId="1039" priority="20">
      <formula>F132&lt;0</formula>
    </cfRule>
  </conditionalFormatting>
  <conditionalFormatting sqref="F135:F137 H135:H137 K136:K137">
    <cfRule type="expression" dxfId="1038" priority="15">
      <formula>F135&gt;0</formula>
    </cfRule>
    <cfRule type="expression" dxfId="1037" priority="16">
      <formula>F135&lt;0</formula>
    </cfRule>
  </conditionalFormatting>
  <conditionalFormatting sqref="F138:F140 H138:H140 K138:K140">
    <cfRule type="expression" dxfId="1036" priority="11">
      <formula>F138&gt;0</formula>
    </cfRule>
    <cfRule type="expression" dxfId="1035" priority="12">
      <formula>F138&lt;0</formula>
    </cfRule>
  </conditionalFormatting>
  <conditionalFormatting sqref="F141:F143 H141:H143 K141:K143">
    <cfRule type="expression" dxfId="1034" priority="7">
      <formula>F141&gt;0</formula>
    </cfRule>
    <cfRule type="expression" dxfId="1033" priority="8">
      <formula>F141&lt;0</formula>
    </cfRule>
  </conditionalFormatting>
  <conditionalFormatting sqref="F144:F146 H144:H146 K144:K146">
    <cfRule type="expression" dxfId="1032" priority="3">
      <formula>F144&gt;0</formula>
    </cfRule>
    <cfRule type="expression" dxfId="1031" priority="4">
      <formula>F144&lt;0</formula>
    </cfRule>
  </conditionalFormatting>
  <conditionalFormatting sqref="L146">
    <cfRule type="expression" dxfId="1030" priority="1">
      <formula>L146&gt;0</formula>
    </cfRule>
    <cfRule type="expression" dxfId="1029" priority="2">
      <formula>L146&lt;0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8" priority="9">
      <formula>F39&gt;0</formula>
    </cfRule>
    <cfRule type="expression" dxfId="1027" priority="10">
      <formula>F39&lt;0</formula>
    </cfRule>
  </conditionalFormatting>
  <conditionalFormatting sqref="F25:F38">
    <cfRule type="expression" dxfId="1026" priority="7">
      <formula>F25&gt;0</formula>
    </cfRule>
    <cfRule type="expression" dxfId="1025" priority="8">
      <formula>F25&lt;0</formula>
    </cfRule>
  </conditionalFormatting>
  <conditionalFormatting sqref="H25:H38">
    <cfRule type="expression" dxfId="1024" priority="5">
      <formula>H25&gt;0</formula>
    </cfRule>
    <cfRule type="expression" dxfId="1023" priority="6">
      <formula>H25&lt;0</formula>
    </cfRule>
  </conditionalFormatting>
  <conditionalFormatting sqref="Q7">
    <cfRule type="expression" dxfId="1022" priority="3">
      <formula>Q7&gt;0</formula>
    </cfRule>
    <cfRule type="expression" dxfId="1021" priority="4">
      <formula>Q7&lt;0</formula>
    </cfRule>
  </conditionalFormatting>
  <conditionalFormatting sqref="Q8">
    <cfRule type="expression" dxfId="1020" priority="1">
      <formula>Q8&gt;0</formula>
    </cfRule>
    <cfRule type="expression" dxfId="101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8" priority="29">
      <formula>F29&gt;0</formula>
    </cfRule>
    <cfRule type="expression" dxfId="1017" priority="30">
      <formula>F29&lt;0</formula>
    </cfRule>
  </conditionalFormatting>
  <conditionalFormatting sqref="Q7">
    <cfRule type="expression" dxfId="1016" priority="27">
      <formula>Q7&gt;0</formula>
    </cfRule>
    <cfRule type="expression" dxfId="1015" priority="28">
      <formula>Q7&lt;0</formula>
    </cfRule>
  </conditionalFormatting>
  <conditionalFormatting sqref="Q8">
    <cfRule type="expression" dxfId="1014" priority="25">
      <formula>Q8&gt;0</formula>
    </cfRule>
    <cfRule type="expression" dxfId="1013" priority="26">
      <formula>Q8&lt;0</formula>
    </cfRule>
  </conditionalFormatting>
  <conditionalFormatting sqref="F96:F110">
    <cfRule type="expression" dxfId="1012" priority="19">
      <formula>F96&gt;0</formula>
    </cfRule>
    <cfRule type="expression" dxfId="1011" priority="20">
      <formula>F96&lt;0</formula>
    </cfRule>
  </conditionalFormatting>
  <conditionalFormatting sqref="H96:H110">
    <cfRule type="expression" dxfId="1010" priority="17">
      <formula>H96&gt;0</formula>
    </cfRule>
    <cfRule type="expression" dxfId="1009" priority="18">
      <formula>H96&lt;0</formula>
    </cfRule>
  </conditionalFormatting>
  <conditionalFormatting sqref="Q10">
    <cfRule type="expression" dxfId="1008" priority="15">
      <formula>Q10&gt;0</formula>
    </cfRule>
    <cfRule type="expression" dxfId="1007" priority="16">
      <formula>Q10&lt;0</formula>
    </cfRule>
  </conditionalFormatting>
  <conditionalFormatting sqref="L29:L38">
    <cfRule type="expression" dxfId="1006" priority="9">
      <formula>L29&gt;0</formula>
    </cfRule>
    <cfRule type="expression" dxfId="1005" priority="10">
      <formula>L29&lt;0</formula>
    </cfRule>
  </conditionalFormatting>
  <conditionalFormatting sqref="F27:F29 H27:H29 J25:K29">
    <cfRule type="expression" dxfId="1004" priority="7">
      <formula>F25&gt;0</formula>
    </cfRule>
    <cfRule type="expression" dxfId="1003" priority="8">
      <formula>F25&lt;0</formula>
    </cfRule>
  </conditionalFormatting>
  <conditionalFormatting sqref="L25:L29">
    <cfRule type="expression" dxfId="1002" priority="5">
      <formula>L25&gt;0</formula>
    </cfRule>
    <cfRule type="expression" dxfId="1001" priority="6">
      <formula>L25&lt;0</formula>
    </cfRule>
  </conditionalFormatting>
  <conditionalFormatting sqref="F25:F26">
    <cfRule type="expression" dxfId="1000" priority="3">
      <formula>F25&gt;0</formula>
    </cfRule>
    <cfRule type="expression" dxfId="999" priority="4">
      <formula>F25&lt;0</formula>
    </cfRule>
  </conditionalFormatting>
  <conditionalFormatting sqref="H25:H26">
    <cfRule type="expression" dxfId="998" priority="1">
      <formula>H25&gt;0</formula>
    </cfRule>
    <cfRule type="expression" dxfId="99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71.078499999999991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96.03</v>
      </c>
      <c r="R4" s="425">
        <v>1.9400000000000001E-2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3841.2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998.0600000000004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998.0600000000004</v>
      </c>
      <c r="T8" s="1"/>
      <c r="U8" t="s">
        <v>959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0.35104145416687205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2.3742580443611369E-2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20.17436974789916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105.63300000000001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104.67270000000001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103.7124</v>
      </c>
      <c r="W21" s="134"/>
    </row>
    <row r="22" spans="1:23" x14ac:dyDescent="0.25">
      <c r="O22" s="81">
        <v>1.07</v>
      </c>
      <c r="P22" s="81">
        <f t="shared" si="1"/>
        <v>102.75210000000001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101.79180000000001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100.83150000000001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99.871200000000002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98.910899999999998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97.950600000000009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96.990300000000005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96.03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95.069699999999997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94.109399999999994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93.149100000000004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92.188800000000001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91.228499999999997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90.268199999999993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89.307900000000004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88.3476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87.38730000000001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86.427000000000007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179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6" priority="35">
      <formula>F60&gt;0</formula>
    </cfRule>
    <cfRule type="expression" dxfId="995" priority="36">
      <formula>F60&lt;0</formula>
    </cfRule>
  </conditionalFormatting>
  <conditionalFormatting sqref="Q7">
    <cfRule type="expression" dxfId="994" priority="33">
      <formula>Q7&gt;0</formula>
    </cfRule>
    <cfRule type="expression" dxfId="993" priority="34">
      <formula>Q7&lt;0</formula>
    </cfRule>
  </conditionalFormatting>
  <conditionalFormatting sqref="Q8">
    <cfRule type="expression" dxfId="992" priority="31">
      <formula>Q8&gt;0</formula>
    </cfRule>
    <cfRule type="expression" dxfId="991" priority="32">
      <formula>Q8&lt;0</formula>
    </cfRule>
  </conditionalFormatting>
  <conditionalFormatting sqref="F25:F29 F34:F59">
    <cfRule type="expression" dxfId="990" priority="29">
      <formula>F25&gt;0</formula>
    </cfRule>
    <cfRule type="expression" dxfId="989" priority="30">
      <formula>F25&lt;0</formula>
    </cfRule>
  </conditionalFormatting>
  <conditionalFormatting sqref="H25:H29 H34:H59">
    <cfRule type="expression" dxfId="988" priority="27">
      <formula>H25&gt;0</formula>
    </cfRule>
    <cfRule type="expression" dxfId="987" priority="28">
      <formula>H25&lt;0</formula>
    </cfRule>
  </conditionalFormatting>
  <conditionalFormatting sqref="F89:F110">
    <cfRule type="expression" dxfId="986" priority="25">
      <formula>F89&gt;0</formula>
    </cfRule>
    <cfRule type="expression" dxfId="985" priority="26">
      <formula>F89&lt;0</formula>
    </cfRule>
  </conditionalFormatting>
  <conditionalFormatting sqref="H89:H110">
    <cfRule type="expression" dxfId="984" priority="23">
      <formula>H89&gt;0</formula>
    </cfRule>
    <cfRule type="expression" dxfId="983" priority="24">
      <formula>H89&lt;0</formula>
    </cfRule>
  </conditionalFormatting>
  <conditionalFormatting sqref="Q10">
    <cfRule type="expression" dxfId="982" priority="21">
      <formula>Q10&gt;0</formula>
    </cfRule>
    <cfRule type="expression" dxfId="981" priority="22">
      <formula>Q10&lt;0</formula>
    </cfRule>
  </conditionalFormatting>
  <conditionalFormatting sqref="J25:J32 J34:J38">
    <cfRule type="expression" dxfId="980" priority="19">
      <formula>J25&gt;0</formula>
    </cfRule>
    <cfRule type="expression" dxfId="979" priority="20">
      <formula>J25&lt;0</formula>
    </cfRule>
  </conditionalFormatting>
  <conditionalFormatting sqref="K25:K30">
    <cfRule type="expression" dxfId="978" priority="17">
      <formula>K25&gt;0</formula>
    </cfRule>
    <cfRule type="expression" dxfId="977" priority="18">
      <formula>K25&lt;0</formula>
    </cfRule>
  </conditionalFormatting>
  <conditionalFormatting sqref="L25:L38">
    <cfRule type="expression" dxfId="976" priority="15">
      <formula>L25&gt;0</formula>
    </cfRule>
    <cfRule type="expression" dxfId="975" priority="16">
      <formula>L25&lt;0</formula>
    </cfRule>
  </conditionalFormatting>
  <conditionalFormatting sqref="F30:F33">
    <cfRule type="expression" dxfId="974" priority="13">
      <formula>F30&gt;0</formula>
    </cfRule>
    <cfRule type="expression" dxfId="973" priority="14">
      <formula>F30&lt;0</formula>
    </cfRule>
  </conditionalFormatting>
  <conditionalFormatting sqref="H30:H33">
    <cfRule type="expression" dxfId="972" priority="11">
      <formula>H30&gt;0</formula>
    </cfRule>
    <cfRule type="expression" dxfId="971" priority="12">
      <formula>H30&lt;0</formula>
    </cfRule>
  </conditionalFormatting>
  <conditionalFormatting sqref="L39:L44">
    <cfRule type="expression" dxfId="970" priority="3">
      <formula>L39&gt;0</formula>
    </cfRule>
    <cfRule type="expression" dxfId="969" priority="4">
      <formula>L39&lt;0</formula>
    </cfRule>
  </conditionalFormatting>
  <conditionalFormatting sqref="L45:L46">
    <cfRule type="expression" dxfId="968" priority="1">
      <formula>L45&gt;0</formula>
    </cfRule>
    <cfRule type="expression" dxfId="96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6" priority="49">
      <formula>Q7&gt;0</formula>
    </cfRule>
    <cfRule type="expression" dxfId="965" priority="50">
      <formula>Q7&lt;0</formula>
    </cfRule>
  </conditionalFormatting>
  <conditionalFormatting sqref="Q8">
    <cfRule type="expression" dxfId="964" priority="47">
      <formula>Q8&gt;0</formula>
    </cfRule>
    <cfRule type="expression" dxfId="963" priority="48">
      <formula>Q8&lt;0</formula>
    </cfRule>
  </conditionalFormatting>
  <conditionalFormatting sqref="F26:F38">
    <cfRule type="expression" dxfId="962" priority="45">
      <formula>F26&gt;0</formula>
    </cfRule>
    <cfRule type="expression" dxfId="961" priority="46">
      <formula>F26&lt;0</formula>
    </cfRule>
  </conditionalFormatting>
  <conditionalFormatting sqref="H26:H38">
    <cfRule type="expression" dxfId="960" priority="43">
      <formula>H26&gt;0</formula>
    </cfRule>
    <cfRule type="expression" dxfId="959" priority="44">
      <formula>H26&lt;0</formula>
    </cfRule>
  </conditionalFormatting>
  <conditionalFormatting sqref="H25">
    <cfRule type="expression" dxfId="958" priority="23">
      <formula>H25&gt;0</formula>
    </cfRule>
    <cfRule type="expression" dxfId="957" priority="24">
      <formula>H25&lt;0</formula>
    </cfRule>
  </conditionalFormatting>
  <conditionalFormatting sqref="Q10">
    <cfRule type="expression" dxfId="956" priority="37">
      <formula>Q10&gt;0</formula>
    </cfRule>
    <cfRule type="expression" dxfId="955" priority="38">
      <formula>Q10&lt;0</formula>
    </cfRule>
  </conditionalFormatting>
  <conditionalFormatting sqref="F25">
    <cfRule type="expression" dxfId="954" priority="25">
      <formula>F25&gt;0</formula>
    </cfRule>
    <cfRule type="expression" dxfId="953" priority="26">
      <formula>F25&lt;0</formula>
    </cfRule>
  </conditionalFormatting>
  <conditionalFormatting sqref="J65:K72">
    <cfRule type="expression" dxfId="952" priority="19">
      <formula>J65&gt;0</formula>
    </cfRule>
    <cfRule type="expression" dxfId="951" priority="20">
      <formula>J65&lt;0</formula>
    </cfRule>
  </conditionalFormatting>
  <conditionalFormatting sqref="F65:F83 F89">
    <cfRule type="expression" dxfId="950" priority="17">
      <formula>F65&gt;0</formula>
    </cfRule>
    <cfRule type="expression" dxfId="949" priority="18">
      <formula>F65&lt;0</formula>
    </cfRule>
  </conditionalFormatting>
  <conditionalFormatting sqref="H65:H83 H89">
    <cfRule type="expression" dxfId="948" priority="15">
      <formula>H65&gt;0</formula>
    </cfRule>
    <cfRule type="expression" dxfId="947" priority="16">
      <formula>H65&lt;0</formula>
    </cfRule>
  </conditionalFormatting>
  <conditionalFormatting sqref="J76:J78">
    <cfRule type="expression" dxfId="946" priority="13">
      <formula>J76&gt;0</formula>
    </cfRule>
    <cfRule type="expression" dxfId="945" priority="14">
      <formula>J76&lt;0</formula>
    </cfRule>
  </conditionalFormatting>
  <conditionalFormatting sqref="K76:K78">
    <cfRule type="expression" dxfId="944" priority="11">
      <formula>K76&gt;0</formula>
    </cfRule>
    <cfRule type="expression" dxfId="943" priority="12">
      <formula>K76&lt;0</formula>
    </cfRule>
  </conditionalFormatting>
  <conditionalFormatting sqref="L65:L78">
    <cfRule type="expression" dxfId="942" priority="9">
      <formula>L65&gt;0</formula>
    </cfRule>
    <cfRule type="expression" dxfId="941" priority="10">
      <formula>L65&lt;0</formula>
    </cfRule>
  </conditionalFormatting>
  <conditionalFormatting sqref="F84:F88">
    <cfRule type="expression" dxfId="940" priority="7">
      <formula>F84&gt;0</formula>
    </cfRule>
    <cfRule type="expression" dxfId="939" priority="8">
      <formula>F84&lt;0</formula>
    </cfRule>
  </conditionalFormatting>
  <conditionalFormatting sqref="H84:H88">
    <cfRule type="expression" dxfId="938" priority="5">
      <formula>H84&gt;0</formula>
    </cfRule>
    <cfRule type="expression" dxfId="937" priority="6">
      <formula>H84&lt;0</formula>
    </cfRule>
  </conditionalFormatting>
  <conditionalFormatting sqref="M65:M78">
    <cfRule type="expression" dxfId="936" priority="3">
      <formula>M65&gt;0</formula>
    </cfRule>
    <cfRule type="expression" dxfId="935" priority="4">
      <formula>M65&lt;0</formula>
    </cfRule>
  </conditionalFormatting>
  <conditionalFormatting sqref="M26:M31">
    <cfRule type="expression" dxfId="934" priority="1">
      <formula>M26&gt;0</formula>
    </cfRule>
    <cfRule type="expression" dxfId="93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331</v>
      </c>
      <c r="AJ2">
        <f>$Q$2*$Q$4</f>
        <v>7451.97</v>
      </c>
      <c r="AK2">
        <f ca="1">AJ2*EXP(-$X$2 * AI2/365.25)</f>
        <v>19830.186081996359</v>
      </c>
      <c r="AM2" s="2">
        <f>Q10</f>
        <v>0</v>
      </c>
      <c r="AO2">
        <f ca="1" xml:space="preserve"> (SUM(AB:AB) - SUM(AE:AE) - SUM(AH:AH) - SUM(AK:AK))/SUM(AB:AB)</f>
        <v>-0.93937070399590417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30.639533333333311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331</v>
      </c>
      <c r="AJ3">
        <f t="shared" ref="AJ3:AJ17" si="11">$Q$2*$Q$4</f>
        <v>7451.97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24.8399</v>
      </c>
      <c r="R4" s="425">
        <v>-1.47E-2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331</v>
      </c>
      <c r="AJ4">
        <f t="shared" si="11"/>
        <v>7451.97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7451.97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331</v>
      </c>
      <c r="AJ5">
        <f t="shared" si="11"/>
        <v>7451.97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331</v>
      </c>
      <c r="AJ6">
        <f t="shared" si="11"/>
        <v>7451.97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-1739.8899999999931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331</v>
      </c>
      <c r="AJ7">
        <f t="shared" si="11"/>
        <v>7451.97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-1739.8899999999931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331</v>
      </c>
      <c r="AJ8">
        <f t="shared" si="11"/>
        <v>7451.97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-0.18928595518208441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331</v>
      </c>
      <c r="AJ9">
        <f t="shared" si="11"/>
        <v>7451.97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M82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331</v>
      </c>
      <c r="AJ10">
        <f t="shared" si="11"/>
        <v>7451.97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4.1868123462654845E-2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331</v>
      </c>
      <c r="AJ11">
        <f t="shared" si="11"/>
        <v>7451.97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1299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331</v>
      </c>
      <c r="AJ12">
        <f t="shared" si="11"/>
        <v>7451.97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14.611705882352942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331</v>
      </c>
      <c r="AJ13">
        <f t="shared" si="11"/>
        <v>7451.97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331</v>
      </c>
      <c r="AJ14">
        <f t="shared" si="11"/>
        <v>7451.97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331</v>
      </c>
      <c r="AJ15">
        <f t="shared" si="11"/>
        <v>7451.97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331</v>
      </c>
      <c r="AJ16">
        <f t="shared" si="11"/>
        <v>7451.97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331</v>
      </c>
      <c r="AJ17">
        <f t="shared" si="11"/>
        <v>7451.97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27.323890000000002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27.075491000000003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26.827092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26.578693000000001</v>
      </c>
      <c r="T22" s="156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26.330294000000002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26.081895000000003</v>
      </c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1397</v>
      </c>
      <c r="I25" s="279"/>
      <c r="J25" s="279"/>
      <c r="K25" s="280">
        <f>SumByColor($A$25,K2:K23)</f>
        <v>33944</v>
      </c>
      <c r="L25" s="279"/>
      <c r="M25" s="280">
        <f>SumByColor($A$25,M2:M23)</f>
        <v>338</v>
      </c>
      <c r="O25" s="81">
        <v>1.04</v>
      </c>
      <c r="P25" s="81">
        <f t="shared" si="13"/>
        <v>25.833496</v>
      </c>
      <c r="T25" s="156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25.585097000000001</v>
      </c>
      <c r="W26" s="134"/>
    </row>
    <row r="27" spans="1:39" x14ac:dyDescent="0.25">
      <c r="O27" s="81">
        <v>1.02</v>
      </c>
      <c r="P27" s="81">
        <f t="shared" si="13"/>
        <v>25.336698000000002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25.088298999999999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24.8399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24.591501000000001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24.343101999999998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24.094702999999999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23.846304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23.597904999999997</v>
      </c>
      <c r="W34" s="134"/>
    </row>
    <row r="35" spans="1:23" x14ac:dyDescent="0.25">
      <c r="B35" s="16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23.349505999999998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23.101107000000003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22.852708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22.604309000000001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22.355910000000002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179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23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440" t="s">
        <v>1</v>
      </c>
      <c r="B83" s="440" t="s">
        <v>2</v>
      </c>
      <c r="C83" s="440" t="s">
        <v>4</v>
      </c>
      <c r="D83" s="441" t="s">
        <v>5</v>
      </c>
      <c r="E83" s="441" t="s">
        <v>94</v>
      </c>
      <c r="F83" s="441" t="s">
        <v>60</v>
      </c>
      <c r="G83" s="440" t="s">
        <v>3</v>
      </c>
      <c r="H83" s="440" t="s">
        <v>6</v>
      </c>
      <c r="I83" s="441" t="s">
        <v>7</v>
      </c>
      <c r="J83" s="441" t="s">
        <v>95</v>
      </c>
      <c r="K83" s="441" t="s">
        <v>61</v>
      </c>
      <c r="L83" s="440" t="s">
        <v>37</v>
      </c>
      <c r="M83" s="440" t="s">
        <v>38</v>
      </c>
    </row>
    <row r="84" spans="1:13" x14ac:dyDescent="0.25">
      <c r="A84" s="442" t="s">
        <v>800</v>
      </c>
      <c r="B84" s="426"/>
      <c r="C84" s="427"/>
      <c r="D84" s="429"/>
      <c r="E84" s="429"/>
      <c r="F84" s="429"/>
      <c r="G84" s="426"/>
      <c r="H84" s="443"/>
      <c r="I84" s="429"/>
      <c r="J84" s="429"/>
      <c r="K84" s="429"/>
      <c r="L84" s="426"/>
      <c r="M84" s="429"/>
    </row>
    <row r="85" spans="1:13" x14ac:dyDescent="0.25">
      <c r="A85" s="444" t="s">
        <v>71</v>
      </c>
      <c r="B85" s="426"/>
      <c r="C85" s="427"/>
      <c r="D85" s="429"/>
      <c r="E85" s="429"/>
      <c r="F85" s="429"/>
      <c r="G85" s="426"/>
      <c r="H85" s="443"/>
      <c r="I85" s="429"/>
      <c r="J85" s="429"/>
      <c r="K85" s="429"/>
      <c r="L85" s="427"/>
      <c r="M85" s="427"/>
    </row>
    <row r="86" spans="1:13" x14ac:dyDescent="0.25">
      <c r="A86" s="427"/>
      <c r="B86" s="426"/>
      <c r="C86" s="427"/>
      <c r="D86" s="429"/>
      <c r="E86" s="429"/>
      <c r="F86" s="429"/>
      <c r="G86" s="426"/>
      <c r="H86" s="443"/>
      <c r="I86" s="429"/>
      <c r="J86" s="429"/>
      <c r="K86" s="429"/>
      <c r="L86" s="427"/>
      <c r="M86" s="427"/>
    </row>
    <row r="87" spans="1:13" x14ac:dyDescent="0.25">
      <c r="A87" s="427"/>
      <c r="B87" s="426"/>
      <c r="C87" s="427"/>
      <c r="D87" s="429"/>
      <c r="E87" s="429"/>
      <c r="F87" s="429"/>
      <c r="G87" s="427"/>
      <c r="H87" s="443"/>
      <c r="I87" s="429"/>
      <c r="J87" s="429"/>
      <c r="K87" s="429"/>
      <c r="L87" s="427"/>
      <c r="M87" s="427"/>
    </row>
    <row r="88" spans="1:13" x14ac:dyDescent="0.25">
      <c r="A88" s="427"/>
      <c r="B88" s="426"/>
      <c r="C88" s="427"/>
      <c r="D88" s="429"/>
      <c r="E88" s="429"/>
      <c r="F88" s="429"/>
      <c r="G88" s="427"/>
      <c r="H88" s="443"/>
      <c r="I88" s="429"/>
      <c r="J88" s="429"/>
      <c r="K88" s="429"/>
      <c r="L88" s="427"/>
      <c r="M88" s="427"/>
    </row>
    <row r="89" spans="1:13" x14ac:dyDescent="0.25">
      <c r="A89" s="427"/>
      <c r="B89" s="427"/>
      <c r="C89" s="427"/>
      <c r="D89" s="429"/>
      <c r="E89" s="429"/>
      <c r="F89" s="429"/>
      <c r="G89" s="427"/>
      <c r="H89" s="443"/>
      <c r="I89" s="429"/>
      <c r="J89" s="429"/>
      <c r="K89" s="429"/>
      <c r="L89" s="427"/>
      <c r="M89" s="427"/>
    </row>
    <row r="90" spans="1:13" x14ac:dyDescent="0.25">
      <c r="A90" s="427"/>
      <c r="B90" s="427"/>
      <c r="C90" s="427"/>
      <c r="D90" s="429"/>
      <c r="E90" s="429"/>
      <c r="F90" s="429"/>
      <c r="G90" s="427"/>
      <c r="H90" s="443"/>
      <c r="I90" s="429"/>
      <c r="J90" s="429"/>
      <c r="K90" s="429"/>
      <c r="L90" s="427"/>
      <c r="M90" s="427"/>
    </row>
    <row r="91" spans="1:13" x14ac:dyDescent="0.25">
      <c r="A91" s="427"/>
      <c r="B91" s="427"/>
      <c r="C91" s="427"/>
      <c r="D91" s="429"/>
      <c r="E91" s="429"/>
      <c r="F91" s="429"/>
      <c r="G91" s="427"/>
      <c r="H91" s="443"/>
      <c r="I91" s="429"/>
      <c r="J91" s="429"/>
      <c r="K91" s="429"/>
      <c r="L91" s="427"/>
      <c r="M91" s="427"/>
    </row>
    <row r="92" spans="1:13" x14ac:dyDescent="0.25">
      <c r="A92" s="427"/>
      <c r="B92" s="427"/>
      <c r="C92" s="427"/>
      <c r="D92" s="429"/>
      <c r="E92" s="429"/>
      <c r="F92" s="429"/>
      <c r="G92" s="427"/>
      <c r="H92" s="443"/>
      <c r="I92" s="429"/>
      <c r="J92" s="429"/>
      <c r="K92" s="429"/>
      <c r="L92" s="427"/>
      <c r="M92" s="427"/>
    </row>
    <row r="93" spans="1:13" x14ac:dyDescent="0.25">
      <c r="A93" s="427"/>
      <c r="B93" s="427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7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27"/>
      <c r="I99" s="429"/>
      <c r="J99" s="429"/>
      <c r="K99" s="429"/>
      <c r="L99" s="427"/>
      <c r="M99" s="427"/>
    </row>
    <row r="100" spans="1:13" x14ac:dyDescent="0.25">
      <c r="A100" s="445" t="s">
        <v>81</v>
      </c>
      <c r="B100" s="446"/>
      <c r="C100" s="446">
        <f>SUM(C84:C88)</f>
        <v>0</v>
      </c>
      <c r="D100" s="447"/>
      <c r="E100" s="447"/>
      <c r="F100" s="447">
        <f>SUM(F84:F88)</f>
        <v>0</v>
      </c>
      <c r="G100" s="446"/>
      <c r="H100" s="468">
        <f>SUM(H84:H87)</f>
        <v>0</v>
      </c>
      <c r="I100" s="447"/>
      <c r="J100" s="447"/>
      <c r="K100" s="447">
        <f>SUM(K84:K87)</f>
        <v>0</v>
      </c>
      <c r="L100" s="446"/>
      <c r="M100" s="447">
        <f>SUM(M84:M92)</f>
        <v>0</v>
      </c>
    </row>
    <row r="101" spans="1:13" ht="15.75" thickBot="1" x14ac:dyDescent="0.3">
      <c r="A101" s="448" t="s">
        <v>191</v>
      </c>
      <c r="B101" s="449"/>
      <c r="C101" s="450">
        <f>SumByColor($A$25,C84:C99)</f>
        <v>0</v>
      </c>
      <c r="D101" s="450"/>
      <c r="E101" s="450"/>
      <c r="F101" s="451">
        <f>SumByColor($A$25,F84:F99)</f>
        <v>0</v>
      </c>
      <c r="G101" s="450"/>
      <c r="H101" s="450">
        <f>SumByColor($A$25,H84:H99)</f>
        <v>0</v>
      </c>
      <c r="I101" s="450"/>
      <c r="J101" s="450"/>
      <c r="K101" s="451">
        <f>SumByColor($A$25,K85:K99)</f>
        <v>0</v>
      </c>
      <c r="L101" s="450"/>
      <c r="M101" s="451">
        <f>SumByColor($A$25,M84:M99)</f>
        <v>0</v>
      </c>
    </row>
    <row r="104" spans="1:13" x14ac:dyDescent="0.25">
      <c r="B104" s="162" t="s">
        <v>113</v>
      </c>
      <c r="C104" s="162" t="s">
        <v>145</v>
      </c>
      <c r="D104" s="163" t="s">
        <v>144</v>
      </c>
      <c r="E104" s="165" t="s">
        <v>146</v>
      </c>
      <c r="F104" s="165" t="s">
        <v>65</v>
      </c>
      <c r="G104" s="177" t="s">
        <v>150</v>
      </c>
      <c r="H104" s="177" t="s">
        <v>88</v>
      </c>
      <c r="I104" s="177" t="s">
        <v>153</v>
      </c>
    </row>
    <row r="105" spans="1:13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13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13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32" priority="25">
      <formula>F31&gt;0</formula>
    </cfRule>
    <cfRule type="expression" dxfId="931" priority="26">
      <formula>F31&lt;0</formula>
    </cfRule>
  </conditionalFormatting>
  <conditionalFormatting sqref="Q7">
    <cfRule type="expression" dxfId="930" priority="23">
      <formula>Q7&gt;0</formula>
    </cfRule>
    <cfRule type="expression" dxfId="929" priority="24">
      <formula>Q7&lt;0</formula>
    </cfRule>
  </conditionalFormatting>
  <conditionalFormatting sqref="Q8">
    <cfRule type="expression" dxfId="928" priority="21">
      <formula>Q8&gt;0</formula>
    </cfRule>
    <cfRule type="expression" dxfId="927" priority="22">
      <formula>Q8&lt;0</formula>
    </cfRule>
  </conditionalFormatting>
  <conditionalFormatting sqref="F105:F126">
    <cfRule type="expression" dxfId="926" priority="15">
      <formula>F105&gt;0</formula>
    </cfRule>
    <cfRule type="expression" dxfId="925" priority="16">
      <formula>F105&lt;0</formula>
    </cfRule>
  </conditionalFormatting>
  <conditionalFormatting sqref="H105:H126">
    <cfRule type="expression" dxfId="924" priority="13">
      <formula>H105&gt;0</formula>
    </cfRule>
    <cfRule type="expression" dxfId="923" priority="14">
      <formula>H105&lt;0</formula>
    </cfRule>
  </conditionalFormatting>
  <conditionalFormatting sqref="Q10">
    <cfRule type="expression" dxfId="922" priority="11">
      <formula>Q10&gt;0</formula>
    </cfRule>
    <cfRule type="expression" dxfId="921" priority="12">
      <formula>Q10&lt;0</formula>
    </cfRule>
  </conditionalFormatting>
  <conditionalFormatting sqref="J31:J44">
    <cfRule type="expression" dxfId="920" priority="9">
      <formula>J31&gt;0</formula>
    </cfRule>
    <cfRule type="expression" dxfId="919" priority="10">
      <formula>J31&lt;0</formula>
    </cfRule>
  </conditionalFormatting>
  <conditionalFormatting sqref="K31:K44">
    <cfRule type="expression" dxfId="918" priority="7">
      <formula>K31&gt;0</formula>
    </cfRule>
    <cfRule type="expression" dxfId="917" priority="8">
      <formula>K31&lt;0</formula>
    </cfRule>
  </conditionalFormatting>
  <conditionalFormatting sqref="L31:L44">
    <cfRule type="expression" dxfId="916" priority="5">
      <formula>L31&gt;0</formula>
    </cfRule>
    <cfRule type="expression" dxfId="915" priority="6">
      <formula>L31&lt;0</formula>
    </cfRule>
  </conditionalFormatting>
  <conditionalFormatting sqref="H66:H72 F66:F72">
    <cfRule type="expression" dxfId="914" priority="3">
      <formula>F66&gt;0</formula>
    </cfRule>
    <cfRule type="expression" dxfId="913" priority="4">
      <formula>F66&lt;0</formula>
    </cfRule>
  </conditionalFormatting>
  <conditionalFormatting sqref="H73:H76 F73:F76">
    <cfRule type="expression" dxfId="912" priority="1">
      <formula>F73&gt;0</formula>
    </cfRule>
    <cfRule type="expression" dxfId="91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0" priority="137">
      <formula>F30&gt;0</formula>
    </cfRule>
    <cfRule type="expression" dxfId="909" priority="138">
      <formula>F30&lt;0</formula>
    </cfRule>
  </conditionalFormatting>
  <conditionalFormatting sqref="H47:H58">
    <cfRule type="expression" dxfId="908" priority="129">
      <formula>H47&gt;0</formula>
    </cfRule>
    <cfRule type="expression" dxfId="907" priority="130">
      <formula>H47&lt;0</formula>
    </cfRule>
  </conditionalFormatting>
  <conditionalFormatting sqref="H59">
    <cfRule type="expression" dxfId="906" priority="119">
      <formula>H59&gt;0</formula>
    </cfRule>
    <cfRule type="expression" dxfId="905" priority="120">
      <formula>H59&lt;0</formula>
    </cfRule>
  </conditionalFormatting>
  <conditionalFormatting sqref="H60">
    <cfRule type="expression" dxfId="904" priority="115">
      <formula>H60&gt;0</formula>
    </cfRule>
    <cfRule type="expression" dxfId="903" priority="116">
      <formula>H60&lt;0</formula>
    </cfRule>
  </conditionalFormatting>
  <conditionalFormatting sqref="H61:H66">
    <cfRule type="expression" dxfId="902" priority="111">
      <formula>H61&gt;0</formula>
    </cfRule>
    <cfRule type="expression" dxfId="901" priority="112">
      <formula>H61&lt;0</formula>
    </cfRule>
  </conditionalFormatting>
  <conditionalFormatting sqref="Q8">
    <cfRule type="expression" dxfId="900" priority="95">
      <formula>Q8&gt;0</formula>
    </cfRule>
    <cfRule type="expression" dxfId="899" priority="96">
      <formula>Q8&lt;0</formula>
    </cfRule>
  </conditionalFormatting>
  <conditionalFormatting sqref="Q7">
    <cfRule type="expression" dxfId="898" priority="97">
      <formula>Q7&gt;0</formula>
    </cfRule>
    <cfRule type="expression" dxfId="897" priority="98">
      <formula>Q7&lt;0</formula>
    </cfRule>
  </conditionalFormatting>
  <conditionalFormatting sqref="F178 H178">
    <cfRule type="expression" dxfId="896" priority="93">
      <formula>F178&gt;0</formula>
    </cfRule>
    <cfRule type="expression" dxfId="895" priority="94">
      <formula>F178&lt;0</formula>
    </cfRule>
  </conditionalFormatting>
  <conditionalFormatting sqref="Q10">
    <cfRule type="expression" dxfId="894" priority="87">
      <formula>Q10&gt;0</formula>
    </cfRule>
    <cfRule type="expression" dxfId="893" priority="88">
      <formula>Q10&lt;0</formula>
    </cfRule>
  </conditionalFormatting>
  <conditionalFormatting sqref="Q9">
    <cfRule type="expression" dxfId="892" priority="81">
      <formula>Q9&gt;0</formula>
    </cfRule>
    <cfRule type="expression" dxfId="891" priority="82">
      <formula>Q9&lt;0</formula>
    </cfRule>
  </conditionalFormatting>
  <conditionalFormatting sqref="F201:F248">
    <cfRule type="expression" dxfId="890" priority="41">
      <formula>F201&gt;0</formula>
    </cfRule>
    <cfRule type="expression" dxfId="889" priority="42">
      <formula>F201&lt;0</formula>
    </cfRule>
  </conditionalFormatting>
  <conditionalFormatting sqref="H201:H248">
    <cfRule type="expression" dxfId="888" priority="39">
      <formula>H201&gt;0</formula>
    </cfRule>
    <cfRule type="expression" dxfId="887" priority="40">
      <formula>H201&lt;0</formula>
    </cfRule>
  </conditionalFormatting>
  <conditionalFormatting sqref="J208">
    <cfRule type="expression" dxfId="886" priority="37">
      <formula>J208&gt;0</formula>
    </cfRule>
    <cfRule type="expression" dxfId="885" priority="38">
      <formula>J208&lt;0</formula>
    </cfRule>
  </conditionalFormatting>
  <conditionalFormatting sqref="J214:J215">
    <cfRule type="expression" dxfId="884" priority="35">
      <formula>J214&gt;0</formula>
    </cfRule>
    <cfRule type="expression" dxfId="883" priority="36">
      <formula>J214&lt;0</formula>
    </cfRule>
  </conditionalFormatting>
  <conditionalFormatting sqref="J216">
    <cfRule type="expression" dxfId="882" priority="33">
      <formula>J216&gt;0</formula>
    </cfRule>
    <cfRule type="expression" dxfId="881" priority="34">
      <formula>J216&lt;0</formula>
    </cfRule>
  </conditionalFormatting>
  <conditionalFormatting sqref="J217:J219 J221:J224">
    <cfRule type="expression" dxfId="880" priority="31">
      <formula>J217&gt;0</formula>
    </cfRule>
    <cfRule type="expression" dxfId="879" priority="32">
      <formula>J217&lt;0</formula>
    </cfRule>
  </conditionalFormatting>
  <conditionalFormatting sqref="K208">
    <cfRule type="expression" dxfId="878" priority="29">
      <formula>K208&gt;0</formula>
    </cfRule>
    <cfRule type="expression" dxfId="877" priority="30">
      <formula>K208&lt;0</formula>
    </cfRule>
  </conditionalFormatting>
  <conditionalFormatting sqref="K214:K215">
    <cfRule type="expression" dxfId="876" priority="27">
      <formula>K214&gt;0</formula>
    </cfRule>
    <cfRule type="expression" dxfId="875" priority="28">
      <formula>K214&lt;0</formula>
    </cfRule>
  </conditionalFormatting>
  <conditionalFormatting sqref="K216">
    <cfRule type="expression" dxfId="874" priority="25">
      <formula>K216&gt;0</formula>
    </cfRule>
    <cfRule type="expression" dxfId="873" priority="26">
      <formula>K216&lt;0</formula>
    </cfRule>
  </conditionalFormatting>
  <conditionalFormatting sqref="K217:K224">
    <cfRule type="expression" dxfId="872" priority="23">
      <formula>K217&gt;0</formula>
    </cfRule>
    <cfRule type="expression" dxfId="871" priority="24">
      <formula>K217&lt;0</formula>
    </cfRule>
  </conditionalFormatting>
  <conditionalFormatting sqref="L208">
    <cfRule type="expression" dxfId="870" priority="21">
      <formula>L208&gt;0</formula>
    </cfRule>
    <cfRule type="expression" dxfId="869" priority="22">
      <formula>L208&lt;0</formula>
    </cfRule>
  </conditionalFormatting>
  <conditionalFormatting sqref="L214:L215">
    <cfRule type="expression" dxfId="868" priority="19">
      <formula>L214&gt;0</formula>
    </cfRule>
    <cfRule type="expression" dxfId="867" priority="20">
      <formula>L214&lt;0</formula>
    </cfRule>
  </conditionalFormatting>
  <conditionalFormatting sqref="L216">
    <cfRule type="expression" dxfId="866" priority="17">
      <formula>L216&gt;0</formula>
    </cfRule>
    <cfRule type="expression" dxfId="865" priority="18">
      <formula>L216&lt;0</formula>
    </cfRule>
  </conditionalFormatting>
  <conditionalFormatting sqref="L217:L224">
    <cfRule type="expression" dxfId="864" priority="15">
      <formula>L217&gt;0</formula>
    </cfRule>
    <cfRule type="expression" dxfId="863" priority="16">
      <formula>L217&lt;0</formula>
    </cfRule>
  </conditionalFormatting>
  <conditionalFormatting sqref="K225">
    <cfRule type="expression" dxfId="862" priority="13">
      <formula>K225&gt;0</formula>
    </cfRule>
    <cfRule type="expression" dxfId="861" priority="14">
      <formula>K225&lt;0</formula>
    </cfRule>
  </conditionalFormatting>
  <conditionalFormatting sqref="L225:L232">
    <cfRule type="expression" dxfId="860" priority="11">
      <formula>L225&gt;0</formula>
    </cfRule>
    <cfRule type="expression" dxfId="859" priority="12">
      <formula>L225&lt;0</formula>
    </cfRule>
  </conditionalFormatting>
  <conditionalFormatting sqref="K226">
    <cfRule type="expression" dxfId="858" priority="9">
      <formula>K226&gt;0</formula>
    </cfRule>
    <cfRule type="expression" dxfId="857" priority="10">
      <formula>K226&lt;0</formula>
    </cfRule>
  </conditionalFormatting>
  <conditionalFormatting sqref="K227">
    <cfRule type="expression" dxfId="856" priority="7">
      <formula>K227&gt;0</formula>
    </cfRule>
    <cfRule type="expression" dxfId="855" priority="8">
      <formula>K227&lt;0</formula>
    </cfRule>
  </conditionalFormatting>
  <conditionalFormatting sqref="K228:K248">
    <cfRule type="expression" dxfId="854" priority="5">
      <formula>K228&gt;0</formula>
    </cfRule>
    <cfRule type="expression" dxfId="853" priority="6">
      <formula>K228&lt;0</formula>
    </cfRule>
  </conditionalFormatting>
  <conditionalFormatting sqref="L233:L237">
    <cfRule type="expression" dxfId="852" priority="3">
      <formula>L233&gt;0</formula>
    </cfRule>
    <cfRule type="expression" dxfId="851" priority="4">
      <formula>L233&lt;0</formula>
    </cfRule>
  </conditionalFormatting>
  <conditionalFormatting sqref="L238:L243">
    <cfRule type="expression" dxfId="850" priority="1">
      <formula>L238&gt;0</formula>
    </cfRule>
    <cfRule type="expression" dxfId="84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8" priority="11">
      <formula>F27&gt;0</formula>
    </cfRule>
    <cfRule type="expression" dxfId="847" priority="12">
      <formula>F27&lt;0</formula>
    </cfRule>
  </conditionalFormatting>
  <conditionalFormatting sqref="H27:H29">
    <cfRule type="expression" dxfId="846" priority="9">
      <formula>H27&gt;0</formula>
    </cfRule>
    <cfRule type="expression" dxfId="845" priority="10">
      <formula>H27&lt;0</formula>
    </cfRule>
  </conditionalFormatting>
  <conditionalFormatting sqref="F23:F26">
    <cfRule type="expression" dxfId="844" priority="7">
      <formula>F23&gt;0</formula>
    </cfRule>
    <cfRule type="expression" dxfId="843" priority="8">
      <formula>F23&lt;0</formula>
    </cfRule>
  </conditionalFormatting>
  <conditionalFormatting sqref="H23:H26">
    <cfRule type="expression" dxfId="842" priority="5">
      <formula>H23&gt;0</formula>
    </cfRule>
    <cfRule type="expression" dxfId="841" priority="6">
      <formula>H23&lt;0</formula>
    </cfRule>
  </conditionalFormatting>
  <conditionalFormatting sqref="Q8">
    <cfRule type="expression" dxfId="840" priority="1">
      <formula>Q8&gt;0</formula>
    </cfRule>
    <cfRule type="expression" dxfId="839" priority="2">
      <formula>Q8&lt;0</formula>
    </cfRule>
  </conditionalFormatting>
  <conditionalFormatting sqref="Q7">
    <cfRule type="expression" dxfId="838" priority="3">
      <formula>Q7&gt;0</formula>
    </cfRule>
    <cfRule type="expression" dxfId="83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6" priority="7">
      <formula>F21&gt;0</formula>
    </cfRule>
    <cfRule type="expression" dxfId="835" priority="8">
      <formula>F21&lt;0</formula>
    </cfRule>
  </conditionalFormatting>
  <conditionalFormatting sqref="F22">
    <cfRule type="expression" dxfId="834" priority="5">
      <formula>F22&gt;0</formula>
    </cfRule>
    <cfRule type="expression" dxfId="833" priority="6">
      <formula>F22&lt;0</formula>
    </cfRule>
  </conditionalFormatting>
  <conditionalFormatting sqref="Q8">
    <cfRule type="expression" dxfId="832" priority="1">
      <formula>Q8&gt;0</formula>
    </cfRule>
    <cfRule type="expression" dxfId="831" priority="2">
      <formula>Q8&lt;0</formula>
    </cfRule>
  </conditionalFormatting>
  <conditionalFormatting sqref="Q7">
    <cfRule type="expression" dxfId="830" priority="3">
      <formula>Q7&gt;0</formula>
    </cfRule>
    <cfRule type="expression" dxfId="82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8" priority="17">
      <formula>F38&gt;0</formula>
    </cfRule>
    <cfRule type="expression" dxfId="827" priority="18">
      <formula>F38&lt;0</formula>
    </cfRule>
  </conditionalFormatting>
  <conditionalFormatting sqref="H38:H72">
    <cfRule type="expression" dxfId="826" priority="9">
      <formula>H38&gt;0</formula>
    </cfRule>
    <cfRule type="expression" dxfId="825" priority="10">
      <formula>H38&lt;0</formula>
    </cfRule>
  </conditionalFormatting>
  <conditionalFormatting sqref="F21:F37">
    <cfRule type="expression" dxfId="824" priority="7">
      <formula>F21&gt;0</formula>
    </cfRule>
    <cfRule type="expression" dxfId="823" priority="8">
      <formula>F21&lt;0</formula>
    </cfRule>
  </conditionalFormatting>
  <conditionalFormatting sqref="H21:H37">
    <cfRule type="expression" dxfId="822" priority="5">
      <formula>H21&gt;0</formula>
    </cfRule>
    <cfRule type="expression" dxfId="821" priority="6">
      <formula>H21&lt;0</formula>
    </cfRule>
  </conditionalFormatting>
  <conditionalFormatting sqref="Q8">
    <cfRule type="expression" dxfId="820" priority="1">
      <formula>Q8&gt;0</formula>
    </cfRule>
    <cfRule type="expression" dxfId="819" priority="2">
      <formula>Q8&lt;0</formula>
    </cfRule>
  </conditionalFormatting>
  <conditionalFormatting sqref="Q7">
    <cfRule type="expression" dxfId="818" priority="3">
      <formula>Q7&gt;0</formula>
    </cfRule>
    <cfRule type="expression" dxfId="81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6" priority="11">
      <formula>F24&gt;0</formula>
    </cfRule>
    <cfRule type="expression" dxfId="815" priority="12">
      <formula>F24&lt;0</formula>
    </cfRule>
  </conditionalFormatting>
  <conditionalFormatting sqref="H27:H30">
    <cfRule type="expression" dxfId="814" priority="9">
      <formula>H27&gt;0</formula>
    </cfRule>
    <cfRule type="expression" dxfId="813" priority="10">
      <formula>H27&lt;0</formula>
    </cfRule>
  </conditionalFormatting>
  <conditionalFormatting sqref="F25">
    <cfRule type="expression" dxfId="812" priority="7">
      <formula>F25&gt;0</formula>
    </cfRule>
    <cfRule type="expression" dxfId="811" priority="8">
      <formula>F25&lt;0</formula>
    </cfRule>
  </conditionalFormatting>
  <conditionalFormatting sqref="H24:H26">
    <cfRule type="expression" dxfId="810" priority="5">
      <formula>H24&gt;0</formula>
    </cfRule>
    <cfRule type="expression" dxfId="809" priority="6">
      <formula>H24&lt;0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conditionalFormatting sqref="Q8">
    <cfRule type="expression" dxfId="806" priority="1">
      <formula>Q8&gt;0</formula>
    </cfRule>
    <cfRule type="expression" dxfId="80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4" priority="17">
      <formula>F28&gt;0</formula>
    </cfRule>
    <cfRule type="expression" dxfId="803" priority="18">
      <formula>F28&lt;0</formula>
    </cfRule>
  </conditionalFormatting>
  <conditionalFormatting sqref="F28 F33:F35">
    <cfRule type="expression" dxfId="802" priority="19">
      <formula>F28&gt;0</formula>
    </cfRule>
    <cfRule type="expression" dxfId="801" priority="20">
      <formula>F28&lt;0</formula>
    </cfRule>
  </conditionalFormatting>
  <conditionalFormatting sqref="H28 H33:H35">
    <cfRule type="expression" dxfId="800" priority="15">
      <formula>H28&gt;0</formula>
    </cfRule>
    <cfRule type="expression" dxfId="799" priority="16">
      <formula>H28&lt;0</formula>
    </cfRule>
  </conditionalFormatting>
  <conditionalFormatting sqref="F21:F27">
    <cfRule type="expression" dxfId="798" priority="13">
      <formula>F21&gt;0</formula>
    </cfRule>
    <cfRule type="expression" dxfId="797" priority="14">
      <formula>F21&lt;0</formula>
    </cfRule>
  </conditionalFormatting>
  <conditionalFormatting sqref="H21:H27">
    <cfRule type="expression" dxfId="796" priority="11">
      <formula>H21&gt;0</formula>
    </cfRule>
    <cfRule type="expression" dxfId="795" priority="12">
      <formula>H21&lt;0</formula>
    </cfRule>
  </conditionalFormatting>
  <conditionalFormatting sqref="Q8">
    <cfRule type="expression" dxfId="794" priority="7">
      <formula>Q8&gt;0</formula>
    </cfRule>
    <cfRule type="expression" dxfId="793" priority="8">
      <formula>Q8&lt;0</formula>
    </cfRule>
  </conditionalFormatting>
  <conditionalFormatting sqref="Q7">
    <cfRule type="expression" dxfId="792" priority="9">
      <formula>Q7&gt;0</formula>
    </cfRule>
    <cfRule type="expression" dxfId="791" priority="10">
      <formula>Q7&lt;0</formula>
    </cfRule>
  </conditionalFormatting>
  <conditionalFormatting sqref="F29:F32">
    <cfRule type="expression" dxfId="790" priority="5">
      <formula>F29&gt;0</formula>
    </cfRule>
    <cfRule type="expression" dxfId="789" priority="6">
      <formula>F29&lt;0</formula>
    </cfRule>
  </conditionalFormatting>
  <conditionalFormatting sqref="H29:H32">
    <cfRule type="expression" dxfId="788" priority="3">
      <formula>H29&gt;0</formula>
    </cfRule>
    <cfRule type="expression" dxfId="787" priority="4">
      <formula>H29&lt;0</formula>
    </cfRule>
  </conditionalFormatting>
  <conditionalFormatting sqref="M37">
    <cfRule type="expression" dxfId="786" priority="1">
      <formula>M37&gt;0</formula>
    </cfRule>
    <cfRule type="expression" dxfId="78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05">
        <v>6.0000000000000001E-3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1096.8200000000052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935.99000000000524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M47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29"/>
      <c r="C12" s="4"/>
      <c r="D12" s="3"/>
      <c r="E12" s="3"/>
      <c r="F12" s="3"/>
      <c r="G12" s="29"/>
    </row>
    <row r="13" spans="1:30" x14ac:dyDescent="0.25">
      <c r="B13" s="29"/>
      <c r="G13" s="29"/>
      <c r="O13" s="11" t="s">
        <v>948</v>
      </c>
      <c r="Q13" s="2">
        <f>Q4/13</f>
        <v>21.056153846153848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9" t="s">
        <v>78</v>
      </c>
      <c r="Q17" s="879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292.89110000000005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203</v>
      </c>
      <c r="M47" s="2">
        <f>M65+K65-F65</f>
        <v>160.82999999999993</v>
      </c>
      <c r="O47" s="2"/>
    </row>
    <row r="48" spans="1:18" x14ac:dyDescent="0.25">
      <c r="A48" s="199" t="s">
        <v>1</v>
      </c>
      <c r="B48" s="199" t="s">
        <v>2</v>
      </c>
      <c r="C48" s="199" t="s">
        <v>4</v>
      </c>
      <c r="D48" s="200" t="s">
        <v>5</v>
      </c>
      <c r="E48" s="200" t="s">
        <v>90</v>
      </c>
      <c r="F48" s="200" t="s">
        <v>60</v>
      </c>
      <c r="G48" s="199" t="s">
        <v>3</v>
      </c>
      <c r="H48" s="199" t="s">
        <v>6</v>
      </c>
      <c r="I48" s="200" t="s">
        <v>7</v>
      </c>
      <c r="J48" s="200" t="s">
        <v>89</v>
      </c>
      <c r="K48" s="200" t="s">
        <v>61</v>
      </c>
      <c r="L48" s="199" t="s">
        <v>77</v>
      </c>
      <c r="M48" s="199" t="s">
        <v>38</v>
      </c>
      <c r="O48" s="2"/>
    </row>
    <row r="49" spans="1:15" x14ac:dyDescent="0.25">
      <c r="A49" s="201" t="s">
        <v>174</v>
      </c>
      <c r="B49" s="202">
        <v>42377</v>
      </c>
      <c r="C49" s="197">
        <v>20</v>
      </c>
      <c r="D49" s="198">
        <v>192.9</v>
      </c>
      <c r="E49" s="198">
        <v>0</v>
      </c>
      <c r="F49" s="198">
        <f>C49*D49+E49</f>
        <v>3858</v>
      </c>
      <c r="G49" s="202">
        <v>42398</v>
      </c>
      <c r="H49" s="203">
        <v>20</v>
      </c>
      <c r="I49" s="198">
        <v>192.22</v>
      </c>
      <c r="J49" s="198">
        <v>7.0000000000000007E-2</v>
      </c>
      <c r="K49" s="198">
        <f>H49*I49-J49</f>
        <v>3844.33</v>
      </c>
      <c r="L49" s="202"/>
      <c r="M49" s="198"/>
      <c r="O49" s="2"/>
    </row>
    <row r="50" spans="1:15" x14ac:dyDescent="0.25">
      <c r="A50" s="204" t="s">
        <v>71</v>
      </c>
      <c r="B50" s="202">
        <v>42384</v>
      </c>
      <c r="C50" s="197">
        <v>5</v>
      </c>
      <c r="D50" s="198">
        <v>186.79</v>
      </c>
      <c r="E50" s="198">
        <v>0</v>
      </c>
      <c r="F50" s="198">
        <f>C50*D50+E50</f>
        <v>933.94999999999993</v>
      </c>
      <c r="G50" s="202">
        <v>42416</v>
      </c>
      <c r="H50" s="203">
        <v>10</v>
      </c>
      <c r="I50" s="198">
        <v>189.25</v>
      </c>
      <c r="J50" s="198">
        <v>0.04</v>
      </c>
      <c r="K50" s="198">
        <f>H50*I50-J50</f>
        <v>1892.46</v>
      </c>
      <c r="L50" s="197"/>
      <c r="M50" s="197"/>
      <c r="O50" s="2"/>
    </row>
    <row r="51" spans="1:15" x14ac:dyDescent="0.25">
      <c r="A51" s="197"/>
      <c r="B51" s="202">
        <v>42405</v>
      </c>
      <c r="C51" s="197">
        <v>15</v>
      </c>
      <c r="D51" s="198">
        <v>187.8</v>
      </c>
      <c r="E51" s="198">
        <v>0</v>
      </c>
      <c r="F51" s="198">
        <f>C51*D51+E51</f>
        <v>2817</v>
      </c>
      <c r="G51" s="202">
        <v>42424</v>
      </c>
      <c r="H51" s="203">
        <v>10</v>
      </c>
      <c r="I51" s="198">
        <v>194.3</v>
      </c>
      <c r="J51" s="198">
        <v>0.04</v>
      </c>
      <c r="K51" s="198">
        <f>H51*I51-J51</f>
        <v>1942.96</v>
      </c>
      <c r="L51" s="197"/>
      <c r="M51" s="197"/>
      <c r="O51" s="2"/>
    </row>
    <row r="52" spans="1:15" x14ac:dyDescent="0.25">
      <c r="A52" s="197"/>
      <c r="B52" s="202">
        <v>42408</v>
      </c>
      <c r="C52" s="197">
        <v>5</v>
      </c>
      <c r="D52" s="198">
        <v>183.55</v>
      </c>
      <c r="E52" s="198">
        <v>0</v>
      </c>
      <c r="F52" s="198">
        <f>C52*D52+E52</f>
        <v>917.75</v>
      </c>
      <c r="G52" s="202">
        <v>42440</v>
      </c>
      <c r="H52" s="203">
        <v>5</v>
      </c>
      <c r="I52" s="198">
        <v>201.56</v>
      </c>
      <c r="J52" s="198">
        <v>0.02</v>
      </c>
      <c r="K52" s="198">
        <f>H52*I52-J52</f>
        <v>1007.78</v>
      </c>
      <c r="L52" s="197"/>
      <c r="M52" s="197"/>
      <c r="O52" s="2"/>
    </row>
    <row r="53" spans="1:15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2"/>
    </row>
    <row r="54" spans="1:15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197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697" t="s">
        <v>113</v>
      </c>
      <c r="C67" s="697" t="s">
        <v>145</v>
      </c>
      <c r="D67" s="698" t="s">
        <v>144</v>
      </c>
      <c r="E67" s="699" t="s">
        <v>146</v>
      </c>
      <c r="F67" s="699" t="s">
        <v>65</v>
      </c>
      <c r="G67" s="700" t="s">
        <v>150</v>
      </c>
      <c r="H67" s="700" t="s">
        <v>88</v>
      </c>
      <c r="I67" s="700" t="s">
        <v>153</v>
      </c>
    </row>
    <row r="68" spans="1:13" x14ac:dyDescent="0.25">
      <c r="B68" s="561">
        <v>42377</v>
      </c>
      <c r="C68" s="560">
        <v>20</v>
      </c>
      <c r="D68" s="562">
        <v>192.9</v>
      </c>
      <c r="E68" s="562">
        <v>191.92</v>
      </c>
      <c r="F68" s="562">
        <f>C68*(E68-D68)</f>
        <v>-19.600000000000364</v>
      </c>
      <c r="G68" s="562">
        <f>D68*C68</f>
        <v>3858</v>
      </c>
      <c r="H68" s="563">
        <f>(E68-D68)/D68</f>
        <v>-5.0803525142561852E-3</v>
      </c>
      <c r="I68" s="562"/>
    </row>
    <row r="69" spans="1:13" x14ac:dyDescent="0.25">
      <c r="B69" s="561">
        <v>42384</v>
      </c>
      <c r="C69" s="560">
        <v>25</v>
      </c>
      <c r="D69" s="562">
        <v>191.678</v>
      </c>
      <c r="E69" s="562">
        <v>187.81</v>
      </c>
      <c r="F69" s="562">
        <f t="shared" ref="F69:F75" si="10">C69*(E69-D69)</f>
        <v>-96.699999999999875</v>
      </c>
      <c r="G69" s="562">
        <f t="shared" ref="G69:G75" si="11">D69*C69</f>
        <v>4791.95</v>
      </c>
      <c r="H69" s="563">
        <f t="shared" ref="H69:H75" si="12">(E69-D69)/D69</f>
        <v>-2.0179676332182071E-2</v>
      </c>
      <c r="I69" s="562"/>
    </row>
    <row r="70" spans="1:13" x14ac:dyDescent="0.25">
      <c r="B70" s="561">
        <v>42398</v>
      </c>
      <c r="C70" s="560">
        <v>5</v>
      </c>
      <c r="D70" s="562">
        <v>189.52</v>
      </c>
      <c r="E70" s="562">
        <v>191.87</v>
      </c>
      <c r="F70" s="562">
        <f t="shared" si="10"/>
        <v>11.749999999999972</v>
      </c>
      <c r="G70" s="562">
        <f t="shared" si="11"/>
        <v>947.6</v>
      </c>
      <c r="H70" s="563">
        <f t="shared" si="12"/>
        <v>1.2399746728577429E-2</v>
      </c>
      <c r="I70" s="562"/>
    </row>
    <row r="71" spans="1:13" x14ac:dyDescent="0.25">
      <c r="B71" s="561">
        <v>42405</v>
      </c>
      <c r="C71" s="560">
        <v>20</v>
      </c>
      <c r="D71" s="562">
        <v>188.23099999999999</v>
      </c>
      <c r="E71" s="562">
        <v>187.8</v>
      </c>
      <c r="F71" s="562">
        <f t="shared" si="10"/>
        <v>-8.6199999999996635</v>
      </c>
      <c r="G71" s="562">
        <f t="shared" si="11"/>
        <v>3764.62</v>
      </c>
      <c r="H71" s="563">
        <f t="shared" si="12"/>
        <v>-2.2897397346876083E-3</v>
      </c>
      <c r="I71" s="562"/>
    </row>
    <row r="72" spans="1:13" x14ac:dyDescent="0.25">
      <c r="B72" s="561">
        <v>42408</v>
      </c>
      <c r="C72" s="560">
        <v>25</v>
      </c>
      <c r="D72" s="562">
        <v>187.29480000000001</v>
      </c>
      <c r="E72" s="562">
        <v>185.42</v>
      </c>
      <c r="F72" s="562">
        <f t="shared" si="10"/>
        <v>-46.870000000000545</v>
      </c>
      <c r="G72" s="562">
        <f t="shared" si="11"/>
        <v>4682.37</v>
      </c>
      <c r="H72" s="563">
        <f t="shared" si="12"/>
        <v>-1.0009888154930204E-2</v>
      </c>
      <c r="I72" s="562"/>
    </row>
    <row r="73" spans="1:13" x14ac:dyDescent="0.25">
      <c r="B73" s="561">
        <v>42416</v>
      </c>
      <c r="C73" s="560">
        <v>15</v>
      </c>
      <c r="D73" s="562">
        <v>185.994</v>
      </c>
      <c r="E73" s="562">
        <v>189.78</v>
      </c>
      <c r="F73" s="562">
        <f t="shared" si="10"/>
        <v>56.79000000000002</v>
      </c>
      <c r="G73" s="562">
        <f t="shared" si="11"/>
        <v>2789.91</v>
      </c>
      <c r="H73" s="563">
        <f t="shared" si="12"/>
        <v>2.0355495338559317E-2</v>
      </c>
      <c r="I73" s="562"/>
    </row>
    <row r="74" spans="1:13" x14ac:dyDescent="0.25">
      <c r="B74" s="561">
        <v>42424</v>
      </c>
      <c r="C74" s="560">
        <v>5</v>
      </c>
      <c r="D74" s="562">
        <v>169.39</v>
      </c>
      <c r="E74" s="562">
        <v>193.2</v>
      </c>
      <c r="F74" s="562">
        <f t="shared" si="10"/>
        <v>119.05000000000001</v>
      </c>
      <c r="G74" s="562">
        <f t="shared" si="11"/>
        <v>846.94999999999993</v>
      </c>
      <c r="H74" s="563">
        <f t="shared" si="12"/>
        <v>0.1405631973552158</v>
      </c>
      <c r="I74" s="562"/>
    </row>
    <row r="75" spans="1:13" x14ac:dyDescent="0.25">
      <c r="B75" s="561">
        <v>42431</v>
      </c>
      <c r="C75" s="560">
        <v>5</v>
      </c>
      <c r="D75" s="562">
        <v>169.39</v>
      </c>
      <c r="E75" s="562">
        <v>199</v>
      </c>
      <c r="F75" s="562">
        <f t="shared" si="10"/>
        <v>148.05000000000007</v>
      </c>
      <c r="G75" s="562">
        <f t="shared" si="11"/>
        <v>846.94999999999993</v>
      </c>
      <c r="H75" s="563">
        <f t="shared" si="12"/>
        <v>0.17480370742074511</v>
      </c>
      <c r="I75" s="562"/>
    </row>
    <row r="76" spans="1:13" x14ac:dyDescent="0.25">
      <c r="B76" s="561">
        <v>42440</v>
      </c>
      <c r="C76" s="560">
        <v>0</v>
      </c>
      <c r="D76" s="562"/>
      <c r="E76" s="562"/>
      <c r="F76" s="562">
        <v>160.83000000000001</v>
      </c>
      <c r="G76" s="562"/>
      <c r="H76" s="563"/>
      <c r="I76" s="562"/>
    </row>
    <row r="77" spans="1:13" x14ac:dyDescent="0.25">
      <c r="B77" s="561"/>
      <c r="C77" s="560"/>
      <c r="D77" s="562"/>
      <c r="E77" s="562"/>
      <c r="F77" s="562"/>
      <c r="G77" s="562"/>
      <c r="H77" s="563"/>
      <c r="I77" s="562"/>
    </row>
    <row r="78" spans="1:13" x14ac:dyDescent="0.25">
      <c r="B78" s="561"/>
      <c r="C78" s="560"/>
      <c r="D78" s="562"/>
      <c r="E78" s="562"/>
      <c r="F78" s="562"/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</sheetData>
  <mergeCells count="1">
    <mergeCell ref="P17:Q17"/>
  </mergeCells>
  <conditionalFormatting sqref="H44:H46 F44:F46 F26:F34 H26:H34 J28:J39">
    <cfRule type="expression" dxfId="784" priority="47">
      <formula>F26&gt;0</formula>
    </cfRule>
    <cfRule type="expression" dxfId="78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2" priority="35">
      <formula>F22&gt;0</formula>
    </cfRule>
    <cfRule type="expression" dxfId="781" priority="36">
      <formula>F22&lt;0</formula>
    </cfRule>
  </conditionalFormatting>
  <conditionalFormatting sqref="H22:H25">
    <cfRule type="expression" dxfId="780" priority="33">
      <formula>H22&gt;0</formula>
    </cfRule>
    <cfRule type="expression" dxfId="779" priority="34">
      <formula>H22&lt;0</formula>
    </cfRule>
  </conditionalFormatting>
  <conditionalFormatting sqref="Q8">
    <cfRule type="expression" dxfId="778" priority="29">
      <formula>Q8&gt;0</formula>
    </cfRule>
    <cfRule type="expression" dxfId="777" priority="30">
      <formula>Q8&lt;0</formula>
    </cfRule>
  </conditionalFormatting>
  <conditionalFormatting sqref="Q7">
    <cfRule type="expression" dxfId="776" priority="31">
      <formula>Q7&gt;0</formula>
    </cfRule>
    <cfRule type="expression" dxfId="775" priority="32">
      <formula>Q7&lt;0</formula>
    </cfRule>
  </conditionalFormatting>
  <conditionalFormatting sqref="F72:F74">
    <cfRule type="expression" dxfId="774" priority="27">
      <formula>F72&gt;0</formula>
    </cfRule>
    <cfRule type="expression" dxfId="773" priority="28">
      <formula>F72&lt;0</formula>
    </cfRule>
  </conditionalFormatting>
  <conditionalFormatting sqref="F75:F82">
    <cfRule type="expression" dxfId="772" priority="23">
      <formula>F75&gt;0</formula>
    </cfRule>
    <cfRule type="expression" dxfId="771" priority="24">
      <formula>F75&lt;0</formula>
    </cfRule>
  </conditionalFormatting>
  <conditionalFormatting sqref="F75:F82">
    <cfRule type="expression" dxfId="770" priority="25">
      <formula>F75&gt;0</formula>
    </cfRule>
    <cfRule type="expression" dxfId="769" priority="26">
      <formula>F75&lt;0</formula>
    </cfRule>
  </conditionalFormatting>
  <conditionalFormatting sqref="H72:H82">
    <cfRule type="expression" dxfId="768" priority="21">
      <formula>H72&gt;0</formula>
    </cfRule>
    <cfRule type="expression" dxfId="767" priority="22">
      <formula>H72&lt;0</formula>
    </cfRule>
  </conditionalFormatting>
  <conditionalFormatting sqref="F68:F71">
    <cfRule type="expression" dxfId="766" priority="19">
      <formula>F68&gt;0</formula>
    </cfRule>
    <cfRule type="expression" dxfId="765" priority="20">
      <formula>F68&lt;0</formula>
    </cfRule>
  </conditionalFormatting>
  <conditionalFormatting sqref="H68:H71">
    <cfRule type="expression" dxfId="764" priority="17">
      <formula>H68&gt;0</formula>
    </cfRule>
    <cfRule type="expression" dxfId="763" priority="18">
      <formula>H68&lt;0</formula>
    </cfRule>
  </conditionalFormatting>
  <conditionalFormatting sqref="Q10">
    <cfRule type="expression" dxfId="762" priority="15">
      <formula>Q10&gt;0</formula>
    </cfRule>
    <cfRule type="expression" dxfId="761" priority="16">
      <formula>Q10&lt;0</formula>
    </cfRule>
  </conditionalFormatting>
  <conditionalFormatting sqref="H43 F43">
    <cfRule type="expression" dxfId="760" priority="11">
      <formula>F43&gt;0</formula>
    </cfRule>
    <cfRule type="expression" dxfId="759" priority="12">
      <formula>F43&lt;0</formula>
    </cfRule>
  </conditionalFormatting>
  <conditionalFormatting sqref="H37:H39 F37:F39">
    <cfRule type="expression" dxfId="758" priority="9">
      <formula>F37&gt;0</formula>
    </cfRule>
    <cfRule type="expression" dxfId="757" priority="10">
      <formula>F37&lt;0</formula>
    </cfRule>
  </conditionalFormatting>
  <conditionalFormatting sqref="H35:H36 F35:F36">
    <cfRule type="expression" dxfId="756" priority="7">
      <formula>F35&gt;0</formula>
    </cfRule>
    <cfRule type="expression" dxfId="755" priority="8">
      <formula>F35&lt;0</formula>
    </cfRule>
  </conditionalFormatting>
  <conditionalFormatting sqref="H41:H42 F41:F42 J40:J41">
    <cfRule type="expression" dxfId="754" priority="5">
      <formula>F40&gt;0</formula>
    </cfRule>
    <cfRule type="expression" dxfId="753" priority="6">
      <formula>F40&lt;0</formula>
    </cfRule>
  </conditionalFormatting>
  <conditionalFormatting sqref="H40 F40">
    <cfRule type="expression" dxfId="752" priority="3">
      <formula>F40&gt;0</formula>
    </cfRule>
    <cfRule type="expression" dxfId="751" priority="4">
      <formula>F40&lt;0</formula>
    </cfRule>
  </conditionalFormatting>
  <conditionalFormatting sqref="J42:J45">
    <cfRule type="expression" dxfId="750" priority="1">
      <formula>J42&gt;0</formula>
    </cfRule>
    <cfRule type="expression" dxfId="74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8" priority="29">
      <formula>F40&gt;0</formula>
    </cfRule>
    <cfRule type="expression" dxfId="747" priority="30">
      <formula>F40&lt;0</formula>
    </cfRule>
  </conditionalFormatting>
  <conditionalFormatting sqref="F40:F45">
    <cfRule type="expression" dxfId="746" priority="31">
      <formula>F40&gt;0</formula>
    </cfRule>
    <cfRule type="expression" dxfId="745" priority="32">
      <formula>F40&lt;0</formula>
    </cfRule>
  </conditionalFormatting>
  <conditionalFormatting sqref="H40:H45">
    <cfRule type="expression" dxfId="744" priority="27">
      <formula>H40&gt;0</formula>
    </cfRule>
    <cfRule type="expression" dxfId="743" priority="28">
      <formula>H40&lt;0</formula>
    </cfRule>
  </conditionalFormatting>
  <conditionalFormatting sqref="F23:F39">
    <cfRule type="expression" dxfId="742" priority="13">
      <formula>F23&gt;0</formula>
    </cfRule>
    <cfRule type="expression" dxfId="741" priority="14">
      <formula>F23&lt;0</formula>
    </cfRule>
  </conditionalFormatting>
  <conditionalFormatting sqref="H23:H39">
    <cfRule type="expression" dxfId="740" priority="11">
      <formula>H23&gt;0</formula>
    </cfRule>
    <cfRule type="expression" dxfId="739" priority="12">
      <formula>H23&lt;0</formula>
    </cfRule>
  </conditionalFormatting>
  <conditionalFormatting sqref="Q7">
    <cfRule type="expression" dxfId="738" priority="9">
      <formula>Q7&gt;0</formula>
    </cfRule>
    <cfRule type="expression" dxfId="737" priority="10">
      <formula>Q7&lt;0</formula>
    </cfRule>
  </conditionalFormatting>
  <conditionalFormatting sqref="Q8">
    <cfRule type="expression" dxfId="736" priority="7">
      <formula>Q8&gt;0</formula>
    </cfRule>
    <cfRule type="expression" dxfId="735" priority="8">
      <formula>Q8&lt;0</formula>
    </cfRule>
  </conditionalFormatting>
  <conditionalFormatting sqref="Q10">
    <cfRule type="expression" dxfId="734" priority="1">
      <formula>Q10&gt;0</formula>
    </cfRule>
    <cfRule type="expression" dxfId="73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2" priority="39">
      <formula>Q12&gt;0</formula>
    </cfRule>
    <cfRule type="expression" dxfId="73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0" priority="33">
      <formula>F25&gt;0</formula>
    </cfRule>
    <cfRule type="expression" dxfId="729" priority="34">
      <formula>F25&lt;0</formula>
    </cfRule>
  </conditionalFormatting>
  <conditionalFormatting sqref="F30">
    <cfRule type="expression" dxfId="728" priority="31">
      <formula>F30&gt;0</formula>
    </cfRule>
    <cfRule type="expression" dxfId="727" priority="32">
      <formula>F30&lt;0</formula>
    </cfRule>
  </conditionalFormatting>
  <conditionalFormatting sqref="F31">
    <cfRule type="expression" dxfId="726" priority="29">
      <formula>F31&gt;0</formula>
    </cfRule>
    <cfRule type="expression" dxfId="725" priority="30">
      <formula>F31&lt;0</formula>
    </cfRule>
  </conditionalFormatting>
  <conditionalFormatting sqref="F32:F34">
    <cfRule type="expression" dxfId="724" priority="27">
      <formula>F32&gt;0</formula>
    </cfRule>
    <cfRule type="expression" dxfId="723" priority="28">
      <formula>F32&lt;0</formula>
    </cfRule>
  </conditionalFormatting>
  <conditionalFormatting sqref="H25:H29">
    <cfRule type="expression" dxfId="722" priority="25">
      <formula>H25&gt;0</formula>
    </cfRule>
    <cfRule type="expression" dxfId="721" priority="26">
      <formula>H25&lt;0</formula>
    </cfRule>
  </conditionalFormatting>
  <conditionalFormatting sqref="H30">
    <cfRule type="expression" dxfId="720" priority="23">
      <formula>H30&gt;0</formula>
    </cfRule>
    <cfRule type="expression" dxfId="719" priority="24">
      <formula>H30&lt;0</formula>
    </cfRule>
  </conditionalFormatting>
  <conditionalFormatting sqref="H31">
    <cfRule type="expression" dxfId="718" priority="21">
      <formula>H31&gt;0</formula>
    </cfRule>
    <cfRule type="expression" dxfId="717" priority="22">
      <formula>H31&lt;0</formula>
    </cfRule>
  </conditionalFormatting>
  <conditionalFormatting sqref="H32:H34">
    <cfRule type="expression" dxfId="716" priority="19">
      <formula>H32&gt;0</formula>
    </cfRule>
    <cfRule type="expression" dxfId="715" priority="20">
      <formula>H32&lt;0</formula>
    </cfRule>
  </conditionalFormatting>
  <conditionalFormatting sqref="F35">
    <cfRule type="expression" dxfId="714" priority="17">
      <formula>F35&gt;0</formula>
    </cfRule>
    <cfRule type="expression" dxfId="713" priority="18">
      <formula>F35&lt;0</formula>
    </cfRule>
  </conditionalFormatting>
  <conditionalFormatting sqref="H35">
    <cfRule type="expression" dxfId="712" priority="15">
      <formula>H35&gt;0</formula>
    </cfRule>
    <cfRule type="expression" dxfId="711" priority="16">
      <formula>H35&lt;0</formula>
    </cfRule>
  </conditionalFormatting>
  <conditionalFormatting sqref="F36">
    <cfRule type="expression" dxfId="710" priority="13">
      <formula>F36&gt;0</formula>
    </cfRule>
    <cfRule type="expression" dxfId="709" priority="14">
      <formula>F36&lt;0</formula>
    </cfRule>
  </conditionalFormatting>
  <conditionalFormatting sqref="H36">
    <cfRule type="expression" dxfId="708" priority="11">
      <formula>H36&gt;0</formula>
    </cfRule>
    <cfRule type="expression" dxfId="707" priority="12">
      <formula>H36&lt;0</formula>
    </cfRule>
  </conditionalFormatting>
  <conditionalFormatting sqref="H23:H24">
    <cfRule type="expression" dxfId="706" priority="5">
      <formula>H23&gt;0</formula>
    </cfRule>
    <cfRule type="expression" dxfId="705" priority="6">
      <formula>H23&lt;0</formula>
    </cfRule>
  </conditionalFormatting>
  <conditionalFormatting sqref="F23:F24">
    <cfRule type="expression" dxfId="704" priority="7">
      <formula>F23&gt;0</formula>
    </cfRule>
    <cfRule type="expression" dxfId="703" priority="8">
      <formula>F23&lt;0</formula>
    </cfRule>
  </conditionalFormatting>
  <conditionalFormatting sqref="Q7">
    <cfRule type="expression" dxfId="702" priority="3">
      <formula>Q7&gt;0</formula>
    </cfRule>
    <cfRule type="expression" dxfId="701" priority="4">
      <formula>Q7&lt;0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45.319000000000038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51.83</v>
      </c>
      <c r="R4" s="405">
        <v>-1.14E-2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6219.5999999999995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2385.8999999999951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781.31999999999334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0.14367042520796883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3.3185413852980898E-2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11.466814159292037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57.013000000000005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56.494700000000002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208</v>
      </c>
      <c r="P19" s="81">
        <v>1.08</v>
      </c>
      <c r="Q19" s="81">
        <f t="shared" si="2"/>
        <v>55.976400000000005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55.458100000000002</v>
      </c>
      <c r="W20" s="2"/>
      <c r="X20" s="134"/>
    </row>
    <row r="21" spans="1:33" x14ac:dyDescent="0.25">
      <c r="P21" s="81">
        <v>1.06</v>
      </c>
      <c r="Q21" s="81">
        <f t="shared" si="2"/>
        <v>54.939799999999998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54.421500000000002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53.903199999999998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53.384900000000002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52.866599999999998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52.348300000000002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51.83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51.311699999999995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50.793399999999998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50.275099999999995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49.756799999999998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49.238499999999995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48.720199999999998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48.201900000000002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47.683599999999998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47.165300000000002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46.646999999999998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1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4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4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8" priority="75">
      <formula>J8&gt;0</formula>
    </cfRule>
    <cfRule type="expression" dxfId="697" priority="76">
      <formula>J8&lt;0</formula>
    </cfRule>
  </conditionalFormatting>
  <conditionalFormatting sqref="Q7">
    <cfRule type="expression" dxfId="696" priority="77">
      <formula>Q7&gt;0</formula>
    </cfRule>
    <cfRule type="expression" dxfId="695" priority="78">
      <formula>Q7&lt;0</formula>
    </cfRule>
  </conditionalFormatting>
  <conditionalFormatting sqref="M66">
    <cfRule type="expression" dxfId="694" priority="65">
      <formula>M66&gt;0</formula>
    </cfRule>
    <cfRule type="expression" dxfId="693" priority="66">
      <formula>M66&lt;0</formula>
    </cfRule>
  </conditionalFormatting>
  <conditionalFormatting sqref="M66">
    <cfRule type="expression" dxfId="692" priority="67">
      <formula>M66&gt;0</formula>
    </cfRule>
    <cfRule type="expression" dxfId="691" priority="68">
      <formula>M66&lt;0</formula>
    </cfRule>
  </conditionalFormatting>
  <conditionalFormatting sqref="F24:F58">
    <cfRule type="expression" dxfId="690" priority="53">
      <formula>F24&gt;0</formula>
    </cfRule>
    <cfRule type="expression" dxfId="689" priority="54">
      <formula>F24&lt;0</formula>
    </cfRule>
  </conditionalFormatting>
  <conditionalFormatting sqref="F24:F58">
    <cfRule type="expression" dxfId="688" priority="55">
      <formula>F24&gt;0</formula>
    </cfRule>
    <cfRule type="expression" dxfId="687" priority="56">
      <formula>F24&lt;0</formula>
    </cfRule>
  </conditionalFormatting>
  <conditionalFormatting sqref="H24:H58">
    <cfRule type="expression" dxfId="686" priority="51">
      <formula>H24&gt;0</formula>
    </cfRule>
    <cfRule type="expression" dxfId="68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4" priority="5">
      <formula>J59&gt;0</formula>
    </cfRule>
    <cfRule type="expression" dxfId="683" priority="6">
      <formula>J59&lt;0</formula>
    </cfRule>
  </conditionalFormatting>
  <conditionalFormatting sqref="F59:F61">
    <cfRule type="expression" dxfId="682" priority="1">
      <formula>F59&gt;0</formula>
    </cfRule>
    <cfRule type="expression" dxfId="681" priority="2">
      <formula>F59&lt;0</formula>
    </cfRule>
  </conditionalFormatting>
  <conditionalFormatting sqref="F59:F61">
    <cfRule type="expression" dxfId="680" priority="3">
      <formula>F59&gt;0</formula>
    </cfRule>
    <cfRule type="expression" dxfId="679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8" priority="66">
      <formula>F22&gt;0</formula>
    </cfRule>
    <cfRule type="expression" dxfId="67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6" priority="53">
      <formula>F41&gt;0</formula>
    </cfRule>
    <cfRule type="expression" dxfId="675" priority="54">
      <formula>F41&lt;0</formula>
    </cfRule>
  </conditionalFormatting>
  <conditionalFormatting sqref="F41">
    <cfRule type="expression" dxfId="674" priority="57">
      <formula>F41&gt;0</formula>
    </cfRule>
    <cfRule type="expression" dxfId="673" priority="58">
      <formula>F41&lt;0</formula>
    </cfRule>
  </conditionalFormatting>
  <conditionalFormatting sqref="H41">
    <cfRule type="expression" dxfId="672" priority="35">
      <formula>H41&gt;0</formula>
    </cfRule>
    <cfRule type="expression" dxfId="671" priority="36">
      <formula>H41&lt;0</formula>
    </cfRule>
  </conditionalFormatting>
  <conditionalFormatting sqref="F89:F95">
    <cfRule type="expression" dxfId="670" priority="29">
      <formula>F89&gt;0</formula>
    </cfRule>
    <cfRule type="expression" dxfId="669" priority="30">
      <formula>F89&lt;0</formula>
    </cfRule>
  </conditionalFormatting>
  <conditionalFormatting sqref="F96:F110">
    <cfRule type="expression" dxfId="668" priority="25">
      <formula>F96&gt;0</formula>
    </cfRule>
    <cfRule type="expression" dxfId="667" priority="26">
      <formula>F96&lt;0</formula>
    </cfRule>
  </conditionalFormatting>
  <conditionalFormatting sqref="F96:F110">
    <cfRule type="expression" dxfId="666" priority="27">
      <formula>F96&gt;0</formula>
    </cfRule>
    <cfRule type="expression" dxfId="665" priority="28">
      <formula>F96&lt;0</formula>
    </cfRule>
  </conditionalFormatting>
  <conditionalFormatting sqref="H89:H100">
    <cfRule type="expression" dxfId="664" priority="23">
      <formula>H89&gt;0</formula>
    </cfRule>
    <cfRule type="expression" dxfId="663" priority="24">
      <formula>H89&lt;0</formula>
    </cfRule>
  </conditionalFormatting>
  <conditionalFormatting sqref="H101">
    <cfRule type="expression" dxfId="662" priority="21">
      <formula>H101&gt;0</formula>
    </cfRule>
    <cfRule type="expression" dxfId="661" priority="22">
      <formula>H101&lt;0</formula>
    </cfRule>
  </conditionalFormatting>
  <conditionalFormatting sqref="F111:F116">
    <cfRule type="expression" dxfId="660" priority="19">
      <formula>F111&gt;0</formula>
    </cfRule>
    <cfRule type="expression" dxfId="659" priority="20">
      <formula>F111&lt;0</formula>
    </cfRule>
  </conditionalFormatting>
  <conditionalFormatting sqref="H103:H116">
    <cfRule type="expression" dxfId="658" priority="17">
      <formula>H103&gt;0</formula>
    </cfRule>
    <cfRule type="expression" dxfId="657" priority="18">
      <formula>H103&lt;0</formula>
    </cfRule>
  </conditionalFormatting>
  <conditionalFormatting sqref="H102">
    <cfRule type="expression" dxfId="656" priority="15">
      <formula>H102&gt;0</formula>
    </cfRule>
    <cfRule type="expression" dxfId="655" priority="16">
      <formula>H102&lt;0</formula>
    </cfRule>
  </conditionalFormatting>
  <conditionalFormatting sqref="M42">
    <cfRule type="expression" dxfId="654" priority="13">
      <formula>M42&gt;0</formula>
    </cfRule>
    <cfRule type="expression" dxfId="653" priority="14">
      <formula>M42&lt;0</formula>
    </cfRule>
  </conditionalFormatting>
  <conditionalFormatting sqref="Q7">
    <cfRule type="expression" dxfId="652" priority="9">
      <formula>Q7&gt;0</formula>
    </cfRule>
    <cfRule type="expression" dxfId="651" priority="10">
      <formula>Q7&lt;0</formula>
    </cfRule>
  </conditionalFormatting>
  <conditionalFormatting sqref="Q8">
    <cfRule type="expression" dxfId="650" priority="7">
      <formula>Q8&gt;0</formula>
    </cfRule>
    <cfRule type="expression" dxfId="649" priority="8">
      <formula>Q8&lt;0</formula>
    </cfRule>
  </conditionalFormatting>
  <conditionalFormatting sqref="F117:F130 H117:H130">
    <cfRule type="expression" dxfId="648" priority="1">
      <formula>F117&gt;0</formula>
    </cfRule>
    <cfRule type="expression" dxfId="64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6" priority="84">
      <formula>F7&gt;0</formula>
    </cfRule>
    <cfRule type="expression" dxfId="645" priority="85">
      <formula>F7&lt;0</formula>
    </cfRule>
  </conditionalFormatting>
  <conditionalFormatting sqref="Q8">
    <cfRule type="expression" dxfId="644" priority="82">
      <formula>Q8&gt;0</formula>
    </cfRule>
    <cfRule type="expression" dxfId="643" priority="83">
      <formula>Q8&lt;0</formula>
    </cfRule>
  </conditionalFormatting>
  <conditionalFormatting sqref="F29:F36">
    <cfRule type="expression" dxfId="642" priority="62">
      <formula>F29&gt;0</formula>
    </cfRule>
    <cfRule type="expression" dxfId="641" priority="63">
      <formula>F29&lt;0</formula>
    </cfRule>
  </conditionalFormatting>
  <conditionalFormatting sqref="J32:J38">
    <cfRule type="expression" dxfId="640" priority="57">
      <formula>J32&gt;0</formula>
    </cfRule>
    <cfRule type="expression" dxfId="639" priority="58">
      <formula>J32&lt;0</formula>
    </cfRule>
  </conditionalFormatting>
  <conditionalFormatting sqref="M42">
    <cfRule type="expression" dxfId="638" priority="55">
      <formula>M42&gt;0</formula>
    </cfRule>
    <cfRule type="expression" dxfId="637" priority="56">
      <formula>M42&lt;0</formula>
    </cfRule>
  </conditionalFormatting>
  <conditionalFormatting sqref="F98:F134 H98:H134 H137:H142 F137:F142 F144:F153 H144:H153">
    <cfRule type="expression" dxfId="636" priority="53">
      <formula>F98&gt;0</formula>
    </cfRule>
    <cfRule type="expression" dxfId="635" priority="54">
      <formula>F98&lt;0</formula>
    </cfRule>
  </conditionalFormatting>
  <conditionalFormatting sqref="F90:F97">
    <cfRule type="expression" dxfId="634" priority="51">
      <formula>F90&gt;0</formula>
    </cfRule>
    <cfRule type="expression" dxfId="633" priority="52">
      <formula>F90&lt;0</formula>
    </cfRule>
  </conditionalFormatting>
  <conditionalFormatting sqref="H90:H97">
    <cfRule type="expression" dxfId="632" priority="49">
      <formula>H90&gt;0</formula>
    </cfRule>
    <cfRule type="expression" dxfId="631" priority="50">
      <formula>H90&lt;0</formula>
    </cfRule>
  </conditionalFormatting>
  <conditionalFormatting sqref="F135:F136 H135:H136">
    <cfRule type="expression" dxfId="630" priority="47">
      <formula>F135&gt;0</formula>
    </cfRule>
    <cfRule type="expression" dxfId="629" priority="48">
      <formula>F135&lt;0</formula>
    </cfRule>
  </conditionalFormatting>
  <conditionalFormatting sqref="H143 F143">
    <cfRule type="expression" dxfId="628" priority="45">
      <formula>F143&gt;0</formula>
    </cfRule>
    <cfRule type="expression" dxfId="627" priority="46">
      <formula>F143&lt;0</formula>
    </cfRule>
  </conditionalFormatting>
  <conditionalFormatting sqref="F154:F161">
    <cfRule type="expression" dxfId="626" priority="31">
      <formula>F154&gt;0</formula>
    </cfRule>
    <cfRule type="expression" dxfId="625" priority="32">
      <formula>F154&lt;0</formula>
    </cfRule>
  </conditionalFormatting>
  <conditionalFormatting sqref="H154:H161">
    <cfRule type="expression" dxfId="624" priority="29">
      <formula>H154&gt;0</formula>
    </cfRule>
    <cfRule type="expression" dxfId="623" priority="30">
      <formula>H154&lt;0</formula>
    </cfRule>
  </conditionalFormatting>
  <conditionalFormatting sqref="Q10">
    <cfRule type="expression" dxfId="622" priority="27">
      <formula>Q10&gt;0</formula>
    </cfRule>
    <cfRule type="expression" dxfId="621" priority="28">
      <formula>Q10&lt;0</formula>
    </cfRule>
  </conditionalFormatting>
  <conditionalFormatting sqref="F37:F38">
    <cfRule type="expression" dxfId="620" priority="25">
      <formula>F37&gt;0</formula>
    </cfRule>
    <cfRule type="expression" dxfId="619" priority="26">
      <formula>F37&lt;0</formula>
    </cfRule>
  </conditionalFormatting>
  <conditionalFormatting sqref="H37:H38">
    <cfRule type="expression" dxfId="618" priority="23">
      <formula>H37&gt;0</formula>
    </cfRule>
    <cfRule type="expression" dxfId="617" priority="24">
      <formula>H37&lt;0</formula>
    </cfRule>
  </conditionalFormatting>
  <conditionalFormatting sqref="F167">
    <cfRule type="expression" dxfId="616" priority="21">
      <formula>F167&gt;0</formula>
    </cfRule>
    <cfRule type="expression" dxfId="615" priority="22">
      <formula>F167&lt;0</formula>
    </cfRule>
  </conditionalFormatting>
  <conditionalFormatting sqref="F168:F179">
    <cfRule type="expression" dxfId="614" priority="19">
      <formula>F168&gt;0</formula>
    </cfRule>
    <cfRule type="expression" dxfId="613" priority="20">
      <formula>F168&lt;0</formula>
    </cfRule>
  </conditionalFormatting>
  <conditionalFormatting sqref="H167:H179">
    <cfRule type="expression" dxfId="612" priority="17">
      <formula>H167&gt;0</formula>
    </cfRule>
    <cfRule type="expression" dxfId="611" priority="18">
      <formula>H167&lt;0</formula>
    </cfRule>
  </conditionalFormatting>
  <conditionalFormatting sqref="J175:J197 J201">
    <cfRule type="expression" dxfId="610" priority="15">
      <formula>J175&gt;0</formula>
    </cfRule>
    <cfRule type="expression" dxfId="609" priority="16">
      <formula>J175&lt;0</formula>
    </cfRule>
  </conditionalFormatting>
  <conditionalFormatting sqref="F180:F197 F201">
    <cfRule type="expression" dxfId="608" priority="13">
      <formula>F180&gt;0</formula>
    </cfRule>
    <cfRule type="expression" dxfId="607" priority="14">
      <formula>F180&lt;0</formula>
    </cfRule>
  </conditionalFormatting>
  <conditionalFormatting sqref="H180:H197 H201">
    <cfRule type="expression" dxfId="606" priority="11">
      <formula>H180&gt;0</formula>
    </cfRule>
    <cfRule type="expression" dxfId="605" priority="12">
      <formula>H180&lt;0</formula>
    </cfRule>
  </conditionalFormatting>
  <conditionalFormatting sqref="I32:J35">
    <cfRule type="expression" dxfId="604" priority="9">
      <formula>I32&gt;0</formula>
    </cfRule>
    <cfRule type="expression" dxfId="603" priority="10">
      <formula>I32&lt;0</formula>
    </cfRule>
  </conditionalFormatting>
  <conditionalFormatting sqref="F198:F200">
    <cfRule type="expression" dxfId="602" priority="7">
      <formula>F198&gt;0</formula>
    </cfRule>
    <cfRule type="expression" dxfId="601" priority="8">
      <formula>F198&lt;0</formula>
    </cfRule>
  </conditionalFormatting>
  <conditionalFormatting sqref="H198:H200">
    <cfRule type="expression" dxfId="600" priority="5">
      <formula>H198&gt;0</formula>
    </cfRule>
    <cfRule type="expression" dxfId="599" priority="6">
      <formula>H198&lt;0</formula>
    </cfRule>
  </conditionalFormatting>
  <conditionalFormatting sqref="J198:J200">
    <cfRule type="expression" dxfId="598" priority="3">
      <formula>J198&gt;0</formula>
    </cfRule>
    <cfRule type="expression" dxfId="597" priority="4">
      <formula>J198&lt;0</formula>
    </cfRule>
  </conditionalFormatting>
  <conditionalFormatting sqref="F202:F211 H202:H211 J202:J211">
    <cfRule type="expression" dxfId="596" priority="1">
      <formula>F202&gt;0</formula>
    </cfRule>
    <cfRule type="expression" dxfId="59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4" priority="80">
      <formula>Q7&gt;0</formula>
    </cfRule>
    <cfRule type="expression" dxfId="593" priority="81">
      <formula>Q7&lt;0</formula>
    </cfRule>
  </conditionalFormatting>
  <conditionalFormatting sqref="Q8">
    <cfRule type="expression" dxfId="592" priority="78">
      <formula>Q8&gt;0</formula>
    </cfRule>
    <cfRule type="expression" dxfId="591" priority="79">
      <formula>Q8&lt;0</formula>
    </cfRule>
  </conditionalFormatting>
  <conditionalFormatting sqref="F29:F43">
    <cfRule type="expression" dxfId="590" priority="62">
      <formula>F29&gt;0</formula>
    </cfRule>
    <cfRule type="expression" dxfId="589" priority="63">
      <formula>F29&lt;0</formula>
    </cfRule>
  </conditionalFormatting>
  <conditionalFormatting sqref="H45 H47:H48 H50:H51 H53 H29:H43">
    <cfRule type="expression" dxfId="588" priority="60">
      <formula>H29&gt;0</formula>
    </cfRule>
    <cfRule type="expression" dxfId="587" priority="61">
      <formula>H29&lt;0</formula>
    </cfRule>
  </conditionalFormatting>
  <conditionalFormatting sqref="J35">
    <cfRule type="expression" dxfId="586" priority="56">
      <formula>J35&gt;0</formula>
    </cfRule>
    <cfRule type="expression" dxfId="585" priority="57">
      <formula>J35&lt;0</formula>
    </cfRule>
  </conditionalFormatting>
  <conditionalFormatting sqref="J36:J37">
    <cfRule type="expression" dxfId="584" priority="54">
      <formula>J36&gt;0</formula>
    </cfRule>
    <cfRule type="expression" dxfId="583" priority="55">
      <formula>J36&lt;0</formula>
    </cfRule>
  </conditionalFormatting>
  <conditionalFormatting sqref="J38:J45 J48 J51">
    <cfRule type="expression" dxfId="582" priority="52">
      <formula>J38&gt;0</formula>
    </cfRule>
    <cfRule type="expression" dxfId="58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0" priority="49">
      <formula>M59&gt;0</formula>
    </cfRule>
    <cfRule type="expression" dxfId="579" priority="50">
      <formula>M59&lt;0</formula>
    </cfRule>
  </conditionalFormatting>
  <conditionalFormatting sqref="Q10">
    <cfRule type="expression" dxfId="578" priority="47">
      <formula>Q10&gt;0</formula>
    </cfRule>
    <cfRule type="expression" dxfId="577" priority="48">
      <formula>Q10&lt;0</formula>
    </cfRule>
  </conditionalFormatting>
  <conditionalFormatting sqref="F84:F103">
    <cfRule type="expression" dxfId="576" priority="45">
      <formula>F84&gt;0</formula>
    </cfRule>
    <cfRule type="expression" dxfId="575" priority="46">
      <formula>F84&lt;0</formula>
    </cfRule>
  </conditionalFormatting>
  <conditionalFormatting sqref="H107 H84:H103">
    <cfRule type="expression" dxfId="574" priority="43">
      <formula>H84&gt;0</formula>
    </cfRule>
    <cfRule type="expression" dxfId="573" priority="44">
      <formula>H84&lt;0</formula>
    </cfRule>
  </conditionalFormatting>
  <conditionalFormatting sqref="J89">
    <cfRule type="expression" dxfId="572" priority="41">
      <formula>J89&gt;0</formula>
    </cfRule>
    <cfRule type="expression" dxfId="571" priority="42">
      <formula>J89&lt;0</formula>
    </cfRule>
  </conditionalFormatting>
  <conditionalFormatting sqref="J90:J95">
    <cfRule type="expression" dxfId="570" priority="39">
      <formula>J90&gt;0</formula>
    </cfRule>
    <cfRule type="expression" dxfId="569" priority="40">
      <formula>J90&lt;0</formula>
    </cfRule>
  </conditionalFormatting>
  <conditionalFormatting sqref="J96:J97">
    <cfRule type="expression" dxfId="568" priority="37">
      <formula>J96&gt;0</formula>
    </cfRule>
    <cfRule type="expression" dxfId="567" priority="38">
      <formula>J96&lt;0</formula>
    </cfRule>
  </conditionalFormatting>
  <conditionalFormatting sqref="J98:J104">
    <cfRule type="expression" dxfId="566" priority="35">
      <formula>J98&gt;0</formula>
    </cfRule>
    <cfRule type="expression" dxfId="565" priority="36">
      <formula>J98&lt;0</formula>
    </cfRule>
  </conditionalFormatting>
  <conditionalFormatting sqref="J25">
    <cfRule type="expression" dxfId="564" priority="31">
      <formula>J25&gt;0</formula>
    </cfRule>
    <cfRule type="expression" dxfId="563" priority="32">
      <formula>J25&lt;0</formula>
    </cfRule>
  </conditionalFormatting>
  <conditionalFormatting sqref="F105:F106">
    <cfRule type="expression" dxfId="562" priority="29">
      <formula>F105&gt;0</formula>
    </cfRule>
    <cfRule type="expression" dxfId="561" priority="30">
      <formula>F105&lt;0</formula>
    </cfRule>
  </conditionalFormatting>
  <conditionalFormatting sqref="H105:H106">
    <cfRule type="expression" dxfId="560" priority="27">
      <formula>H105&gt;0</formula>
    </cfRule>
    <cfRule type="expression" dxfId="559" priority="28">
      <formula>H105&lt;0</formula>
    </cfRule>
  </conditionalFormatting>
  <conditionalFormatting sqref="J105">
    <cfRule type="expression" dxfId="558" priority="25">
      <formula>J105&gt;0</formula>
    </cfRule>
    <cfRule type="expression" dxfId="557" priority="26">
      <formula>J105&lt;0</formula>
    </cfRule>
  </conditionalFormatting>
  <conditionalFormatting sqref="J106">
    <cfRule type="expression" dxfId="556" priority="23">
      <formula>J106&gt;0</formula>
    </cfRule>
    <cfRule type="expression" dxfId="555" priority="24">
      <formula>J106&lt;0</formula>
    </cfRule>
  </conditionalFormatting>
  <conditionalFormatting sqref="F24 F27:F28">
    <cfRule type="expression" dxfId="554" priority="21">
      <formula>F24&gt;0</formula>
    </cfRule>
    <cfRule type="expression" dxfId="553" priority="22">
      <formula>F24&lt;0</formula>
    </cfRule>
  </conditionalFormatting>
  <conditionalFormatting sqref="H24:H28">
    <cfRule type="expression" dxfId="552" priority="19">
      <formula>H24&gt;0</formula>
    </cfRule>
    <cfRule type="expression" dxfId="551" priority="20">
      <formula>H24&lt;0</formula>
    </cfRule>
  </conditionalFormatting>
  <conditionalFormatting sqref="J26:J34">
    <cfRule type="expression" dxfId="550" priority="17">
      <formula>J26&gt;0</formula>
    </cfRule>
    <cfRule type="expression" dxfId="549" priority="18">
      <formula>J26&lt;0</formula>
    </cfRule>
  </conditionalFormatting>
  <conditionalFormatting sqref="F113">
    <cfRule type="expression" dxfId="548" priority="15">
      <formula>F113&gt;0</formula>
    </cfRule>
    <cfRule type="expression" dxfId="547" priority="16">
      <formula>F113&lt;0</formula>
    </cfRule>
  </conditionalFormatting>
  <conditionalFormatting sqref="H113">
    <cfRule type="expression" dxfId="546" priority="13">
      <formula>H113&gt;0</formula>
    </cfRule>
    <cfRule type="expression" dxfId="545" priority="14">
      <formula>H113&lt;0</formula>
    </cfRule>
  </conditionalFormatting>
  <conditionalFormatting sqref="J109">
    <cfRule type="expression" dxfId="544" priority="11">
      <formula>J109&gt;0</formula>
    </cfRule>
    <cfRule type="expression" dxfId="543" priority="12">
      <formula>J109&lt;0</formula>
    </cfRule>
  </conditionalFormatting>
  <conditionalFormatting sqref="F108:F112">
    <cfRule type="expression" dxfId="542" priority="9">
      <formula>F108&gt;0</formula>
    </cfRule>
    <cfRule type="expression" dxfId="541" priority="10">
      <formula>F108&lt;0</formula>
    </cfRule>
  </conditionalFormatting>
  <conditionalFormatting sqref="H108:H112">
    <cfRule type="expression" dxfId="540" priority="7">
      <formula>H108&gt;0</formula>
    </cfRule>
    <cfRule type="expression" dxfId="539" priority="8">
      <formula>H108&lt;0</formula>
    </cfRule>
  </conditionalFormatting>
  <conditionalFormatting sqref="J110:J113">
    <cfRule type="expression" dxfId="538" priority="5">
      <formula>J110&gt;0</formula>
    </cfRule>
    <cfRule type="expression" dxfId="537" priority="6">
      <formula>J110&lt;0</formula>
    </cfRule>
  </conditionalFormatting>
  <conditionalFormatting sqref="F25:F26">
    <cfRule type="expression" dxfId="536" priority="3">
      <formula>F25&gt;0</formula>
    </cfRule>
    <cfRule type="expression" dxfId="535" priority="4">
      <formula>F25&lt;0</formula>
    </cfRule>
  </conditionalFormatting>
  <conditionalFormatting sqref="Q9">
    <cfRule type="expression" dxfId="534" priority="1">
      <formula>Q9&gt;0</formula>
    </cfRule>
    <cfRule type="expression" dxfId="53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2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28.506819999999998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21.74</v>
      </c>
      <c r="R4" s="180">
        <v>-1.4E-3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10870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1302</v>
      </c>
      <c r="M6" s="4"/>
      <c r="O6" s="11" t="s">
        <v>64</v>
      </c>
      <c r="Q6" s="2">
        <f>Q3*Q2</f>
        <v>14253.409999999998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-3308.3900000000035</v>
      </c>
      <c r="R7">
        <v>500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-3383.4100000000035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-0.23737547716651691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4.2318307267709299E-2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10.87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23.914000000000001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23.6966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23.479199999999999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H22" s="161"/>
      <c r="I22" s="3"/>
      <c r="J22" s="3"/>
      <c r="K22" s="3"/>
      <c r="O22" s="81">
        <v>1.07</v>
      </c>
      <c r="P22" s="81">
        <f t="shared" si="3"/>
        <v>23.261800000000001</v>
      </c>
    </row>
    <row r="23" spans="1:21" x14ac:dyDescent="0.25">
      <c r="A23" s="882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23.0444</v>
      </c>
      <c r="T23" s="1">
        <v>43128</v>
      </c>
      <c r="U23" t="s">
        <v>891</v>
      </c>
    </row>
    <row r="24" spans="1:21" x14ac:dyDescent="0.25">
      <c r="A24" s="882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22.826999999999998</v>
      </c>
    </row>
    <row r="25" spans="1:21" x14ac:dyDescent="0.25">
      <c r="A25" s="882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22.6096</v>
      </c>
    </row>
    <row r="26" spans="1:21" x14ac:dyDescent="0.25">
      <c r="A26" s="882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22.392199999999999</v>
      </c>
    </row>
    <row r="27" spans="1:21" x14ac:dyDescent="0.25">
      <c r="A27" s="882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22.174799999999998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21.9574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21.74</v>
      </c>
    </row>
    <row r="30" spans="1:21" ht="15" customHeight="1" x14ac:dyDescent="0.25">
      <c r="A30" s="883" t="s">
        <v>1283</v>
      </c>
      <c r="B30" s="72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21.522599999999997</v>
      </c>
      <c r="T30" s="1">
        <v>43175</v>
      </c>
      <c r="U30" t="s">
        <v>1090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21.305199999999999</v>
      </c>
      <c r="T31" s="1">
        <v>43178</v>
      </c>
      <c r="U31" t="s">
        <v>936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21.087799999999998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20.870399999999997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20.652999999999999</v>
      </c>
    </row>
    <row r="35" spans="1:21" x14ac:dyDescent="0.25">
      <c r="O35" s="81">
        <v>0.94</v>
      </c>
      <c r="P35" s="81">
        <f t="shared" si="3"/>
        <v>20.435599999999997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20.2182</v>
      </c>
    </row>
    <row r="37" spans="1:21" x14ac:dyDescent="0.25">
      <c r="O37" s="81">
        <v>0.92</v>
      </c>
      <c r="P37" s="81">
        <f t="shared" si="3"/>
        <v>20.000799999999998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3040</v>
      </c>
      <c r="I38" s="37"/>
      <c r="J38" s="37"/>
      <c r="K38" s="37">
        <f>SUM(K2:K37)</f>
        <v>73771.59</v>
      </c>
      <c r="L38" s="37"/>
      <c r="M38" s="37">
        <f>SUM(M2:M37)</f>
        <v>524.4</v>
      </c>
      <c r="O38" s="81">
        <v>0.91</v>
      </c>
      <c r="P38" s="81">
        <f t="shared" si="3"/>
        <v>19.7834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3040</v>
      </c>
      <c r="I39" s="279"/>
      <c r="J39" s="279"/>
      <c r="K39" s="280">
        <f>SumByColor($A$39,K2:K37)</f>
        <v>73773</v>
      </c>
      <c r="L39" s="279"/>
      <c r="M39" s="280">
        <f>SumByColor($A$39,M2:M37)</f>
        <v>524</v>
      </c>
      <c r="O39" s="81">
        <v>0.9</v>
      </c>
      <c r="P39" s="81">
        <f t="shared" si="3"/>
        <v>19.565999999999999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1322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1323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4">
        <v>1500</v>
      </c>
      <c r="D89" s="775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4">
        <v>1500</v>
      </c>
      <c r="D106" s="775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 t="shared" ref="F110:F112" si="20">C110*(E110-D110)</f>
        <v>-4784</v>
      </c>
      <c r="G110" s="39">
        <f t="shared" ref="G110:G112" si="21">D110*C110</f>
        <v>31473</v>
      </c>
      <c r="H110" s="180">
        <f t="shared" ref="H110:H112" si="22">(E110-D110)/D110</f>
        <v>-0.15200330441966128</v>
      </c>
      <c r="I110" s="39"/>
      <c r="J110" s="39"/>
      <c r="K110" s="39">
        <f t="shared" ref="K110:K112" si="23"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 t="shared" si="20"/>
        <v>-3686.3200000000006</v>
      </c>
      <c r="G111" s="39">
        <f t="shared" si="21"/>
        <v>20790.32</v>
      </c>
      <c r="H111" s="180">
        <f t="shared" si="22"/>
        <v>-0.17730944016253722</v>
      </c>
      <c r="I111" s="39"/>
      <c r="J111" s="39"/>
      <c r="K111" s="39">
        <f t="shared" si="23"/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 t="shared" si="20"/>
        <v>-3413.3999999999992</v>
      </c>
      <c r="G112" s="39">
        <f t="shared" si="21"/>
        <v>14253.4</v>
      </c>
      <c r="H112" s="180">
        <f t="shared" si="22"/>
        <v>-0.2394797030883859</v>
      </c>
      <c r="I112" s="39" t="s">
        <v>1317</v>
      </c>
      <c r="J112" s="39"/>
      <c r="K112" s="39">
        <f t="shared" si="23"/>
        <v>-3338.3799999999992</v>
      </c>
      <c r="L112" s="173">
        <v>10.84</v>
      </c>
    </row>
    <row r="113" spans="1:13" x14ac:dyDescent="0.25">
      <c r="B113" s="164"/>
      <c r="C113" s="10"/>
      <c r="D113" s="39"/>
      <c r="E113" s="39"/>
      <c r="F113" s="39"/>
      <c r="G113" s="39"/>
      <c r="H113" s="180"/>
      <c r="I113" s="39"/>
      <c r="J113" s="39"/>
      <c r="K113" s="39"/>
      <c r="L113" s="173"/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4">C139*(E139-D139)</f>
        <v>-94.799999999999898</v>
      </c>
      <c r="G139" s="198">
        <f t="shared" ref="G139:G145" si="25">D139*C139</f>
        <v>2401.8000000000002</v>
      </c>
      <c r="H139" s="212">
        <f t="shared" ref="H139:H145" si="26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4"/>
        <v>-86.100000000000136</v>
      </c>
      <c r="G140" s="198">
        <f t="shared" si="25"/>
        <v>1239.3000000000002</v>
      </c>
      <c r="H140" s="210">
        <f t="shared" si="26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4"/>
        <v>-54.000000000000128</v>
      </c>
      <c r="G141" s="198">
        <f t="shared" si="25"/>
        <v>1239.3000000000002</v>
      </c>
      <c r="H141" s="210">
        <f t="shared" si="26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4"/>
        <v>-29.849999999999923</v>
      </c>
      <c r="G142" s="198">
        <f t="shared" si="25"/>
        <v>1239.1500000000001</v>
      </c>
      <c r="H142" s="210">
        <f t="shared" si="26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4"/>
        <v>-9.7500000000000853</v>
      </c>
      <c r="G143" s="198">
        <f t="shared" si="25"/>
        <v>1239.1500000000001</v>
      </c>
      <c r="H143" s="210">
        <f t="shared" si="26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4"/>
        <v>-51.449999999999889</v>
      </c>
      <c r="G144" s="198">
        <f t="shared" si="25"/>
        <v>1239.1500000000001</v>
      </c>
      <c r="H144" s="210">
        <f t="shared" si="26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4"/>
        <v>1.9499999999999318</v>
      </c>
      <c r="G145" s="198">
        <f t="shared" si="25"/>
        <v>1239.1500000000001</v>
      </c>
      <c r="H145" s="210">
        <f t="shared" si="26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21" priority="93">
      <formula>F46&gt;0</formula>
    </cfRule>
    <cfRule type="expression" dxfId="520" priority="94">
      <formula>F46&lt;0</formula>
    </cfRule>
  </conditionalFormatting>
  <conditionalFormatting sqref="H46:H48">
    <cfRule type="expression" dxfId="519" priority="91">
      <formula>H46&gt;0</formula>
    </cfRule>
    <cfRule type="expression" dxfId="518" priority="92">
      <formula>H46&lt;0</formula>
    </cfRule>
  </conditionalFormatting>
  <conditionalFormatting sqref="H49">
    <cfRule type="expression" dxfId="517" priority="89">
      <formula>H49&gt;0</formula>
    </cfRule>
    <cfRule type="expression" dxfId="516" priority="90">
      <formula>H49&lt;0</formula>
    </cfRule>
  </conditionalFormatting>
  <conditionalFormatting sqref="H50">
    <cfRule type="expression" dxfId="515" priority="87">
      <formula>H50&gt;0</formula>
    </cfRule>
    <cfRule type="expression" dxfId="514" priority="88">
      <formula>H50&lt;0</formula>
    </cfRule>
  </conditionalFormatting>
  <conditionalFormatting sqref="F42:F45">
    <cfRule type="expression" dxfId="513" priority="83">
      <formula>F42&gt;0</formula>
    </cfRule>
    <cfRule type="expression" dxfId="512" priority="84">
      <formula>F42&lt;0</formula>
    </cfRule>
  </conditionalFormatting>
  <conditionalFormatting sqref="H42:H45">
    <cfRule type="expression" dxfId="511" priority="81">
      <formula>H42&gt;0</formula>
    </cfRule>
    <cfRule type="expression" dxfId="510" priority="82">
      <formula>H42&lt;0</formula>
    </cfRule>
  </conditionalFormatting>
  <conditionalFormatting sqref="F51:F52">
    <cfRule type="expression" dxfId="509" priority="77">
      <formula>F51&gt;0</formula>
    </cfRule>
    <cfRule type="expression" dxfId="508" priority="78">
      <formula>F51&lt;0</formula>
    </cfRule>
  </conditionalFormatting>
  <conditionalFormatting sqref="I46:L48">
    <cfRule type="expression" dxfId="507" priority="75">
      <formula>I46&gt;0</formula>
    </cfRule>
    <cfRule type="expression" dxfId="506" priority="76">
      <formula>I46&lt;0</formula>
    </cfRule>
  </conditionalFormatting>
  <conditionalFormatting sqref="I55:I60 I52:L53">
    <cfRule type="expression" dxfId="505" priority="69">
      <formula>I52&gt;0</formula>
    </cfRule>
    <cfRule type="expression" dxfId="504" priority="70">
      <formula>I52&lt;0</formula>
    </cfRule>
  </conditionalFormatting>
  <conditionalFormatting sqref="I42:L45">
    <cfRule type="expression" dxfId="503" priority="67">
      <formula>I42&gt;0</formula>
    </cfRule>
    <cfRule type="expression" dxfId="502" priority="68">
      <formula>I42&lt;0</formula>
    </cfRule>
  </conditionalFormatting>
  <conditionalFormatting sqref="F53:F64">
    <cfRule type="expression" dxfId="501" priority="65">
      <formula>F53&gt;0</formula>
    </cfRule>
    <cfRule type="expression" dxfId="500" priority="66">
      <formula>F53&lt;0</formula>
    </cfRule>
  </conditionalFormatting>
  <conditionalFormatting sqref="Q8">
    <cfRule type="expression" dxfId="499" priority="61">
      <formula>Q8&gt;0</formula>
    </cfRule>
    <cfRule type="expression" dxfId="498" priority="62">
      <formula>Q8&lt;0</formula>
    </cfRule>
  </conditionalFormatting>
  <conditionalFormatting sqref="Q7">
    <cfRule type="expression" dxfId="497" priority="63">
      <formula>Q7&gt;0</formula>
    </cfRule>
    <cfRule type="expression" dxfId="496" priority="64">
      <formula>Q7&lt;0</formula>
    </cfRule>
  </conditionalFormatting>
  <conditionalFormatting sqref="F140:F144">
    <cfRule type="expression" dxfId="495" priority="59">
      <formula>F140&gt;0</formula>
    </cfRule>
    <cfRule type="expression" dxfId="494" priority="60">
      <formula>F140&lt;0</formula>
    </cfRule>
  </conditionalFormatting>
  <conditionalFormatting sqref="H140:H142">
    <cfRule type="expression" dxfId="493" priority="57">
      <formula>H140&gt;0</formula>
    </cfRule>
    <cfRule type="expression" dxfId="492" priority="58">
      <formula>H140&lt;0</formula>
    </cfRule>
  </conditionalFormatting>
  <conditionalFormatting sqref="H143">
    <cfRule type="expression" dxfId="491" priority="55">
      <formula>H143&gt;0</formula>
    </cfRule>
    <cfRule type="expression" dxfId="490" priority="56">
      <formula>H143&lt;0</formula>
    </cfRule>
  </conditionalFormatting>
  <conditionalFormatting sqref="H144">
    <cfRule type="expression" dxfId="489" priority="53">
      <formula>H144&gt;0</formula>
    </cfRule>
    <cfRule type="expression" dxfId="488" priority="54">
      <formula>H144&lt;0</formula>
    </cfRule>
  </conditionalFormatting>
  <conditionalFormatting sqref="H145:H154">
    <cfRule type="expression" dxfId="487" priority="51">
      <formula>H145&gt;0</formula>
    </cfRule>
    <cfRule type="expression" dxfId="486" priority="52">
      <formula>H145&lt;0</formula>
    </cfRule>
  </conditionalFormatting>
  <conditionalFormatting sqref="F136:F139">
    <cfRule type="expression" dxfId="485" priority="49">
      <formula>F136&gt;0</formula>
    </cfRule>
    <cfRule type="expression" dxfId="484" priority="50">
      <formula>F136&lt;0</formula>
    </cfRule>
  </conditionalFormatting>
  <conditionalFormatting sqref="H136:H139">
    <cfRule type="expression" dxfId="483" priority="47">
      <formula>H136&gt;0</formula>
    </cfRule>
    <cfRule type="expression" dxfId="482" priority="48">
      <formula>H136&lt;0</formula>
    </cfRule>
  </conditionalFormatting>
  <conditionalFormatting sqref="F145:F146">
    <cfRule type="expression" dxfId="481" priority="45">
      <formula>F145&gt;0</formula>
    </cfRule>
    <cfRule type="expression" dxfId="480" priority="46">
      <formula>F145&lt;0</formula>
    </cfRule>
  </conditionalFormatting>
  <conditionalFormatting sqref="I140:I142">
    <cfRule type="expression" dxfId="479" priority="43">
      <formula>I140&gt;0</formula>
    </cfRule>
    <cfRule type="expression" dxfId="478" priority="44">
      <formula>I140&lt;0</formula>
    </cfRule>
  </conditionalFormatting>
  <conditionalFormatting sqref="I143">
    <cfRule type="expression" dxfId="477" priority="41">
      <formula>I143&gt;0</formula>
    </cfRule>
    <cfRule type="expression" dxfId="476" priority="42">
      <formula>I143&lt;0</formula>
    </cfRule>
  </conditionalFormatting>
  <conditionalFormatting sqref="I144">
    <cfRule type="expression" dxfId="475" priority="39">
      <formula>I144&gt;0</formula>
    </cfRule>
    <cfRule type="expression" dxfId="474" priority="40">
      <formula>I144&lt;0</formula>
    </cfRule>
  </conditionalFormatting>
  <conditionalFormatting sqref="I145:I154">
    <cfRule type="expression" dxfId="473" priority="37">
      <formula>I145&gt;0</formula>
    </cfRule>
    <cfRule type="expression" dxfId="472" priority="38">
      <formula>I145&lt;0</formula>
    </cfRule>
  </conditionalFormatting>
  <conditionalFormatting sqref="I136:I139">
    <cfRule type="expression" dxfId="471" priority="35">
      <formula>I136&gt;0</formula>
    </cfRule>
    <cfRule type="expression" dxfId="470" priority="36">
      <formula>I136&lt;0</formula>
    </cfRule>
  </conditionalFormatting>
  <conditionalFormatting sqref="F147">
    <cfRule type="expression" dxfId="469" priority="33">
      <formula>F147&gt;0</formula>
    </cfRule>
    <cfRule type="expression" dxfId="468" priority="34">
      <formula>F147&lt;0</formula>
    </cfRule>
  </conditionalFormatting>
  <conditionalFormatting sqref="F67:F69 H68:H69 H67:L67">
    <cfRule type="expression" dxfId="467" priority="31">
      <formula>F67&gt;0</formula>
    </cfRule>
    <cfRule type="expression" dxfId="466" priority="32">
      <formula>F67&lt;0</formula>
    </cfRule>
  </conditionalFormatting>
  <conditionalFormatting sqref="R4">
    <cfRule type="expression" dxfId="465" priority="29">
      <formula>R4&gt;0</formula>
    </cfRule>
    <cfRule type="expression" dxfId="464" priority="30">
      <formula>R4&lt;0</formula>
    </cfRule>
  </conditionalFormatting>
  <conditionalFormatting sqref="F73:F76 H73:K74 H75:J76">
    <cfRule type="expression" dxfId="463" priority="27">
      <formula>F73&gt;0</formula>
    </cfRule>
    <cfRule type="expression" dxfId="462" priority="28">
      <formula>F73&lt;0</formula>
    </cfRule>
  </conditionalFormatting>
  <conditionalFormatting sqref="H81:H85 F80:F85 H80:J80 J81:J85">
    <cfRule type="expression" dxfId="461" priority="23">
      <formula>F80&gt;0</formula>
    </cfRule>
    <cfRule type="expression" dxfId="460" priority="24">
      <formula>F80&lt;0</formula>
    </cfRule>
  </conditionalFormatting>
  <conditionalFormatting sqref="I93:J93">
    <cfRule type="expression" dxfId="459" priority="21">
      <formula>I93&gt;0</formula>
    </cfRule>
    <cfRule type="expression" dxfId="458" priority="22">
      <formula>I93&lt;0</formula>
    </cfRule>
  </conditionalFormatting>
  <conditionalFormatting sqref="H89:J90 J92:K92 J91 K75:K91 F89:F93 H91:H93 K93">
    <cfRule type="expression" dxfId="457" priority="19">
      <formula>F75&gt;0</formula>
    </cfRule>
    <cfRule type="expression" dxfId="456" priority="20">
      <formula>F75&lt;0</formula>
    </cfRule>
  </conditionalFormatting>
  <conditionalFormatting sqref="H87:J88 F86:F88 H86 J86">
    <cfRule type="expression" dxfId="455" priority="17">
      <formula>F86&gt;0</formula>
    </cfRule>
    <cfRule type="expression" dxfId="454" priority="18">
      <formula>F86&lt;0</formula>
    </cfRule>
  </conditionalFormatting>
  <conditionalFormatting sqref="H94:K98 F94:F98">
    <cfRule type="expression" dxfId="453" priority="13">
      <formula>F94&gt;0</formula>
    </cfRule>
    <cfRule type="expression" dxfId="452" priority="14">
      <formula>F94&lt;0</formula>
    </cfRule>
  </conditionalFormatting>
  <conditionalFormatting sqref="H107:K107 F107">
    <cfRule type="expression" dxfId="451" priority="11">
      <formula>F107&gt;0</formula>
    </cfRule>
    <cfRule type="expression" dxfId="450" priority="12">
      <formula>F107&lt;0</formula>
    </cfRule>
  </conditionalFormatting>
  <conditionalFormatting sqref="H102:K106 F102:F106">
    <cfRule type="expression" dxfId="449" priority="9">
      <formula>F102&gt;0</formula>
    </cfRule>
    <cfRule type="expression" dxfId="448" priority="10">
      <formula>F102&lt;0</formula>
    </cfRule>
  </conditionalFormatting>
  <conditionalFormatting sqref="H101:K101 F99:F101 H99:H100 J99:K100">
    <cfRule type="expression" dxfId="447" priority="7">
      <formula>F99&gt;0</formula>
    </cfRule>
    <cfRule type="expression" dxfId="446" priority="8">
      <formula>F99&lt;0</formula>
    </cfRule>
  </conditionalFormatting>
  <conditionalFormatting sqref="H108:K110 F108:F110">
    <cfRule type="expression" dxfId="445" priority="5">
      <formula>F108&gt;0</formula>
    </cfRule>
    <cfRule type="expression" dxfId="444" priority="6">
      <formula>F108&lt;0</formula>
    </cfRule>
  </conditionalFormatting>
  <conditionalFormatting sqref="H111:K113 F111:F113">
    <cfRule type="expression" dxfId="443" priority="3">
      <formula>F111&gt;0</formula>
    </cfRule>
    <cfRule type="expression" dxfId="442" priority="4">
      <formula>F111&lt;0</formula>
    </cfRule>
  </conditionalFormatting>
  <conditionalFormatting sqref="Q10">
    <cfRule type="expression" dxfId="441" priority="1">
      <formula>Q10&gt;0</formula>
    </cfRule>
    <cfRule type="expression" dxfId="440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9" priority="11">
      <formula>Q8&gt;0</formula>
    </cfRule>
    <cfRule type="expression" dxfId="438" priority="12">
      <formula>Q8&lt;0</formula>
    </cfRule>
  </conditionalFormatting>
  <conditionalFormatting sqref="Q7">
    <cfRule type="expression" dxfId="437" priority="13">
      <formula>Q7&gt;0</formula>
    </cfRule>
    <cfRule type="expression" dxfId="436" priority="14">
      <formula>Q7&lt;0</formula>
    </cfRule>
  </conditionalFormatting>
  <conditionalFormatting sqref="F22">
    <cfRule type="expression" dxfId="435" priority="9">
      <formula>F22&gt;0</formula>
    </cfRule>
    <cfRule type="expression" dxfId="434" priority="10">
      <formula>F22&lt;0</formula>
    </cfRule>
  </conditionalFormatting>
  <conditionalFormatting sqref="H22">
    <cfRule type="expression" dxfId="433" priority="7">
      <formula>H22&gt;0</formula>
    </cfRule>
    <cfRule type="expression" dxfId="432" priority="8">
      <formula>H22&lt;0</formula>
    </cfRule>
  </conditionalFormatting>
  <conditionalFormatting sqref="F59">
    <cfRule type="expression" dxfId="431" priority="5">
      <formula>F59&gt;0</formula>
    </cfRule>
    <cfRule type="expression" dxfId="430" priority="6">
      <formula>F59&lt;0</formula>
    </cfRule>
  </conditionalFormatting>
  <conditionalFormatting sqref="H59">
    <cfRule type="expression" dxfId="429" priority="3">
      <formula>H59&gt;0</formula>
    </cfRule>
    <cfRule type="expression" dxfId="428" priority="4">
      <formula>H59&lt;0</formula>
    </cfRule>
  </conditionalFormatting>
  <conditionalFormatting sqref="M30">
    <cfRule type="expression" dxfId="427" priority="1">
      <formula>M30&gt;0</formula>
    </cfRule>
    <cfRule type="expression" dxfId="4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5" priority="19">
      <formula>F27&gt;0</formula>
    </cfRule>
    <cfRule type="expression" dxfId="424" priority="20">
      <formula>F27&lt;0</formula>
    </cfRule>
  </conditionalFormatting>
  <conditionalFormatting sqref="F37:F38">
    <cfRule type="expression" dxfId="423" priority="17">
      <formula>F37&gt;0</formula>
    </cfRule>
    <cfRule type="expression" dxfId="422" priority="18">
      <formula>F37&lt;0</formula>
    </cfRule>
  </conditionalFormatting>
  <conditionalFormatting sqref="H27:H32">
    <cfRule type="expression" dxfId="421" priority="15">
      <formula>H27&gt;0</formula>
    </cfRule>
    <cfRule type="expression" dxfId="420" priority="16">
      <formula>H27&lt;0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5" priority="25">
      <formula>F24&gt;0</formula>
    </cfRule>
    <cfRule type="expression" dxfId="414" priority="26">
      <formula>F24&lt;0</formula>
    </cfRule>
  </conditionalFormatting>
  <conditionalFormatting sqref="H21:H27">
    <cfRule type="expression" dxfId="413" priority="19">
      <formula>H21&gt;0</formula>
    </cfRule>
    <cfRule type="expression" dxfId="412" priority="20">
      <formula>H21&lt;0</formula>
    </cfRule>
  </conditionalFormatting>
  <conditionalFormatting sqref="F21:F23">
    <cfRule type="expression" dxfId="411" priority="5">
      <formula>F21&gt;0</formula>
    </cfRule>
    <cfRule type="expression" dxfId="410" priority="6">
      <formula>F21&lt;0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5" priority="11">
      <formula>F21&gt;0</formula>
    </cfRule>
    <cfRule type="expression" dxfId="404" priority="12">
      <formula>F21&lt;0</formula>
    </cfRule>
  </conditionalFormatting>
  <conditionalFormatting sqref="H21:H23">
    <cfRule type="expression" dxfId="403" priority="9">
      <formula>H21&gt;0</formula>
    </cfRule>
    <cfRule type="expression" dxfId="402" priority="10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7" priority="15">
      <formula>F29&gt;0</formula>
    </cfRule>
    <cfRule type="expression" dxfId="396" priority="16">
      <formula>F29&lt;0</formula>
    </cfRule>
  </conditionalFormatting>
  <conditionalFormatting sqref="F34:F62">
    <cfRule type="expression" dxfId="395" priority="11">
      <formula>F34&gt;0</formula>
    </cfRule>
    <cfRule type="expression" dxfId="394" priority="12">
      <formula>F34&lt;0</formula>
    </cfRule>
  </conditionalFormatting>
  <conditionalFormatting sqref="F34:F62">
    <cfRule type="expression" dxfId="393" priority="13">
      <formula>F34&gt;0</formula>
    </cfRule>
    <cfRule type="expression" dxfId="392" priority="14">
      <formula>F34&lt;0</formula>
    </cfRule>
  </conditionalFormatting>
  <conditionalFormatting sqref="H29:H62">
    <cfRule type="expression" dxfId="391" priority="9">
      <formula>H29&gt;0</formula>
    </cfRule>
    <cfRule type="expression" dxfId="390" priority="10">
      <formula>H29&lt;0</formula>
    </cfRule>
  </conditionalFormatting>
  <conditionalFormatting sqref="F25:F28">
    <cfRule type="expression" dxfId="389" priority="7">
      <formula>F25&gt;0</formula>
    </cfRule>
    <cfRule type="expression" dxfId="388" priority="8">
      <formula>F25&lt;0</formula>
    </cfRule>
  </conditionalFormatting>
  <conditionalFormatting sqref="H25:H28">
    <cfRule type="expression" dxfId="387" priority="5">
      <formula>H25&gt;0</formula>
    </cfRule>
    <cfRule type="expression" dxfId="386" priority="6">
      <formula>H25&lt;0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52.88</v>
      </c>
      <c r="R4" s="422">
        <v>-4.3E-3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5288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2503.41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1446.6700000000019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0.37660653992237125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3.6006051437216337E-2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10.791836734693877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1" t="s">
        <v>78</v>
      </c>
      <c r="P26" s="771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58.168000000000006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57.63920000000001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57.110400000000006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56.581600000000009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56.052800000000005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55.524000000000008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54.995200000000004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54.466400000000007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1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53.937600000000003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53.408800000000006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1">
        <f>F37+$Q$10</f>
        <v>2062.5649999999978</v>
      </c>
      <c r="K37" s="39">
        <v>11.21</v>
      </c>
      <c r="L37" s="39"/>
      <c r="O37" s="81">
        <v>1</v>
      </c>
      <c r="P37" s="81">
        <f t="shared" si="5"/>
        <v>52.88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1293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52.351199999999999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1">
        <v>2615.41</v>
      </c>
      <c r="K39" s="39">
        <v>11.7</v>
      </c>
      <c r="L39" s="39"/>
      <c r="O39" s="81">
        <v>0.98</v>
      </c>
      <c r="P39" s="81">
        <f t="shared" si="5"/>
        <v>51.822400000000002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1">
        <v>2761.41</v>
      </c>
      <c r="K40" s="39">
        <v>11.32</v>
      </c>
      <c r="L40" s="39"/>
      <c r="O40" s="81">
        <v>0.97</v>
      </c>
      <c r="P40" s="81">
        <f t="shared" si="5"/>
        <v>51.293599999999998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50.764800000000001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50.235999999999997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49.7072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49.178400000000003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48.649600000000007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48.120800000000003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47.592000000000006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1" priority="87">
      <formula>F29&gt;0</formula>
    </cfRule>
    <cfRule type="expression" dxfId="380" priority="88">
      <formula>F29&lt;0</formula>
    </cfRule>
  </conditionalFormatting>
  <conditionalFormatting sqref="F57:F64 F66">
    <cfRule type="expression" dxfId="379" priority="83">
      <formula>F57&gt;0</formula>
    </cfRule>
    <cfRule type="expression" dxfId="378" priority="84">
      <formula>F57&lt;0</formula>
    </cfRule>
  </conditionalFormatting>
  <conditionalFormatting sqref="F57:F64 F66">
    <cfRule type="expression" dxfId="377" priority="85">
      <formula>F57&gt;0</formula>
    </cfRule>
    <cfRule type="expression" dxfId="376" priority="86">
      <formula>F57&lt;0</formula>
    </cfRule>
  </conditionalFormatting>
  <conditionalFormatting sqref="H57:H64 H66">
    <cfRule type="expression" dxfId="375" priority="81">
      <formula>H57&gt;0</formula>
    </cfRule>
    <cfRule type="expression" dxfId="374" priority="82">
      <formula>H57&lt;0</formula>
    </cfRule>
  </conditionalFormatting>
  <conditionalFormatting sqref="Q7">
    <cfRule type="expression" dxfId="373" priority="63">
      <formula>Q7&gt;0</formula>
    </cfRule>
    <cfRule type="expression" dxfId="372" priority="64">
      <formula>Q7&lt;0</formula>
    </cfRule>
  </conditionalFormatting>
  <conditionalFormatting sqref="Q8">
    <cfRule type="expression" dxfId="371" priority="61">
      <formula>Q8&gt;0</formula>
    </cfRule>
    <cfRule type="expression" dxfId="370" priority="62">
      <formula>Q8&lt;0</formula>
    </cfRule>
  </conditionalFormatting>
  <conditionalFormatting sqref="F93:F97 H93:H97 H99:H124 F99:F124">
    <cfRule type="expression" dxfId="369" priority="33">
      <formula>F93&gt;0</formula>
    </cfRule>
    <cfRule type="expression" dxfId="368" priority="34">
      <formula>F93&lt;0</formula>
    </cfRule>
  </conditionalFormatting>
  <conditionalFormatting sqref="F125:F132 F134">
    <cfRule type="expression" dxfId="367" priority="31">
      <formula>F125&gt;0</formula>
    </cfRule>
    <cfRule type="expression" dxfId="366" priority="32">
      <formula>F125&lt;0</formula>
    </cfRule>
  </conditionalFormatting>
  <conditionalFormatting sqref="M67">
    <cfRule type="expression" dxfId="365" priority="43">
      <formula>M67&gt;0</formula>
    </cfRule>
    <cfRule type="expression" dxfId="364" priority="44">
      <formula>M67&lt;0</formula>
    </cfRule>
  </conditionalFormatting>
  <conditionalFormatting sqref="F65">
    <cfRule type="expression" dxfId="363" priority="39">
      <formula>F65&gt;0</formula>
    </cfRule>
    <cfRule type="expression" dxfId="362" priority="40">
      <formula>F65&lt;0</formula>
    </cfRule>
  </conditionalFormatting>
  <conditionalFormatting sqref="F65">
    <cfRule type="expression" dxfId="361" priority="41">
      <formula>F65&gt;0</formula>
    </cfRule>
    <cfRule type="expression" dxfId="360" priority="42">
      <formula>F65&lt;0</formula>
    </cfRule>
  </conditionalFormatting>
  <conditionalFormatting sqref="H65">
    <cfRule type="expression" dxfId="359" priority="37">
      <formula>H65&gt;0</formula>
    </cfRule>
    <cfRule type="expression" dxfId="358" priority="38">
      <formula>H65&lt;0</formula>
    </cfRule>
  </conditionalFormatting>
  <conditionalFormatting sqref="F125:F132 F134">
    <cfRule type="expression" dxfId="357" priority="29">
      <formula>F125&gt;0</formula>
    </cfRule>
    <cfRule type="expression" dxfId="356" priority="30">
      <formula>F125&lt;0</formula>
    </cfRule>
  </conditionalFormatting>
  <conditionalFormatting sqref="H125:H132 H134">
    <cfRule type="expression" dxfId="355" priority="27">
      <formula>H125&gt;0</formula>
    </cfRule>
    <cfRule type="expression" dxfId="354" priority="28">
      <formula>H125&lt;0</formula>
    </cfRule>
  </conditionalFormatting>
  <conditionalFormatting sqref="F92">
    <cfRule type="expression" dxfId="353" priority="25">
      <formula>F92&gt;0</formula>
    </cfRule>
    <cfRule type="expression" dxfId="352" priority="26">
      <formula>F92&lt;0</formula>
    </cfRule>
  </conditionalFormatting>
  <conditionalFormatting sqref="H92">
    <cfRule type="expression" dxfId="351" priority="23">
      <formula>H92&gt;0</formula>
    </cfRule>
    <cfRule type="expression" dxfId="350" priority="24">
      <formula>H92&lt;0</formula>
    </cfRule>
  </conditionalFormatting>
  <conditionalFormatting sqref="F133">
    <cfRule type="expression" dxfId="349" priority="19">
      <formula>F133&gt;0</formula>
    </cfRule>
    <cfRule type="expression" dxfId="348" priority="20">
      <formula>F133&lt;0</formula>
    </cfRule>
  </conditionalFormatting>
  <conditionalFormatting sqref="F133">
    <cfRule type="expression" dxfId="347" priority="21">
      <formula>F133&gt;0</formula>
    </cfRule>
    <cfRule type="expression" dxfId="346" priority="22">
      <formula>F133&lt;0</formula>
    </cfRule>
  </conditionalFormatting>
  <conditionalFormatting sqref="H133">
    <cfRule type="expression" dxfId="345" priority="17">
      <formula>H133&gt;0</formula>
    </cfRule>
    <cfRule type="expression" dxfId="344" priority="18">
      <formula>H133&lt;0</formula>
    </cfRule>
  </conditionalFormatting>
  <conditionalFormatting sqref="F98 H98">
    <cfRule type="expression" dxfId="343" priority="15">
      <formula>F98&gt;0</formula>
    </cfRule>
    <cfRule type="expression" dxfId="342" priority="16">
      <formula>F98&lt;0</formula>
    </cfRule>
  </conditionalFormatting>
  <conditionalFormatting sqref="J25:J66">
    <cfRule type="expression" dxfId="341" priority="13">
      <formula>J25&gt;0</formula>
    </cfRule>
    <cfRule type="expression" dxfId="340" priority="14">
      <formula>J25&lt;0</formula>
    </cfRule>
  </conditionalFormatting>
  <conditionalFormatting sqref="K40:K66">
    <cfRule type="expression" dxfId="339" priority="11">
      <formula>K40&gt;0</formula>
    </cfRule>
    <cfRule type="expression" dxfId="338" priority="12">
      <formula>K40&lt;0</formula>
    </cfRule>
  </conditionalFormatting>
  <conditionalFormatting sqref="L25">
    <cfRule type="expression" dxfId="337" priority="9">
      <formula>L25&gt;0</formula>
    </cfRule>
    <cfRule type="expression" dxfId="336" priority="10">
      <formula>L25&lt;0</formula>
    </cfRule>
  </conditionalFormatting>
  <conditionalFormatting sqref="F25:F28">
    <cfRule type="expression" dxfId="335" priority="7">
      <formula>F25&gt;0</formula>
    </cfRule>
    <cfRule type="expression" dxfId="334" priority="8">
      <formula>F25&lt;0</formula>
    </cfRule>
  </conditionalFormatting>
  <conditionalFormatting sqref="H25:H28">
    <cfRule type="expression" dxfId="333" priority="5">
      <formula>H25&gt;0</formula>
    </cfRule>
    <cfRule type="expression" dxfId="33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3392.6099999999965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2194.1399999999994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156">
        <v>43298</v>
      </c>
      <c r="U23" t="s">
        <v>1177</v>
      </c>
    </row>
    <row r="24" spans="1:21" x14ac:dyDescent="0.25">
      <c r="T24" s="67"/>
    </row>
    <row r="25" spans="1:21" x14ac:dyDescent="0.25">
      <c r="T25" s="156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96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95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1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1">
        <v>3392.61</v>
      </c>
      <c r="O55" s="81">
        <v>0.98</v>
      </c>
      <c r="P55" s="81">
        <f t="shared" si="5"/>
        <v>54.8506</v>
      </c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31" priority="63">
      <formula>F45&gt;0</formula>
    </cfRule>
    <cfRule type="expression" dxfId="330" priority="64">
      <formula>F45&lt;0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9" priority="65">
      <formula>F44&gt;0</formula>
    </cfRule>
    <cfRule type="expression" dxfId="328" priority="66">
      <formula>F44&lt;0</formula>
    </cfRule>
  </conditionalFormatting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H61:H91 H93:H102 H43:H59">
    <cfRule type="expression" dxfId="325" priority="59">
      <formula>H43&gt;0</formula>
    </cfRule>
    <cfRule type="expression" dxfId="324" priority="60">
      <formula>H43&lt;0</formula>
    </cfRule>
  </conditionalFormatting>
  <conditionalFormatting sqref="F36:F43">
    <cfRule type="expression" dxfId="323" priority="57">
      <formula>F36&gt;0</formula>
    </cfRule>
    <cfRule type="expression" dxfId="322" priority="58">
      <formula>F36&lt;0</formula>
    </cfRule>
  </conditionalFormatting>
  <conditionalFormatting sqref="H36:H42">
    <cfRule type="expression" dxfId="321" priority="55">
      <formula>H36&gt;0</formula>
    </cfRule>
    <cfRule type="expression" dxfId="320" priority="56">
      <formula>H36&lt;0</formula>
    </cfRule>
  </conditionalFormatting>
  <conditionalFormatting sqref="Q7">
    <cfRule type="expression" dxfId="319" priority="49">
      <formula>Q7&gt;0</formula>
    </cfRule>
    <cfRule type="expression" dxfId="318" priority="50">
      <formula>Q7&lt;0</formula>
    </cfRule>
  </conditionalFormatting>
  <conditionalFormatting sqref="Q8">
    <cfRule type="expression" dxfId="317" priority="47">
      <formula>Q8&gt;0</formula>
    </cfRule>
    <cfRule type="expression" dxfId="316" priority="48">
      <formula>Q8&lt;0</formula>
    </cfRule>
  </conditionalFormatting>
  <conditionalFormatting sqref="Q10">
    <cfRule type="expression" dxfId="315" priority="45">
      <formula>Q10&gt;0</formula>
    </cfRule>
    <cfRule type="expression" dxfId="314" priority="46">
      <formula>Q10&lt;0</formula>
    </cfRule>
  </conditionalFormatting>
  <conditionalFormatting sqref="F60">
    <cfRule type="expression" dxfId="313" priority="43">
      <formula>F60&gt;0</formula>
    </cfRule>
    <cfRule type="expression" dxfId="312" priority="44">
      <formula>F60&lt;0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H60">
    <cfRule type="expression" dxfId="309" priority="39">
      <formula>H60&gt;0</formula>
    </cfRule>
    <cfRule type="expression" dxfId="308" priority="40">
      <formula>H60&lt;0</formula>
    </cfRule>
  </conditionalFormatting>
  <conditionalFormatting sqref="F92">
    <cfRule type="expression" dxfId="307" priority="37">
      <formula>F92&gt;0</formula>
    </cfRule>
    <cfRule type="expression" dxfId="306" priority="38">
      <formula>F92&lt;0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H92">
    <cfRule type="expression" dxfId="303" priority="33">
      <formula>H92&gt;0</formula>
    </cfRule>
    <cfRule type="expression" dxfId="302" priority="34">
      <formula>H92&lt;0</formula>
    </cfRule>
  </conditionalFormatting>
  <conditionalFormatting sqref="F169:F183 F185:F215 F217:F226">
    <cfRule type="expression" dxfId="301" priority="29">
      <formula>F169&gt;0</formula>
    </cfRule>
    <cfRule type="expression" dxfId="300" priority="30">
      <formula>F169&lt;0</formula>
    </cfRule>
  </conditionalFormatting>
  <conditionalFormatting sqref="F164:F168">
    <cfRule type="expression" dxfId="299" priority="31">
      <formula>F164&gt;0</formula>
    </cfRule>
    <cfRule type="expression" dxfId="298" priority="32">
      <formula>F164&lt;0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H164:H183 H185:H215 H217:H226">
    <cfRule type="expression" dxfId="295" priority="25">
      <formula>H164&gt;0</formula>
    </cfRule>
    <cfRule type="expression" dxfId="294" priority="26">
      <formula>H164&lt;0</formula>
    </cfRule>
  </conditionalFormatting>
  <conditionalFormatting sqref="F160:F163">
    <cfRule type="expression" dxfId="293" priority="23">
      <formula>F160&gt;0</formula>
    </cfRule>
    <cfRule type="expression" dxfId="292" priority="24">
      <formula>F160&lt;0</formula>
    </cfRule>
  </conditionalFormatting>
  <conditionalFormatting sqref="H160:H163">
    <cfRule type="expression" dxfId="291" priority="21">
      <formula>H160&gt;0</formula>
    </cfRule>
    <cfRule type="expression" dxfId="290" priority="22">
      <formula>H160&lt;0</formula>
    </cfRule>
  </conditionalFormatting>
  <conditionalFormatting sqref="F184">
    <cfRule type="expression" dxfId="289" priority="19">
      <formula>F184&gt;0</formula>
    </cfRule>
    <cfRule type="expression" dxfId="288" priority="20">
      <formula>F184&lt;0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H184">
    <cfRule type="expression" dxfId="285" priority="15">
      <formula>H184&gt;0</formula>
    </cfRule>
    <cfRule type="expression" dxfId="284" priority="16">
      <formula>H184&lt;0</formula>
    </cfRule>
  </conditionalFormatting>
  <conditionalFormatting sqref="F216">
    <cfRule type="expression" dxfId="283" priority="13">
      <formula>F216&gt;0</formula>
    </cfRule>
    <cfRule type="expression" dxfId="282" priority="14">
      <formula>F216&lt;0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H216">
    <cfRule type="expression" dxfId="279" priority="9">
      <formula>H216&gt;0</formula>
    </cfRule>
    <cfRule type="expression" dxfId="278" priority="10">
      <formula>H216&lt;0</formula>
    </cfRule>
  </conditionalFormatting>
  <conditionalFormatting sqref="J38:J39">
    <cfRule type="expression" dxfId="277" priority="7">
      <formula>J38&gt;0</formula>
    </cfRule>
    <cfRule type="expression" dxfId="276" priority="8">
      <formula>J38&lt;0</formula>
    </cfRule>
  </conditionalFormatting>
  <conditionalFormatting sqref="J41:J54">
    <cfRule type="expression" dxfId="275" priority="5">
      <formula>J41&gt;0</formula>
    </cfRule>
    <cfRule type="expression" dxfId="274" priority="6">
      <formula>J41&lt;0</formula>
    </cfRule>
  </conditionalFormatting>
  <conditionalFormatting sqref="J55">
    <cfRule type="expression" dxfId="273" priority="1">
      <formula>J55&gt;0</formula>
    </cfRule>
    <cfRule type="expression" dxfId="272" priority="2">
      <formula>J55&lt;0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1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13.606450000000022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21.94</v>
      </c>
      <c r="R4" s="424">
        <v>-4.4999999999999997E-3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4388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2721.2900000000045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1951.6800000000003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1666.7099999999955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0.61247055624354363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8.9551020408163264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1400</v>
      </c>
      <c r="D17" s="18"/>
      <c r="E17" s="18"/>
      <c r="F17" s="18">
        <f>SUM(F2:F16)</f>
        <v>28533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24.134000000000004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23.914600000000004</v>
      </c>
      <c r="U18" t="s">
        <v>1054</v>
      </c>
    </row>
    <row r="19" spans="1:21" x14ac:dyDescent="0.25">
      <c r="O19" s="81">
        <v>1.08</v>
      </c>
      <c r="P19" s="81">
        <f t="shared" si="2"/>
        <v>23.695200000000003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23.475800000000003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23.256400000000003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23.037000000000003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22.817600000000002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22.598200000000002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22.378800000000002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22.159400000000002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21.94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21.720600000000001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21.501200000000001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21.2818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21.0624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20.843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20.6236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20.404200000000003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20.184800000000003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19.965400000000002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19.746000000000002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0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0" si="11">C41*(E41-D41)</f>
        <v>900</v>
      </c>
      <c r="G41" s="39">
        <f t="shared" ref="G41:G50" si="12">D41*C41</f>
        <v>3450</v>
      </c>
      <c r="H41" s="180">
        <f t="shared" ref="H41:H50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5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6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6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6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6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6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5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180"/>
      <c r="I51" s="180"/>
      <c r="J51" s="180"/>
      <c r="K51" s="180"/>
      <c r="L51" s="180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180"/>
      <c r="I52" s="180"/>
      <c r="J52" s="180"/>
      <c r="K52" s="180"/>
      <c r="L52" s="180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38 L51:L55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46.585850000000001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43.369900000000001</v>
      </c>
      <c r="R4" s="405">
        <v>1.4E-3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8673.98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-593.23999999999887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-643.18999999999869</v>
      </c>
      <c r="U8" s="772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-6.9032764240643751E-2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M95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4.5192633600723078E-2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1281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14.360894039735099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47.706890000000008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47.273191000000004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46.839492000000007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46.405793000000003</v>
      </c>
    </row>
    <row r="22" spans="1:16" x14ac:dyDescent="0.25">
      <c r="C22" s="4"/>
      <c r="D22" s="3"/>
      <c r="E22" s="3"/>
      <c r="F22" s="3"/>
      <c r="H22" s="70"/>
      <c r="O22" s="81">
        <v>1.06</v>
      </c>
      <c r="P22" s="81">
        <f t="shared" si="3"/>
        <v>45.972094000000006</v>
      </c>
    </row>
    <row r="23" spans="1:16" x14ac:dyDescent="0.25">
      <c r="H23" s="70"/>
      <c r="O23" s="81">
        <v>1.05</v>
      </c>
      <c r="P23" s="81">
        <f t="shared" si="3"/>
        <v>45.538395000000001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45.104696000000004</v>
      </c>
    </row>
    <row r="25" spans="1:16" x14ac:dyDescent="0.25">
      <c r="H25" s="70"/>
      <c r="O25" s="81">
        <v>1.03</v>
      </c>
      <c r="P25" s="81">
        <f t="shared" si="3"/>
        <v>44.670997</v>
      </c>
    </row>
    <row r="26" spans="1:16" x14ac:dyDescent="0.25">
      <c r="H26" s="70"/>
      <c r="O26" s="81">
        <v>1.02</v>
      </c>
      <c r="P26" s="81">
        <f t="shared" si="3"/>
        <v>44.237298000000003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43.803598999999998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43.369900000000001</v>
      </c>
    </row>
    <row r="29" spans="1:16" x14ac:dyDescent="0.25">
      <c r="O29" s="81">
        <v>0.99</v>
      </c>
      <c r="P29" s="81">
        <f t="shared" si="3"/>
        <v>42.936201000000004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42.502502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42.068803000000003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41.635103999999998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41.201405000000001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40.767705999999997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40.334007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39.900308000000003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39.466609000000005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39.032910000000001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" si="25">C90*(E90-D90)</f>
        <v>-221.18000000000109</v>
      </c>
      <c r="G90" s="39">
        <f t="shared" ref="G90" si="26">D90*C90</f>
        <v>9317.18</v>
      </c>
      <c r="H90" s="179">
        <f t="shared" ref="H90" si="27">(E90-D90)/D90</f>
        <v>-2.3738942469717347E-2</v>
      </c>
      <c r="I90" s="39"/>
      <c r="J90" s="39">
        <f t="shared" ref="J90" si="28">F90+$Q$10</f>
        <v>-171.23000000000127</v>
      </c>
      <c r="K90" s="39"/>
      <c r="L90" s="39">
        <v>15.68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5" spans="1:13" x14ac:dyDescent="0.25">
      <c r="L95" t="s">
        <v>203</v>
      </c>
      <c r="M95" s="2">
        <f>M104+K104-F104</f>
        <v>49.949999999999818</v>
      </c>
    </row>
    <row r="96" spans="1:13" x14ac:dyDescent="0.25">
      <c r="A96" s="304" t="s">
        <v>1</v>
      </c>
      <c r="B96" s="304" t="s">
        <v>2</v>
      </c>
      <c r="C96" s="304" t="s">
        <v>4</v>
      </c>
      <c r="D96" s="306" t="s">
        <v>5</v>
      </c>
      <c r="E96" s="306" t="s">
        <v>94</v>
      </c>
      <c r="F96" s="306" t="s">
        <v>60</v>
      </c>
      <c r="G96" s="304" t="s">
        <v>3</v>
      </c>
      <c r="H96" s="304" t="s">
        <v>6</v>
      </c>
      <c r="I96" s="304" t="s">
        <v>7</v>
      </c>
      <c r="J96" s="304" t="s">
        <v>95</v>
      </c>
      <c r="K96" s="304" t="s">
        <v>61</v>
      </c>
      <c r="L96" s="304" t="s">
        <v>77</v>
      </c>
      <c r="M96" s="304" t="s">
        <v>38</v>
      </c>
    </row>
    <row r="97" spans="1:13" x14ac:dyDescent="0.25">
      <c r="A97" s="307" t="s">
        <v>170</v>
      </c>
      <c r="B97" s="309">
        <v>42376</v>
      </c>
      <c r="C97" s="298">
        <v>50</v>
      </c>
      <c r="D97" s="299">
        <v>55.15</v>
      </c>
      <c r="E97" s="299">
        <v>0</v>
      </c>
      <c r="F97" s="299">
        <f>C97*D97+E97</f>
        <v>2757.5</v>
      </c>
      <c r="G97" s="297">
        <v>42409</v>
      </c>
      <c r="H97" s="302">
        <v>50</v>
      </c>
      <c r="I97" s="299">
        <v>56.15</v>
      </c>
      <c r="J97" s="299">
        <v>0.05</v>
      </c>
      <c r="K97" s="298">
        <f>H97*I97-J97</f>
        <v>2807.45</v>
      </c>
      <c r="L97" s="297"/>
      <c r="M97" s="299"/>
    </row>
    <row r="98" spans="1:13" x14ac:dyDescent="0.25">
      <c r="A98" s="308" t="s">
        <v>71</v>
      </c>
      <c r="B98" s="309"/>
      <c r="C98" s="298"/>
      <c r="D98" s="299"/>
      <c r="E98" s="299"/>
      <c r="F98" s="299"/>
      <c r="G98" s="297"/>
      <c r="H98" s="298"/>
      <c r="I98" s="298"/>
      <c r="J98" s="298"/>
      <c r="K98" s="298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8"/>
      <c r="H99" s="298"/>
      <c r="I99" s="298"/>
      <c r="J99" s="298"/>
      <c r="K99" s="298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8"/>
      <c r="H100" s="298"/>
      <c r="I100" s="298"/>
      <c r="J100" s="298"/>
      <c r="K100" s="298"/>
      <c r="L100" s="298"/>
      <c r="M100" s="298"/>
    </row>
    <row r="101" spans="1:13" x14ac:dyDescent="0.25">
      <c r="A101" s="298"/>
      <c r="B101" s="298"/>
      <c r="C101" s="298"/>
      <c r="D101" s="299"/>
      <c r="E101" s="299"/>
      <c r="F101" s="299"/>
      <c r="G101" s="298"/>
      <c r="H101" s="298"/>
      <c r="I101" s="298"/>
      <c r="J101" s="298"/>
      <c r="K101" s="298"/>
      <c r="L101" s="298"/>
      <c r="M101" s="298"/>
    </row>
    <row r="102" spans="1:13" x14ac:dyDescent="0.25">
      <c r="A102" s="298"/>
      <c r="B102" s="298"/>
      <c r="C102" s="298"/>
      <c r="D102" s="299"/>
      <c r="E102" s="299"/>
      <c r="F102" s="299"/>
      <c r="G102" s="298"/>
      <c r="H102" s="298"/>
      <c r="I102" s="298"/>
      <c r="J102" s="298"/>
      <c r="K102" s="298"/>
      <c r="L102" s="298"/>
      <c r="M102" s="298"/>
    </row>
    <row r="103" spans="1:13" x14ac:dyDescent="0.25">
      <c r="A103" s="298"/>
      <c r="B103" s="298"/>
      <c r="C103" s="298"/>
      <c r="D103" s="299"/>
      <c r="E103" s="299"/>
      <c r="F103" s="299"/>
      <c r="G103" s="298"/>
      <c r="H103" s="298"/>
      <c r="I103" s="298"/>
      <c r="J103" s="298"/>
      <c r="K103" s="298"/>
      <c r="L103" s="298"/>
      <c r="M103" s="298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298"/>
      <c r="B105" s="298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:J90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0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0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9" t="s">
        <v>78</v>
      </c>
      <c r="P45" s="879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100</vt:i4>
      </vt:variant>
      <vt:variant>
        <vt:lpstr>Named Ranges</vt:lpstr>
      </vt:variant>
      <vt:variant>
        <vt:i4>70</vt:i4>
      </vt:variant>
    </vt:vector>
  </HeadingPairs>
  <TitlesOfParts>
    <vt:vector size="170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2018-11-26T03:52:02Z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