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0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14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6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drawings/drawing18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9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omments2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0.xml" ContentType="application/vnd.openxmlformats-officedocument.drawing+xml"/>
  <Override PartName="/xl/queryTables/queryTable34.xml" ContentType="application/vnd.openxmlformats-officedocument.spreadsheetml.queryTab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3.xml" ContentType="application/vnd.openxmlformats-officedocument.spreadsheetml.comments+xml"/>
  <Override PartName="/xl/queryTables/queryTable43.xml" ContentType="application/vnd.openxmlformats-officedocument.spreadsheetml.queryTable+xml"/>
  <Override PartName="/xl/tables/table1.xml" ContentType="application/vnd.openxmlformats-officedocument.spreadsheetml.table+xml"/>
  <Override PartName="/xl/queryTables/queryTable44.xml" ContentType="application/vnd.openxmlformats-officedocument.spreadsheetml.queryTable+xml"/>
  <Override PartName="/xl/drawings/drawing25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4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35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36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drawings/drawing37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r:id="rId18"/>
    <sheet name="CVS" sheetId="69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XLP" sheetId="104" state="hidden" r:id="rId24"/>
    <sheet name="KR" sheetId="51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r:id="rId33"/>
    <sheet name="T" sheetId="93" state="hidden" r:id="rId34"/>
    <sheet name="COST" sheetId="78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state="hidden" r:id="rId40"/>
    <sheet name="AZO" sheetId="83" state="hidden" r:id="rId41"/>
    <sheet name="FL" sheetId="98" state="hidden" r:id="rId42"/>
    <sheet name="MLM" sheetId="97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r:id="rId62"/>
    <sheet name="SWKS" sheetId="41" state="hidden" r:id="rId63"/>
    <sheet name="CNI" sheetId="42" state="hidden" r:id="rId64"/>
    <sheet name="WFC" sheetId="45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state="hidden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1" i="95" l="1"/>
  <c r="H31" i="95"/>
  <c r="G31" i="95"/>
  <c r="F225" i="25"/>
  <c r="G225" i="25"/>
  <c r="H225" i="25"/>
  <c r="K63" i="25"/>
  <c r="G62" i="46"/>
  <c r="F62" i="46"/>
  <c r="H62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V665" i="38"/>
  <c r="X665" i="38" l="1"/>
  <c r="O665" i="38"/>
  <c r="Z665" i="38"/>
  <c r="P665" i="38"/>
  <c r="Q665" i="38" s="1"/>
  <c r="W665" i="38"/>
  <c r="U665" i="38"/>
  <c r="F34" i="99"/>
  <c r="G34" i="99"/>
  <c r="H34" i="99"/>
  <c r="F36" i="92"/>
  <c r="H36" i="92"/>
  <c r="G36" i="92"/>
  <c r="Y665" i="38" l="1"/>
  <c r="K4" i="74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P663" i="38" s="1"/>
  <c r="M663" i="38"/>
  <c r="N663" i="38" s="1"/>
  <c r="S663" i="38"/>
  <c r="O663" i="38" l="1"/>
  <c r="Z663" i="38"/>
  <c r="F100" i="58"/>
  <c r="H100" i="58"/>
  <c r="G10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C18" i="86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84" i="82"/>
  <c r="H84" i="82"/>
  <c r="F74" i="82"/>
  <c r="F73" i="82"/>
  <c r="K72" i="82"/>
  <c r="F72" i="82"/>
  <c r="K71" i="82"/>
  <c r="F71" i="82"/>
  <c r="K70" i="82"/>
  <c r="F70" i="82"/>
  <c r="K69" i="82"/>
  <c r="F69" i="82"/>
  <c r="K68" i="82"/>
  <c r="F68" i="82"/>
  <c r="F61" i="46"/>
  <c r="G61" i="46"/>
  <c r="H61" i="46"/>
  <c r="F84" i="82" l="1"/>
  <c r="K84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50" i="82"/>
  <c r="G50" i="82"/>
  <c r="F50" i="82"/>
  <c r="F2" i="82"/>
  <c r="O658" i="38" l="1"/>
  <c r="Z658" i="38"/>
  <c r="P658" i="38"/>
  <c r="U658" i="38"/>
  <c r="F59" i="57"/>
  <c r="H59" i="57"/>
  <c r="G59" i="57"/>
  <c r="F224" i="25"/>
  <c r="G224" i="25"/>
  <c r="H224" i="25"/>
  <c r="G48" i="88"/>
  <c r="F48" i="88"/>
  <c r="H48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8" i="45"/>
  <c r="F60" i="46"/>
  <c r="H60" i="46"/>
  <c r="G60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5" i="68"/>
  <c r="F2" i="68"/>
  <c r="F62" i="77"/>
  <c r="G62" i="77"/>
  <c r="H62" i="77"/>
  <c r="P656" i="38" l="1"/>
  <c r="Z657" i="38"/>
  <c r="O656" i="38"/>
  <c r="Z656" i="38"/>
  <c r="U656" i="38"/>
  <c r="AG31" i="58"/>
  <c r="AF31" i="58"/>
  <c r="AD31" i="58"/>
  <c r="AC31" i="58"/>
  <c r="AA31" i="58"/>
  <c r="Z31" i="58"/>
  <c r="AG30" i="58"/>
  <c r="AF30" i="58"/>
  <c r="AD30" i="58"/>
  <c r="AC30" i="58"/>
  <c r="AA30" i="58"/>
  <c r="Z30" i="58"/>
  <c r="AG29" i="58"/>
  <c r="AF29" i="58"/>
  <c r="AD29" i="58"/>
  <c r="AC29" i="58"/>
  <c r="AA29" i="58"/>
  <c r="Z29" i="58"/>
  <c r="AG28" i="58"/>
  <c r="AF28" i="58"/>
  <c r="AD28" i="58"/>
  <c r="AC28" i="58"/>
  <c r="AA28" i="58"/>
  <c r="Z28" i="58"/>
  <c r="AG27" i="58"/>
  <c r="AF27" i="58"/>
  <c r="AD27" i="58"/>
  <c r="AC27" i="58"/>
  <c r="AA27" i="58"/>
  <c r="Z27" i="58"/>
  <c r="AG26" i="58"/>
  <c r="AF26" i="58"/>
  <c r="AD26" i="58"/>
  <c r="AC26" i="58"/>
  <c r="AA26" i="58"/>
  <c r="Z26" i="58"/>
  <c r="AG25" i="58"/>
  <c r="AF25" i="58"/>
  <c r="AD25" i="58"/>
  <c r="AC25" i="58"/>
  <c r="Z25" i="58"/>
  <c r="AG24" i="58"/>
  <c r="AF24" i="58"/>
  <c r="AD24" i="58"/>
  <c r="AC24" i="58"/>
  <c r="Z24" i="58"/>
  <c r="AG23" i="58"/>
  <c r="AF23" i="58"/>
  <c r="AD23" i="58"/>
  <c r="AC23" i="58"/>
  <c r="Z23" i="58"/>
  <c r="AG22" i="58"/>
  <c r="AF22" i="58"/>
  <c r="AD22" i="58"/>
  <c r="AC22" i="58"/>
  <c r="Z22" i="58"/>
  <c r="AG21" i="58"/>
  <c r="AF21" i="58"/>
  <c r="AD21" i="58"/>
  <c r="AC21" i="58"/>
  <c r="Z21" i="58"/>
  <c r="AG20" i="58"/>
  <c r="AF20" i="58"/>
  <c r="AD20" i="58"/>
  <c r="AC20" i="58"/>
  <c r="Z20" i="58"/>
  <c r="AG19" i="58"/>
  <c r="AF19" i="58"/>
  <c r="AC19" i="58"/>
  <c r="Z19" i="58"/>
  <c r="AG18" i="58"/>
  <c r="AF18" i="58"/>
  <c r="AC18" i="58"/>
  <c r="Z18" i="58"/>
  <c r="AG17" i="58"/>
  <c r="AF17" i="58"/>
  <c r="AC17" i="58"/>
  <c r="Z17" i="58"/>
  <c r="AG16" i="58"/>
  <c r="AF16" i="58"/>
  <c r="AC16" i="58"/>
  <c r="Z16" i="58"/>
  <c r="AG15" i="58"/>
  <c r="AF15" i="58"/>
  <c r="AC15" i="58"/>
  <c r="Z15" i="58"/>
  <c r="AG14" i="58"/>
  <c r="AF14" i="58"/>
  <c r="AC14" i="58"/>
  <c r="Z14" i="58"/>
  <c r="AG13" i="58"/>
  <c r="AF13" i="58"/>
  <c r="AC13" i="58"/>
  <c r="Z13" i="58"/>
  <c r="AG12" i="58"/>
  <c r="AF12" i="58"/>
  <c r="AC12" i="58"/>
  <c r="Z12" i="58"/>
  <c r="AG11" i="58"/>
  <c r="AF11" i="58"/>
  <c r="AC11" i="58"/>
  <c r="Z11" i="58"/>
  <c r="AG10" i="58"/>
  <c r="AF10" i="58"/>
  <c r="AC10" i="58"/>
  <c r="Z10" i="58"/>
  <c r="AG9" i="58"/>
  <c r="AF9" i="58"/>
  <c r="AC9" i="58"/>
  <c r="Z9" i="58"/>
  <c r="AG8" i="58"/>
  <c r="AF8" i="58"/>
  <c r="AC8" i="58"/>
  <c r="Z8" i="58"/>
  <c r="AG7" i="58"/>
  <c r="AF7" i="58"/>
  <c r="AC7" i="58"/>
  <c r="Z7" i="58"/>
  <c r="AG6" i="58"/>
  <c r="AF6" i="58"/>
  <c r="AC6" i="58"/>
  <c r="Z6" i="58"/>
  <c r="AG5" i="58"/>
  <c r="AF5" i="58"/>
  <c r="AC5" i="58"/>
  <c r="Z5" i="58"/>
  <c r="AG4" i="58"/>
  <c r="AF4" i="58"/>
  <c r="AC4" i="58"/>
  <c r="Z4" i="58"/>
  <c r="AG3" i="58"/>
  <c r="AF3" i="58"/>
  <c r="AC3" i="58"/>
  <c r="Z3" i="58"/>
  <c r="AI2" i="58"/>
  <c r="AG2" i="58"/>
  <c r="AF2" i="58"/>
  <c r="AC2" i="58"/>
  <c r="Z2" i="5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AB15" i="88" s="1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AE12" i="88" s="1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Z3" i="51"/>
  <c r="AC3" i="51"/>
  <c r="AF3" i="51"/>
  <c r="AG3" i="51"/>
  <c r="Z4" i="51"/>
  <c r="AC4" i="51"/>
  <c r="AF4" i="51"/>
  <c r="AG4" i="51"/>
  <c r="Z5" i="51"/>
  <c r="AC5" i="51"/>
  <c r="AF5" i="51"/>
  <c r="AG5" i="51"/>
  <c r="Z6" i="51"/>
  <c r="AC6" i="51"/>
  <c r="AF6" i="51"/>
  <c r="AG6" i="51"/>
  <c r="Z7" i="51"/>
  <c r="AC7" i="51"/>
  <c r="AF7" i="51"/>
  <c r="AG7" i="51"/>
  <c r="Z8" i="51"/>
  <c r="AC8" i="51"/>
  <c r="AF8" i="51"/>
  <c r="AG8" i="51"/>
  <c r="Z9" i="51"/>
  <c r="AC9" i="51"/>
  <c r="AF9" i="51"/>
  <c r="AG9" i="51"/>
  <c r="Z10" i="51"/>
  <c r="AC10" i="51"/>
  <c r="AF10" i="51"/>
  <c r="AG10" i="51"/>
  <c r="Z11" i="51"/>
  <c r="AC11" i="51"/>
  <c r="AF11" i="51"/>
  <c r="AG11" i="51"/>
  <c r="Z12" i="51"/>
  <c r="AC12" i="51"/>
  <c r="AF12" i="51"/>
  <c r="AG12" i="51"/>
  <c r="Z13" i="51"/>
  <c r="AC13" i="51"/>
  <c r="AF13" i="51"/>
  <c r="AG13" i="51"/>
  <c r="Z14" i="51"/>
  <c r="AC14" i="51"/>
  <c r="AF14" i="51"/>
  <c r="AG14" i="51"/>
  <c r="Z15" i="51"/>
  <c r="AC15" i="51"/>
  <c r="AF15" i="51"/>
  <c r="AG15" i="51"/>
  <c r="Z16" i="51"/>
  <c r="AC16" i="51"/>
  <c r="AF16" i="51"/>
  <c r="AG16" i="51"/>
  <c r="Z17" i="51"/>
  <c r="AC17" i="51"/>
  <c r="AF17" i="51"/>
  <c r="AG17" i="51"/>
  <c r="Z18" i="51"/>
  <c r="AC18" i="51"/>
  <c r="AF18" i="51"/>
  <c r="AG18" i="51"/>
  <c r="Z19" i="51"/>
  <c r="AC19" i="51"/>
  <c r="AF19" i="51"/>
  <c r="AG19" i="51"/>
  <c r="Z20" i="51"/>
  <c r="AC20" i="51"/>
  <c r="AF20" i="51"/>
  <c r="AG20" i="51"/>
  <c r="Z21" i="51"/>
  <c r="AC21" i="51"/>
  <c r="AF21" i="51"/>
  <c r="AG21" i="51"/>
  <c r="Z22" i="51"/>
  <c r="AC22" i="51"/>
  <c r="AF22" i="51"/>
  <c r="AG22" i="51"/>
  <c r="Z23" i="51"/>
  <c r="AC23" i="51"/>
  <c r="AF23" i="51"/>
  <c r="AG23" i="51"/>
  <c r="Z24" i="51"/>
  <c r="AC24" i="51"/>
  <c r="AF24" i="51"/>
  <c r="AG24" i="51"/>
  <c r="Z25" i="51"/>
  <c r="AC25" i="51"/>
  <c r="AF25" i="51"/>
  <c r="AG25" i="51"/>
  <c r="Z26" i="51"/>
  <c r="AC26" i="51"/>
  <c r="AF26" i="51"/>
  <c r="AG26" i="51"/>
  <c r="Z27" i="51"/>
  <c r="AC27" i="51"/>
  <c r="AF27" i="51"/>
  <c r="AG27" i="51"/>
  <c r="Z28" i="51"/>
  <c r="AC28" i="51"/>
  <c r="AD28" i="51"/>
  <c r="AF28" i="51"/>
  <c r="AG28" i="51"/>
  <c r="Z29" i="51"/>
  <c r="AC29" i="51"/>
  <c r="AD29" i="51"/>
  <c r="AF29" i="51"/>
  <c r="AG29" i="51"/>
  <c r="Z30" i="51"/>
  <c r="AC30" i="51"/>
  <c r="AD30" i="51"/>
  <c r="AF30" i="51"/>
  <c r="AG30" i="51"/>
  <c r="Z31" i="51"/>
  <c r="AC31" i="51"/>
  <c r="AD31" i="51"/>
  <c r="AF31" i="51"/>
  <c r="AG31" i="51"/>
  <c r="Z32" i="51"/>
  <c r="AC32" i="51"/>
  <c r="AD32" i="51"/>
  <c r="AF32" i="51"/>
  <c r="AG32" i="51"/>
  <c r="Z33" i="51"/>
  <c r="AC33" i="51"/>
  <c r="AD33" i="51"/>
  <c r="AF33" i="51"/>
  <c r="AG33" i="51"/>
  <c r="Z34" i="51"/>
  <c r="AC34" i="51"/>
  <c r="AD34" i="51"/>
  <c r="AF34" i="51"/>
  <c r="AG34" i="51"/>
  <c r="Z35" i="51"/>
  <c r="AC35" i="51"/>
  <c r="AD35" i="51"/>
  <c r="AF35" i="51"/>
  <c r="AG35" i="51"/>
  <c r="Z36" i="51"/>
  <c r="AC36" i="51"/>
  <c r="AD36" i="51"/>
  <c r="AF36" i="51"/>
  <c r="AG36" i="51"/>
  <c r="Z37" i="51"/>
  <c r="AC37" i="51"/>
  <c r="AD37" i="51"/>
  <c r="AF37" i="51"/>
  <c r="AG37" i="51"/>
  <c r="Z38" i="51"/>
  <c r="AC38" i="51"/>
  <c r="AD38" i="51"/>
  <c r="AF38" i="51"/>
  <c r="AG38" i="51"/>
  <c r="Z39" i="51"/>
  <c r="AC39" i="51"/>
  <c r="AE39" i="51" s="1"/>
  <c r="AD39" i="51"/>
  <c r="AF39" i="51"/>
  <c r="AG39" i="51"/>
  <c r="Z40" i="51"/>
  <c r="AC40" i="51"/>
  <c r="AD40" i="51"/>
  <c r="AF40" i="51"/>
  <c r="AG40" i="51"/>
  <c r="Z41" i="51"/>
  <c r="AC41" i="51"/>
  <c r="AD41" i="51"/>
  <c r="AF41" i="51"/>
  <c r="AG41" i="51"/>
  <c r="Z42" i="51"/>
  <c r="AC42" i="51"/>
  <c r="AD42" i="51"/>
  <c r="AF42" i="51"/>
  <c r="AG42" i="51"/>
  <c r="Z43" i="51"/>
  <c r="AA43" i="51"/>
  <c r="AC43" i="51"/>
  <c r="AD43" i="51"/>
  <c r="AF43" i="51"/>
  <c r="AG43" i="51"/>
  <c r="Z44" i="51"/>
  <c r="AA44" i="51"/>
  <c r="AC44" i="51"/>
  <c r="AD44" i="51"/>
  <c r="AF44" i="51"/>
  <c r="AG44" i="51"/>
  <c r="Z45" i="51"/>
  <c r="AA45" i="51"/>
  <c r="AC45" i="51"/>
  <c r="AD45" i="51"/>
  <c r="AF45" i="51"/>
  <c r="AG45" i="51"/>
  <c r="Z46" i="51"/>
  <c r="AA46" i="51"/>
  <c r="AC46" i="51"/>
  <c r="AD46" i="51"/>
  <c r="AF46" i="51"/>
  <c r="AG46" i="51"/>
  <c r="Z47" i="51"/>
  <c r="AA47" i="51"/>
  <c r="AC47" i="51"/>
  <c r="AD47" i="51"/>
  <c r="AF47" i="51"/>
  <c r="AG47" i="51"/>
  <c r="Z48" i="51"/>
  <c r="AA48" i="51"/>
  <c r="AC48" i="51"/>
  <c r="AD48" i="51"/>
  <c r="AF48" i="51"/>
  <c r="AG48" i="51"/>
  <c r="Z49" i="51"/>
  <c r="AA49" i="51"/>
  <c r="AC49" i="51"/>
  <c r="AD49" i="51"/>
  <c r="AF49" i="51"/>
  <c r="AG49" i="51"/>
  <c r="Z50" i="51"/>
  <c r="AA50" i="51"/>
  <c r="AC50" i="51"/>
  <c r="AD50" i="51"/>
  <c r="AF50" i="51"/>
  <c r="AG50" i="51"/>
  <c r="Z51" i="51"/>
  <c r="AA51" i="51"/>
  <c r="AC51" i="51"/>
  <c r="AD51" i="51"/>
  <c r="AF51" i="51"/>
  <c r="AG51" i="51"/>
  <c r="Z52" i="51"/>
  <c r="AA52" i="51"/>
  <c r="AC52" i="51"/>
  <c r="AD52" i="51"/>
  <c r="AF52" i="51"/>
  <c r="AG52" i="51"/>
  <c r="Z53" i="51"/>
  <c r="AA53" i="51"/>
  <c r="AC53" i="51"/>
  <c r="AD53" i="51"/>
  <c r="AF53" i="51"/>
  <c r="AG53" i="51"/>
  <c r="Z54" i="51"/>
  <c r="AA54" i="51"/>
  <c r="AC54" i="51"/>
  <c r="AD54" i="51"/>
  <c r="AF54" i="51"/>
  <c r="AG54" i="51"/>
  <c r="Z55" i="51"/>
  <c r="AA55" i="51"/>
  <c r="AC55" i="51"/>
  <c r="AD55" i="51"/>
  <c r="AF55" i="51"/>
  <c r="AG55" i="51"/>
  <c r="Z56" i="51"/>
  <c r="AA56" i="51"/>
  <c r="AC56" i="51"/>
  <c r="AD56" i="51"/>
  <c r="AF56" i="51"/>
  <c r="AG56" i="51"/>
  <c r="AI2" i="51"/>
  <c r="AG2" i="51"/>
  <c r="AF2" i="51"/>
  <c r="AC2" i="51"/>
  <c r="Z2" i="51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H17" i="86" s="1"/>
  <c r="AF2" i="86"/>
  <c r="AD4" i="86"/>
  <c r="AD5" i="86"/>
  <c r="AD6" i="86"/>
  <c r="AD7" i="86"/>
  <c r="AD8" i="86"/>
  <c r="AD9" i="86"/>
  <c r="AE9" i="86" s="1"/>
  <c r="AD10" i="86"/>
  <c r="AD11" i="86"/>
  <c r="AD12" i="86"/>
  <c r="AD13" i="86"/>
  <c r="AD14" i="86"/>
  <c r="AD15" i="86"/>
  <c r="AD16" i="86"/>
  <c r="AD17" i="86"/>
  <c r="AE17" i="86" s="1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B14" i="86" s="1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H49" i="51" l="1"/>
  <c r="AE48" i="51"/>
  <c r="AB43" i="51"/>
  <c r="AH28" i="51"/>
  <c r="AH8" i="51"/>
  <c r="AE50" i="51"/>
  <c r="AH40" i="51"/>
  <c r="AE34" i="51"/>
  <c r="AH56" i="51"/>
  <c r="AH48" i="51"/>
  <c r="AH16" i="58"/>
  <c r="AH13" i="86"/>
  <c r="AE33" i="51"/>
  <c r="AE5" i="86"/>
  <c r="AH12" i="86"/>
  <c r="AE56" i="51"/>
  <c r="AB51" i="51"/>
  <c r="AH39" i="51"/>
  <c r="AH3" i="88"/>
  <c r="AH6" i="88"/>
  <c r="AH10" i="88"/>
  <c r="AB56" i="51"/>
  <c r="AH2" i="88"/>
  <c r="AH7" i="51"/>
  <c r="AH8" i="88"/>
  <c r="AE11" i="88"/>
  <c r="AH9" i="86"/>
  <c r="AB10" i="86"/>
  <c r="AE13" i="86"/>
  <c r="AH5" i="86"/>
  <c r="AE32" i="51"/>
  <c r="AH4" i="88"/>
  <c r="AE10" i="88"/>
  <c r="AH12" i="88"/>
  <c r="AH18" i="58"/>
  <c r="AH23" i="58"/>
  <c r="AE25" i="58"/>
  <c r="AH4" i="86"/>
  <c r="AH11" i="88"/>
  <c r="AE12" i="86"/>
  <c r="AE4" i="86"/>
  <c r="AH55" i="51"/>
  <c r="AE49" i="51"/>
  <c r="AH46" i="51"/>
  <c r="AE36" i="51"/>
  <c r="AH31" i="51"/>
  <c r="AH26" i="51"/>
  <c r="AH24" i="51"/>
  <c r="AH18" i="51"/>
  <c r="AH16" i="51"/>
  <c r="AH12" i="51"/>
  <c r="AH10" i="51"/>
  <c r="AB15" i="86"/>
  <c r="AB7" i="86"/>
  <c r="AE10" i="86"/>
  <c r="AB49" i="51"/>
  <c r="AH47" i="51"/>
  <c r="AB45" i="51"/>
  <c r="AH43" i="51"/>
  <c r="AH19" i="58"/>
  <c r="AE21" i="58"/>
  <c r="AB12" i="86"/>
  <c r="AE15" i="86"/>
  <c r="AE7" i="86"/>
  <c r="AH7" i="86"/>
  <c r="AE29" i="51"/>
  <c r="AH23" i="51"/>
  <c r="AH19" i="51"/>
  <c r="AH15" i="51"/>
  <c r="AH11" i="51"/>
  <c r="AH9" i="51"/>
  <c r="AB16" i="88"/>
  <c r="AH14" i="58"/>
  <c r="AH21" i="58"/>
  <c r="AH15" i="86"/>
  <c r="AH14" i="86"/>
  <c r="AH30" i="58"/>
  <c r="AB13" i="86"/>
  <c r="AE16" i="86"/>
  <c r="AE8" i="86"/>
  <c r="AB54" i="51"/>
  <c r="AH52" i="51"/>
  <c r="AE51" i="51"/>
  <c r="AE42" i="51"/>
  <c r="AH22" i="51"/>
  <c r="AH16" i="88"/>
  <c r="AH15" i="88"/>
  <c r="AH3" i="58"/>
  <c r="AH7" i="58"/>
  <c r="AH9" i="58"/>
  <c r="AH11" i="58"/>
  <c r="AH15" i="58"/>
  <c r="AE24" i="58"/>
  <c r="AH6" i="86"/>
  <c r="AE30" i="51"/>
  <c r="AH26" i="58"/>
  <c r="AB11" i="86"/>
  <c r="AE14" i="86"/>
  <c r="AE6" i="86"/>
  <c r="AH11" i="86"/>
  <c r="AH3" i="86"/>
  <c r="AE52" i="51"/>
  <c r="AB50" i="51"/>
  <c r="AE47" i="51"/>
  <c r="AH41" i="51"/>
  <c r="AE40" i="51"/>
  <c r="AH35" i="51"/>
  <c r="AH32" i="51"/>
  <c r="AH29" i="51"/>
  <c r="AH6" i="51"/>
  <c r="AH14" i="88"/>
  <c r="AE54" i="51"/>
  <c r="AH17" i="88"/>
  <c r="AE22" i="58"/>
  <c r="AH2" i="86"/>
  <c r="AH10" i="86"/>
  <c r="AH5" i="88"/>
  <c r="AB17" i="88"/>
  <c r="AE23" i="58"/>
  <c r="AH24" i="58"/>
  <c r="AB26" i="58"/>
  <c r="AH7" i="88"/>
  <c r="AE29" i="58"/>
  <c r="AB17" i="86"/>
  <c r="AB9" i="86"/>
  <c r="AE53" i="51"/>
  <c r="AB52" i="51"/>
  <c r="AB47" i="51"/>
  <c r="AH45" i="51"/>
  <c r="AE41" i="51"/>
  <c r="AH38" i="51"/>
  <c r="AH13" i="51"/>
  <c r="AH13" i="88"/>
  <c r="AB28" i="58"/>
  <c r="AB16" i="86"/>
  <c r="AB8" i="86"/>
  <c r="AE11" i="86"/>
  <c r="AH16" i="86"/>
  <c r="AH8" i="86"/>
  <c r="AH3" i="51"/>
  <c r="AH4" i="58"/>
  <c r="AH8" i="58"/>
  <c r="AE20" i="58"/>
  <c r="AH54" i="51"/>
  <c r="AH50" i="51"/>
  <c r="AB48" i="51"/>
  <c r="AE45" i="51"/>
  <c r="AB44" i="51"/>
  <c r="AH37" i="51"/>
  <c r="AH33" i="51"/>
  <c r="AH30" i="51"/>
  <c r="AH5" i="51"/>
  <c r="AH9" i="88"/>
  <c r="AB53" i="51"/>
  <c r="AH51" i="51"/>
  <c r="AH42" i="51"/>
  <c r="AE37" i="51"/>
  <c r="AH34" i="51"/>
  <c r="AH27" i="51"/>
  <c r="AH20" i="51"/>
  <c r="AE13" i="88"/>
  <c r="AE14" i="88"/>
  <c r="AE15" i="88"/>
  <c r="AE16" i="88"/>
  <c r="AE17" i="88"/>
  <c r="AH5" i="58"/>
  <c r="AH20" i="58"/>
  <c r="AH25" i="58"/>
  <c r="AE46" i="51"/>
  <c r="AH10" i="58"/>
  <c r="AB27" i="58"/>
  <c r="AE28" i="58"/>
  <c r="AH29" i="58"/>
  <c r="AB31" i="58"/>
  <c r="AH2" i="51"/>
  <c r="AE55" i="51"/>
  <c r="AB46" i="51"/>
  <c r="AH44" i="51"/>
  <c r="AE43" i="51"/>
  <c r="AE38" i="51"/>
  <c r="AE31" i="51"/>
  <c r="AH21" i="51"/>
  <c r="AH17" i="51"/>
  <c r="AH14" i="51"/>
  <c r="AH36" i="51"/>
  <c r="AE35" i="51"/>
  <c r="AE28" i="51"/>
  <c r="AH2" i="58"/>
  <c r="AH13" i="58"/>
  <c r="AH22" i="58"/>
  <c r="AE27" i="58"/>
  <c r="AH28" i="58"/>
  <c r="AB30" i="58"/>
  <c r="AE31" i="58"/>
  <c r="AB55" i="51"/>
  <c r="AH53" i="51"/>
  <c r="AE44" i="51"/>
  <c r="AH25" i="51"/>
  <c r="AH4" i="51"/>
  <c r="AE6" i="88"/>
  <c r="AE7" i="88"/>
  <c r="AE8" i="88"/>
  <c r="AE9" i="88"/>
  <c r="AH6" i="58"/>
  <c r="AH12" i="58"/>
  <c r="AH17" i="58"/>
  <c r="AE26" i="58"/>
  <c r="AH27" i="58"/>
  <c r="AB29" i="58"/>
  <c r="AE30" i="58"/>
  <c r="AH31" i="5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23" i="25"/>
  <c r="H223" i="25"/>
  <c r="G223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7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2" i="51"/>
  <c r="AA42" i="51" s="1"/>
  <c r="AB42" i="51" s="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47" i="88"/>
  <c r="H47" i="88"/>
  <c r="G47" i="88"/>
  <c r="F145" i="51"/>
  <c r="G145" i="51"/>
  <c r="H145" i="51"/>
  <c r="F59" i="84"/>
  <c r="H59" i="84"/>
  <c r="G59" i="84"/>
  <c r="F222" i="25"/>
  <c r="H222" i="25"/>
  <c r="G222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1" i="51"/>
  <c r="AA41" i="51" s="1"/>
  <c r="AB41" i="51" s="1"/>
  <c r="K27" i="51"/>
  <c r="AD27" i="51" s="1"/>
  <c r="AE27" i="51" s="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8" i="47"/>
  <c r="G38" i="47"/>
  <c r="H38" i="47"/>
  <c r="F37" i="101"/>
  <c r="H37" i="101"/>
  <c r="G37" i="101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D19" i="58" s="1"/>
  <c r="AE19" i="58" s="1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AA14" i="88" s="1"/>
  <c r="AB14" i="88" s="1"/>
  <c r="C32" i="58"/>
  <c r="F98" i="58"/>
  <c r="H98" i="58"/>
  <c r="G98" i="58"/>
  <c r="F25" i="58"/>
  <c r="AA25" i="58" s="1"/>
  <c r="AB25" i="58" s="1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BG14" i="58"/>
  <c r="BH14" i="58"/>
  <c r="BI14" i="58"/>
  <c r="BG35" i="58"/>
  <c r="BH35" i="58"/>
  <c r="BI35" i="58"/>
  <c r="BI53" i="58"/>
  <c r="BI54" i="58" s="1"/>
  <c r="F97" i="58"/>
  <c r="H97" i="58"/>
  <c r="G97" i="58"/>
  <c r="F24" i="58"/>
  <c r="AA24" i="58" s="1"/>
  <c r="AB24" i="58" s="1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AD18" i="58" s="1"/>
  <c r="AE18" i="58" s="1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C18" i="88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C85" i="104"/>
  <c r="M85" i="104"/>
  <c r="K19" i="104"/>
  <c r="F19" i="104"/>
  <c r="H19" i="104"/>
  <c r="C19" i="104"/>
  <c r="H85" i="104"/>
  <c r="F85" i="104"/>
  <c r="K85" i="104"/>
  <c r="M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0" i="51"/>
  <c r="AA40" i="51" s="1"/>
  <c r="AB40" i="51" s="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39" i="51"/>
  <c r="AA39" i="51" s="1"/>
  <c r="AB39" i="51" s="1"/>
  <c r="K26" i="51"/>
  <c r="AD26" i="51" s="1"/>
  <c r="AE26" i="51" s="1"/>
  <c r="F45" i="88"/>
  <c r="H45" i="88"/>
  <c r="G45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AD5" i="88" s="1"/>
  <c r="AE5" i="88" s="1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AD25" i="51" s="1"/>
  <c r="AE25" i="51" s="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8" i="51"/>
  <c r="AA38" i="51" s="1"/>
  <c r="AB38" i="51" s="1"/>
  <c r="K24" i="51"/>
  <c r="AD24" i="51" s="1"/>
  <c r="AE24" i="51" s="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AA37" i="51" s="1"/>
  <c r="AB37" i="51" s="1"/>
  <c r="F134" i="51"/>
  <c r="G134" i="51"/>
  <c r="H134" i="51"/>
  <c r="K23" i="51"/>
  <c r="AD23" i="51" s="1"/>
  <c r="AE23" i="51" s="1"/>
  <c r="F34" i="86"/>
  <c r="H34" i="86"/>
  <c r="G34" i="86"/>
  <c r="F5" i="86"/>
  <c r="AA5" i="86" s="1"/>
  <c r="AB5" i="86" s="1"/>
  <c r="F3" i="86"/>
  <c r="AA3" i="86" s="1"/>
  <c r="AB3" i="86" s="1"/>
  <c r="K2" i="86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A36" i="51" s="1"/>
  <c r="AB36" i="51" s="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AD22" i="51" s="1"/>
  <c r="AE22" i="51" s="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P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AD17" i="58" s="1"/>
  <c r="AE17" i="58" s="1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AD4" i="88" s="1"/>
  <c r="AE4" i="88" s="1"/>
  <c r="F57" i="77"/>
  <c r="H57" i="77"/>
  <c r="G57" i="77"/>
  <c r="F12" i="77"/>
  <c r="F92" i="58"/>
  <c r="H92" i="58"/>
  <c r="G92" i="58"/>
  <c r="F23" i="58"/>
  <c r="AA23" i="58" s="1"/>
  <c r="AB23" i="58" s="1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AA22" i="58" s="1"/>
  <c r="AB22" i="58" s="1"/>
  <c r="F210" i="25"/>
  <c r="G210" i="25"/>
  <c r="H210" i="25"/>
  <c r="F74" i="25"/>
  <c r="F57" i="81"/>
  <c r="H57" i="81"/>
  <c r="G57" i="81"/>
  <c r="K8" i="81"/>
  <c r="P620" i="38" l="1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AD16" i="58" s="1"/>
  <c r="AE16" i="58" s="1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AD21" i="51" s="1"/>
  <c r="AE21" i="51" s="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AA21" i="58" s="1"/>
  <c r="AB21" i="58" s="1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AD15" i="58" s="1"/>
  <c r="AE15" i="58" s="1"/>
  <c r="F129" i="51"/>
  <c r="G129" i="51"/>
  <c r="H129" i="51"/>
  <c r="K20" i="51"/>
  <c r="AD20" i="51" s="1"/>
  <c r="AE20" i="51" s="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AA20" i="58" s="1"/>
  <c r="AB20" i="58" s="1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AA6" i="88" s="1"/>
  <c r="AB6" i="88" s="1"/>
  <c r="K3" i="88"/>
  <c r="AD3" i="88" s="1"/>
  <c r="AE3" i="88" s="1"/>
  <c r="F12" i="88"/>
  <c r="AA12" i="88" s="1"/>
  <c r="AB12" i="88" s="1"/>
  <c r="F128" i="51"/>
  <c r="G128" i="51"/>
  <c r="H128" i="51"/>
  <c r="K19" i="51"/>
  <c r="AD19" i="51" s="1"/>
  <c r="AE19" i="51" s="1"/>
  <c r="F35" i="51"/>
  <c r="AA35" i="51" s="1"/>
  <c r="AB35" i="51" s="1"/>
  <c r="F34" i="51"/>
  <c r="AA34" i="51" s="1"/>
  <c r="AB34" i="51" s="1"/>
  <c r="F200" i="25"/>
  <c r="H200" i="25"/>
  <c r="G200" i="25"/>
  <c r="F70" i="25"/>
  <c r="P611" i="38" l="1"/>
  <c r="N611" i="38"/>
  <c r="Z611" i="38" s="1"/>
  <c r="F38" i="88"/>
  <c r="H38" i="88"/>
  <c r="G38" i="88"/>
  <c r="F11" i="88"/>
  <c r="AA11" i="88" s="1"/>
  <c r="AB11" i="88" s="1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C85" i="103"/>
  <c r="H19" i="103"/>
  <c r="K85" i="103"/>
  <c r="C19" i="103"/>
  <c r="M85" i="103"/>
  <c r="M19" i="103"/>
  <c r="K19" i="103"/>
  <c r="F85" i="103"/>
  <c r="H85" i="103"/>
  <c r="F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K19" i="102"/>
  <c r="H85" i="102"/>
  <c r="M85" i="102"/>
  <c r="F19" i="102"/>
  <c r="H19" i="102"/>
  <c r="M19" i="102"/>
  <c r="C19" i="102"/>
  <c r="C85" i="102"/>
  <c r="F85" i="102"/>
  <c r="K85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AA19" i="58" s="1"/>
  <c r="AB19" i="58" s="1"/>
  <c r="F37" i="88"/>
  <c r="H37" i="88"/>
  <c r="G37" i="88"/>
  <c r="F10" i="88"/>
  <c r="AA10" i="88" s="1"/>
  <c r="AB10" i="88" s="1"/>
  <c r="K85" i="99"/>
  <c r="F85" i="101"/>
  <c r="H85" i="100"/>
  <c r="C19" i="99"/>
  <c r="H85" i="101"/>
  <c r="C85" i="99"/>
  <c r="F19" i="100"/>
  <c r="F85" i="99"/>
  <c r="C85" i="100"/>
  <c r="H19" i="100"/>
  <c r="M19" i="101"/>
  <c r="M19" i="100"/>
  <c r="K85" i="100"/>
  <c r="H19" i="99"/>
  <c r="M85" i="101"/>
  <c r="K19" i="101"/>
  <c r="K19" i="100"/>
  <c r="F19" i="101"/>
  <c r="K19" i="99"/>
  <c r="C85" i="101"/>
  <c r="C19" i="101"/>
  <c r="H85" i="99"/>
  <c r="M85" i="100"/>
  <c r="F85" i="100"/>
  <c r="C19" i="100"/>
  <c r="M85" i="99"/>
  <c r="H19" i="101"/>
  <c r="K85" i="101"/>
  <c r="F19" i="99"/>
  <c r="M19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AA33" i="51" s="1"/>
  <c r="AB33" i="51" s="1"/>
  <c r="F32" i="51"/>
  <c r="AA32" i="51" s="1"/>
  <c r="AB32" i="51" s="1"/>
  <c r="F31" i="51"/>
  <c r="AA31" i="51" s="1"/>
  <c r="AB31" i="51" s="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AA30" i="51" s="1"/>
  <c r="AB30" i="51" s="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M85" i="98"/>
  <c r="K85" i="97"/>
  <c r="C85" i="98"/>
  <c r="F85" i="97"/>
  <c r="H19" i="98"/>
  <c r="K19" i="98"/>
  <c r="H85" i="97"/>
  <c r="F85" i="98"/>
  <c r="C85" i="97"/>
  <c r="H19" i="97"/>
  <c r="F19" i="97"/>
  <c r="C19" i="97"/>
  <c r="K85" i="98"/>
  <c r="M85" i="97"/>
  <c r="M19" i="97"/>
  <c r="C19" i="98"/>
  <c r="F19" i="98"/>
  <c r="H85" i="98"/>
  <c r="K19" i="97"/>
  <c r="M19" i="98"/>
  <c r="K18" i="88" l="1"/>
  <c r="AD2" i="88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188" i="25"/>
  <c r="H188" i="25"/>
  <c r="G188" i="25"/>
  <c r="K47" i="25"/>
  <c r="F81" i="58"/>
  <c r="H81" i="58"/>
  <c r="G81" i="58"/>
  <c r="K14" i="58"/>
  <c r="AD14" i="58" s="1"/>
  <c r="AE14" i="58" s="1"/>
  <c r="F80" i="58"/>
  <c r="H80" i="58"/>
  <c r="G80" i="58"/>
  <c r="K13" i="58"/>
  <c r="AD13" i="58" s="1"/>
  <c r="AE13" i="58" s="1"/>
  <c r="K19" i="96"/>
  <c r="H19" i="96"/>
  <c r="M85" i="96"/>
  <c r="K85" i="96"/>
  <c r="C19" i="96"/>
  <c r="F85" i="96"/>
  <c r="F19" i="96"/>
  <c r="M19" i="96"/>
  <c r="H85" i="96"/>
  <c r="C85" i="96"/>
  <c r="Q2" i="96" l="1"/>
  <c r="M66" i="96"/>
  <c r="Q10" i="96" s="1"/>
  <c r="BH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AD12" i="58" s="1"/>
  <c r="AE12" i="58" s="1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AA18" i="58" s="1"/>
  <c r="AB18" i="58" s="1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85" i="95"/>
  <c r="K85" i="95"/>
  <c r="C85" i="95"/>
  <c r="K19" i="95"/>
  <c r="M85" i="95"/>
  <c r="M19" i="95"/>
  <c r="F19" i="95"/>
  <c r="H19" i="95"/>
  <c r="F85" i="95"/>
  <c r="C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AA29" i="51" s="1"/>
  <c r="AB29" i="51" s="1"/>
  <c r="K85" i="94"/>
  <c r="H19" i="94"/>
  <c r="F19" i="94"/>
  <c r="M85" i="94"/>
  <c r="C85" i="94"/>
  <c r="M19" i="94"/>
  <c r="H85" i="94"/>
  <c r="F85" i="94"/>
  <c r="K19" i="94"/>
  <c r="C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K85" i="93"/>
  <c r="K19" i="93"/>
  <c r="H85" i="93"/>
  <c r="H19" i="93"/>
  <c r="C85" i="93"/>
  <c r="M19" i="93"/>
  <c r="F19" i="93"/>
  <c r="F85" i="93"/>
  <c r="M85" i="93"/>
  <c r="C19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AA28" i="51" s="1"/>
  <c r="AB28" i="51" s="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AJ2" i="58" s="1"/>
  <c r="AK2" i="58" s="1"/>
  <c r="F17" i="58"/>
  <c r="AA17" i="58" s="1"/>
  <c r="AB17" i="58" s="1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AA5" i="88" s="1"/>
  <c r="AB5" i="88" s="1"/>
  <c r="F44" i="70"/>
  <c r="H44" i="70"/>
  <c r="G44" i="70"/>
  <c r="F14" i="70"/>
  <c r="K85" i="92"/>
  <c r="F19" i="92"/>
  <c r="H19" i="91"/>
  <c r="M85" i="91"/>
  <c r="C85" i="91"/>
  <c r="F19" i="91"/>
  <c r="M19" i="91"/>
  <c r="C85" i="92"/>
  <c r="H19" i="92"/>
  <c r="K19" i="92"/>
  <c r="C19" i="92"/>
  <c r="H85" i="91"/>
  <c r="H85" i="92"/>
  <c r="M85" i="92"/>
  <c r="K19" i="91"/>
  <c r="K85" i="91"/>
  <c r="C19" i="91"/>
  <c r="M19" i="92"/>
  <c r="F85" i="91"/>
  <c r="F85" i="92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AA16" i="58" s="1"/>
  <c r="AB16" i="58" s="1"/>
  <c r="G43" i="70"/>
  <c r="F43" i="70"/>
  <c r="H43" i="70"/>
  <c r="F13" i="70"/>
  <c r="F116" i="51"/>
  <c r="G116" i="51"/>
  <c r="H116" i="51"/>
  <c r="F27" i="51"/>
  <c r="AA27" i="51" s="1"/>
  <c r="AB27" i="51" s="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AD18" i="51" s="1"/>
  <c r="AE18" i="51" s="1"/>
  <c r="F74" i="58"/>
  <c r="H74" i="58"/>
  <c r="G74" i="58"/>
  <c r="K11" i="58"/>
  <c r="AD11" i="58" s="1"/>
  <c r="AE11" i="58" s="1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AD17" i="51" s="1"/>
  <c r="AE17" i="51" s="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AA26" i="51" s="1"/>
  <c r="AB26" i="51" s="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AD16" i="51" s="1"/>
  <c r="AE16" i="51" s="1"/>
  <c r="Z567" i="38" l="1"/>
  <c r="O567" i="38"/>
  <c r="U567" i="38"/>
  <c r="F36" i="82"/>
  <c r="H36" i="82"/>
  <c r="G36" i="82"/>
  <c r="F72" i="58"/>
  <c r="H72" i="58"/>
  <c r="G72" i="58"/>
  <c r="K10" i="58"/>
  <c r="AD10" i="58" s="1"/>
  <c r="AE10" i="58" s="1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AA15" i="58" s="1"/>
  <c r="AB15" i="58" s="1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AA25" i="51" s="1"/>
  <c r="AB25" i="51" s="1"/>
  <c r="K15" i="51"/>
  <c r="AD15" i="51" s="1"/>
  <c r="AE15" i="51" s="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I31" i="82"/>
  <c r="F31" i="82"/>
  <c r="H31" i="82"/>
  <c r="G31" i="82"/>
  <c r="F107" i="51"/>
  <c r="G107" i="51"/>
  <c r="H107" i="51"/>
  <c r="K14" i="51"/>
  <c r="AD14" i="51" s="1"/>
  <c r="AE14" i="51" s="1"/>
  <c r="C19" i="90"/>
  <c r="H85" i="90"/>
  <c r="M19" i="90"/>
  <c r="K85" i="90"/>
  <c r="H19" i="90"/>
  <c r="K19" i="90"/>
  <c r="F19" i="90"/>
  <c r="C85" i="90"/>
  <c r="M85" i="90"/>
  <c r="F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AA24" i="51" s="1"/>
  <c r="AB24" i="51" s="1"/>
  <c r="F105" i="51"/>
  <c r="G105" i="51"/>
  <c r="H105" i="51"/>
  <c r="F23" i="51"/>
  <c r="AA23" i="51" s="1"/>
  <c r="AB23" i="51" s="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AD9" i="58" s="1"/>
  <c r="AE9" i="58" s="1"/>
  <c r="F103" i="51"/>
  <c r="G103" i="51"/>
  <c r="H103" i="51"/>
  <c r="K13" i="51"/>
  <c r="AD13" i="51" s="1"/>
  <c r="AE13" i="51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H85" i="89"/>
  <c r="H58" i="51"/>
  <c r="H19" i="89"/>
  <c r="K19" i="89"/>
  <c r="F19" i="89"/>
  <c r="K85" i="89"/>
  <c r="M19" i="89"/>
  <c r="C85" i="89"/>
  <c r="M85" i="89"/>
  <c r="C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9" i="88"/>
  <c r="C85" i="88"/>
  <c r="C85" i="87"/>
  <c r="C19" i="87"/>
  <c r="M19" i="87"/>
  <c r="H19" i="87"/>
  <c r="M19" i="88"/>
  <c r="H85" i="88"/>
  <c r="M85" i="87"/>
  <c r="K19" i="87"/>
  <c r="F85" i="87"/>
  <c r="H19" i="88"/>
  <c r="K85" i="87"/>
  <c r="F85" i="88"/>
  <c r="C19" i="88"/>
  <c r="M85" i="88"/>
  <c r="F19" i="87"/>
  <c r="K85" i="88"/>
  <c r="H85" i="87"/>
  <c r="K19" i="88"/>
  <c r="F18" i="88" l="1"/>
  <c r="AA2" i="88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66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AA22" i="51" s="1"/>
  <c r="AB22" i="51" s="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C19" i="86"/>
  <c r="F85" i="86"/>
  <c r="H19" i="86"/>
  <c r="K85" i="86"/>
  <c r="M19" i="86"/>
  <c r="F19" i="86"/>
  <c r="H85" i="86"/>
  <c r="C85" i="86"/>
  <c r="M85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D12" i="51" s="1"/>
  <c r="AE12" i="51" s="1"/>
  <c r="A550" i="38"/>
  <c r="D550" i="38"/>
  <c r="E550" i="38"/>
  <c r="G550" i="38"/>
  <c r="H550" i="38"/>
  <c r="K550" i="38"/>
  <c r="L550" i="38" s="1"/>
  <c r="M550" i="38"/>
  <c r="N550" i="38" s="1"/>
  <c r="H22" i="43"/>
  <c r="M22" i="43"/>
  <c r="C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AA10" i="58" s="1"/>
  <c r="AB10" i="58" s="1"/>
  <c r="K8" i="58"/>
  <c r="AD8" i="58" s="1"/>
  <c r="AE8" i="58" s="1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AD11" i="51" s="1"/>
  <c r="AE11" i="51" s="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AD10" i="51" s="1"/>
  <c r="AE10" i="51" s="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18" i="82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AD9" i="51" s="1"/>
  <c r="AE9" i="51" s="1"/>
  <c r="F95" i="51"/>
  <c r="G95" i="51"/>
  <c r="H95" i="51"/>
  <c r="K8" i="51"/>
  <c r="AD8" i="51" s="1"/>
  <c r="AE8" i="51" s="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AD7" i="58" s="1"/>
  <c r="AE7" i="58" s="1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AD7" i="51" s="1"/>
  <c r="AE7" i="51" s="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C24" i="46"/>
  <c r="M24" i="46"/>
  <c r="K24" i="46"/>
  <c r="H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BG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3" i="45"/>
  <c r="K82" i="45"/>
  <c r="F82" i="45"/>
  <c r="K81" i="45"/>
  <c r="F81" i="45"/>
  <c r="K80" i="45"/>
  <c r="F80" i="45"/>
  <c r="K79" i="45"/>
  <c r="F79" i="45"/>
  <c r="K78" i="45"/>
  <c r="F78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AD6" i="51" s="1"/>
  <c r="AE6" i="51" s="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BF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AA21" i="51" s="1"/>
  <c r="AB21" i="51" s="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85" i="85"/>
  <c r="M19" i="85"/>
  <c r="C19" i="85"/>
  <c r="K19" i="85"/>
  <c r="F19" i="85"/>
  <c r="K85" i="85"/>
  <c r="H85" i="85"/>
  <c r="M85" i="85"/>
  <c r="F85" i="85"/>
  <c r="H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19" i="84"/>
  <c r="C85" i="84"/>
  <c r="H19" i="83"/>
  <c r="H85" i="83"/>
  <c r="C85" i="83"/>
  <c r="C19" i="84"/>
  <c r="M19" i="83"/>
  <c r="M85" i="83"/>
  <c r="K19" i="83"/>
  <c r="K85" i="84"/>
  <c r="M85" i="84"/>
  <c r="F19" i="83"/>
  <c r="F85" i="83"/>
  <c r="C19" i="83"/>
  <c r="F19" i="84"/>
  <c r="K85" i="83"/>
  <c r="F85" i="84"/>
  <c r="M19" i="84"/>
  <c r="H85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K85" i="82"/>
  <c r="F19" i="82"/>
  <c r="M19" i="82"/>
  <c r="C19" i="82"/>
  <c r="C18" i="74"/>
  <c r="H85" i="82"/>
  <c r="F85" i="82"/>
  <c r="H18" i="74"/>
  <c r="C85" i="82"/>
  <c r="H19" i="82"/>
  <c r="M85" i="82"/>
  <c r="M18" i="74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AD5" i="51" s="1"/>
  <c r="AE5" i="51" s="1"/>
  <c r="F6" i="70"/>
  <c r="F134" i="25"/>
  <c r="H134" i="25"/>
  <c r="G134" i="25"/>
  <c r="F44" i="25"/>
  <c r="F28" i="78"/>
  <c r="G28" i="78"/>
  <c r="H28" i="78"/>
  <c r="F2" i="78"/>
  <c r="K3" i="70"/>
  <c r="F20" i="51"/>
  <c r="AA20" i="51" s="1"/>
  <c r="AB20" i="51" s="1"/>
  <c r="F19" i="51"/>
  <c r="AA19" i="51" s="1"/>
  <c r="AB19" i="51" s="1"/>
  <c r="F18" i="51"/>
  <c r="AA18" i="51" s="1"/>
  <c r="AB18" i="51" s="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8" i="46"/>
  <c r="G98" i="46"/>
  <c r="F98" i="46"/>
  <c r="H97" i="46"/>
  <c r="G97" i="46"/>
  <c r="F97" i="46"/>
  <c r="H96" i="46"/>
  <c r="G96" i="46"/>
  <c r="F96" i="46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AD6" i="58" s="1"/>
  <c r="AE6" i="58" s="1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H78" i="75"/>
  <c r="F96" i="31"/>
  <c r="M96" i="31"/>
  <c r="F78" i="75"/>
  <c r="K96" i="31"/>
  <c r="C96" i="31"/>
  <c r="M78" i="75"/>
  <c r="H96" i="31"/>
  <c r="C78" i="75"/>
  <c r="K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AA14" i="58" s="1"/>
  <c r="AB14" i="58" s="1"/>
  <c r="H18" i="64"/>
  <c r="F36" i="64"/>
  <c r="G36" i="64"/>
  <c r="H36" i="64"/>
  <c r="K85" i="64"/>
  <c r="M19" i="64"/>
  <c r="H85" i="64"/>
  <c r="K19" i="64"/>
  <c r="M85" i="64"/>
  <c r="H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F24" i="81"/>
  <c r="C90" i="81"/>
  <c r="M24" i="81"/>
  <c r="M90" i="81"/>
  <c r="H24" i="81"/>
  <c r="F90" i="81"/>
  <c r="K90" i="81"/>
  <c r="H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85" i="80"/>
  <c r="C85" i="80"/>
  <c r="M19" i="80"/>
  <c r="F85" i="80"/>
  <c r="H85" i="80"/>
  <c r="H19" i="80"/>
  <c r="C19" i="80"/>
  <c r="K19" i="80"/>
  <c r="F19" i="80"/>
  <c r="K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AA17" i="51" s="1"/>
  <c r="AB17" i="51" s="1"/>
  <c r="D463" i="38"/>
  <c r="E463" i="38"/>
  <c r="G463" i="38"/>
  <c r="H463" i="38"/>
  <c r="K463" i="38"/>
  <c r="L463" i="38" s="1"/>
  <c r="M463" i="38"/>
  <c r="N463" i="38" s="1"/>
  <c r="S463" i="38"/>
  <c r="H19" i="79"/>
  <c r="H65" i="79"/>
  <c r="F19" i="79"/>
  <c r="C65" i="79"/>
  <c r="C19" i="79"/>
  <c r="M19" i="79"/>
  <c r="M65" i="79"/>
  <c r="K65" i="79"/>
  <c r="K19" i="79"/>
  <c r="F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AA13" i="58" s="1"/>
  <c r="AB13" i="58" s="1"/>
  <c r="F12" i="58"/>
  <c r="AA12" i="58" s="1"/>
  <c r="AB12" i="58" s="1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AD4" i="51" s="1"/>
  <c r="AE4" i="51" s="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AA11" i="58" s="1"/>
  <c r="AB11" i="58" s="1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AD5" i="58" s="1"/>
  <c r="AE5" i="58" s="1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AA9" i="58" s="1"/>
  <c r="AB9" i="58" s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AD4" i="58" s="1"/>
  <c r="AE4" i="58" s="1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F19" i="78"/>
  <c r="K85" i="78"/>
  <c r="C85" i="78"/>
  <c r="F85" i="78"/>
  <c r="M19" i="78"/>
  <c r="M85" i="78"/>
  <c r="K19" i="78"/>
  <c r="C19" i="78"/>
  <c r="H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AA16" i="51" s="1"/>
  <c r="AB16" i="51" s="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AA15" i="51" s="1"/>
  <c r="AB15" i="51" s="1"/>
  <c r="F14" i="51"/>
  <c r="AA14" i="51" s="1"/>
  <c r="AB14" i="51" s="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AA8" i="58" s="1"/>
  <c r="AB8" i="58" s="1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AD3" i="58" s="1"/>
  <c r="AE3" i="58" s="1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89" i="77"/>
  <c r="F89" i="77"/>
  <c r="M19" i="77"/>
  <c r="C89" i="77"/>
  <c r="C19" i="77"/>
  <c r="K89" i="77"/>
  <c r="F19" i="77"/>
  <c r="H89" i="77"/>
  <c r="H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AA7" i="58" s="1"/>
  <c r="AB7" i="58" s="1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AA6" i="58" s="1"/>
  <c r="AB6" i="58" s="1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AA5" i="58" s="1"/>
  <c r="AB5" i="58" s="1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C77" i="69"/>
  <c r="K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C19" i="76"/>
  <c r="K19" i="76"/>
  <c r="F19" i="76"/>
  <c r="H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AA4" i="58" s="1"/>
  <c r="AB4" i="58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76" i="45"/>
  <c r="F76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AD2" i="58" s="1"/>
  <c r="AE2" i="58" s="1"/>
  <c r="F16" i="40"/>
  <c r="K94" i="7"/>
  <c r="K3" i="51"/>
  <c r="AD3" i="51" s="1"/>
  <c r="AE3" i="51" s="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AA13" i="51" s="1"/>
  <c r="AB13" i="51" s="1"/>
  <c r="F3" i="58"/>
  <c r="AA3" i="58" s="1"/>
  <c r="AB3" i="58" s="1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AA12" i="51" s="1"/>
  <c r="AB12" i="51" s="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AA11" i="51" s="1"/>
  <c r="AB11" i="51" s="1"/>
  <c r="F10" i="51"/>
  <c r="AA10" i="51" s="1"/>
  <c r="AB10" i="51" s="1"/>
  <c r="F9" i="51"/>
  <c r="AA9" i="51" s="1"/>
  <c r="AB9" i="51" s="1"/>
  <c r="C93" i="68"/>
  <c r="K93" i="68"/>
  <c r="F93" i="68"/>
  <c r="H93" i="68"/>
  <c r="M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AA8" i="51" s="1"/>
  <c r="AB8" i="51" s="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AA7" i="51" s="1"/>
  <c r="AB7" i="51" s="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74" i="45"/>
  <c r="F74" i="45"/>
  <c r="K73" i="45"/>
  <c r="F73" i="45"/>
  <c r="K72" i="45"/>
  <c r="F72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762" i="25"/>
  <c r="H762" i="25"/>
  <c r="C762" i="25"/>
  <c r="K762" i="25"/>
  <c r="M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4" i="46"/>
  <c r="H84" i="46"/>
  <c r="C84" i="46"/>
  <c r="P25" i="46"/>
  <c r="P24" i="46"/>
  <c r="P23" i="46"/>
  <c r="P22" i="46"/>
  <c r="P21" i="46"/>
  <c r="P20" i="46"/>
  <c r="P19" i="46"/>
  <c r="K74" i="46"/>
  <c r="K73" i="46"/>
  <c r="F73" i="46"/>
  <c r="K72" i="46"/>
  <c r="F72" i="46"/>
  <c r="H27" i="46"/>
  <c r="G27" i="46"/>
  <c r="F27" i="46"/>
  <c r="M23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8" i="45"/>
  <c r="H98" i="45"/>
  <c r="C98" i="45"/>
  <c r="K70" i="45"/>
  <c r="F70" i="45"/>
  <c r="K69" i="45"/>
  <c r="F69" i="45"/>
  <c r="K68" i="45"/>
  <c r="F68" i="45"/>
  <c r="F67" i="45"/>
  <c r="K66" i="45"/>
  <c r="F66" i="45"/>
  <c r="K65" i="45"/>
  <c r="F65" i="45"/>
  <c r="K64" i="45"/>
  <c r="F64" i="45"/>
  <c r="K63" i="45"/>
  <c r="F63" i="45"/>
  <c r="K62" i="45"/>
  <c r="F62" i="45"/>
  <c r="K61" i="45"/>
  <c r="F61" i="45"/>
  <c r="K60" i="45"/>
  <c r="F60" i="45"/>
  <c r="F59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4" i="47"/>
  <c r="H64" i="47"/>
  <c r="C64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1" i="47"/>
  <c r="F51" i="47"/>
  <c r="Q19" i="47"/>
  <c r="K50" i="47"/>
  <c r="F50" i="47"/>
  <c r="Q18" i="47"/>
  <c r="K49" i="47"/>
  <c r="F49" i="47"/>
  <c r="K48" i="47"/>
  <c r="F48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AA2" i="58" s="1"/>
  <c r="AB2" i="58" s="1"/>
  <c r="AO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71" i="51"/>
  <c r="H274" i="51"/>
  <c r="C274" i="51"/>
  <c r="F268" i="51"/>
  <c r="F267" i="51"/>
  <c r="F266" i="51"/>
  <c r="K265" i="51"/>
  <c r="F265" i="51"/>
  <c r="K264" i="51"/>
  <c r="F264" i="51"/>
  <c r="K263" i="51"/>
  <c r="F263" i="51"/>
  <c r="K262" i="51"/>
  <c r="F262" i="51"/>
  <c r="K261" i="51"/>
  <c r="F261" i="51"/>
  <c r="K260" i="51"/>
  <c r="F260" i="51"/>
  <c r="K259" i="51"/>
  <c r="F259" i="51"/>
  <c r="K258" i="51"/>
  <c r="F258" i="51"/>
  <c r="K257" i="51"/>
  <c r="F257" i="51"/>
  <c r="K256" i="51"/>
  <c r="F256" i="51"/>
  <c r="K255" i="51"/>
  <c r="F255" i="51"/>
  <c r="K254" i="51"/>
  <c r="F254" i="51"/>
  <c r="K253" i="51"/>
  <c r="F253" i="51"/>
  <c r="K252" i="51"/>
  <c r="F252" i="51"/>
  <c r="K251" i="51"/>
  <c r="F251" i="51"/>
  <c r="K250" i="51"/>
  <c r="F250" i="51"/>
  <c r="F249" i="51"/>
  <c r="K248" i="51"/>
  <c r="F248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P43" i="51"/>
  <c r="H169" i="51"/>
  <c r="G169" i="51"/>
  <c r="F169" i="51"/>
  <c r="P42" i="51"/>
  <c r="H168" i="51"/>
  <c r="G168" i="51"/>
  <c r="F168" i="51"/>
  <c r="P41" i="51"/>
  <c r="H167" i="51"/>
  <c r="G167" i="51"/>
  <c r="F167" i="51"/>
  <c r="P40" i="51"/>
  <c r="H166" i="51"/>
  <c r="G166" i="51"/>
  <c r="F166" i="51"/>
  <c r="P39" i="51"/>
  <c r="H165" i="51"/>
  <c r="G165" i="51"/>
  <c r="F165" i="51"/>
  <c r="P38" i="51"/>
  <c r="H164" i="51"/>
  <c r="G164" i="51"/>
  <c r="F164" i="51"/>
  <c r="P37" i="51"/>
  <c r="H163" i="51"/>
  <c r="G163" i="51"/>
  <c r="F163" i="51"/>
  <c r="P36" i="51"/>
  <c r="H162" i="51"/>
  <c r="G162" i="51"/>
  <c r="F162" i="51"/>
  <c r="P35" i="51"/>
  <c r="H161" i="51"/>
  <c r="G161" i="51"/>
  <c r="F161" i="51"/>
  <c r="P34" i="51"/>
  <c r="H160" i="51"/>
  <c r="G160" i="51"/>
  <c r="F160" i="51"/>
  <c r="P33" i="51"/>
  <c r="H159" i="51"/>
  <c r="G159" i="51"/>
  <c r="F159" i="51"/>
  <c r="P32" i="51"/>
  <c r="H158" i="51"/>
  <c r="G158" i="51"/>
  <c r="F158" i="51"/>
  <c r="P31" i="51"/>
  <c r="H157" i="51"/>
  <c r="G157" i="51"/>
  <c r="F157" i="51"/>
  <c r="P30" i="51"/>
  <c r="H156" i="51"/>
  <c r="G156" i="51"/>
  <c r="F156" i="51"/>
  <c r="P29" i="51"/>
  <c r="H155" i="51"/>
  <c r="G155" i="51"/>
  <c r="F15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AA6" i="51" s="1"/>
  <c r="AB6" i="51" s="1"/>
  <c r="F5" i="51"/>
  <c r="AA5" i="51" s="1"/>
  <c r="AB5" i="51" s="1"/>
  <c r="F4" i="51"/>
  <c r="AA4" i="51" s="1"/>
  <c r="AB4" i="51" s="1"/>
  <c r="F3" i="51"/>
  <c r="AA3" i="51" s="1"/>
  <c r="AB3" i="51" s="1"/>
  <c r="K2" i="51"/>
  <c r="F2" i="51"/>
  <c r="AA2" i="51" s="1"/>
  <c r="AB2" i="51" s="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M18" i="69"/>
  <c r="H18" i="69"/>
  <c r="Q11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Q11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8" i="74"/>
  <c r="F19" i="73"/>
  <c r="K63" i="66"/>
  <c r="H75" i="41"/>
  <c r="K19" i="75"/>
  <c r="K19" i="62"/>
  <c r="F19" i="61"/>
  <c r="K19" i="63"/>
  <c r="M51" i="54"/>
  <c r="F19" i="52"/>
  <c r="H100" i="34"/>
  <c r="F23" i="57"/>
  <c r="M19" i="75"/>
  <c r="K18" i="74"/>
  <c r="H19" i="73"/>
  <c r="K19" i="53"/>
  <c r="C99" i="45"/>
  <c r="K58" i="51"/>
  <c r="F30" i="49"/>
  <c r="M19" i="54"/>
  <c r="M100" i="34"/>
  <c r="M19" i="71"/>
  <c r="F30" i="40"/>
  <c r="F213" i="57"/>
  <c r="M19" i="55"/>
  <c r="F451" i="17"/>
  <c r="H23" i="17"/>
  <c r="C65" i="71"/>
  <c r="K67" i="60"/>
  <c r="C65" i="63"/>
  <c r="K19" i="73"/>
  <c r="H119" i="7"/>
  <c r="F51" i="54"/>
  <c r="M81" i="61"/>
  <c r="H19" i="66"/>
  <c r="F19" i="34"/>
  <c r="F19" i="41"/>
  <c r="F119" i="7"/>
  <c r="C63" i="66"/>
  <c r="F22" i="43"/>
  <c r="C19" i="41"/>
  <c r="M19" i="53"/>
  <c r="K25" i="31"/>
  <c r="M19" i="69"/>
  <c r="F86" i="53"/>
  <c r="F156" i="49"/>
  <c r="F58" i="51"/>
  <c r="M63" i="66"/>
  <c r="H451" i="17"/>
  <c r="C19" i="61"/>
  <c r="C171" i="58"/>
  <c r="C19" i="54"/>
  <c r="C19" i="69"/>
  <c r="H19" i="59"/>
  <c r="F19" i="59"/>
  <c r="C19" i="62"/>
  <c r="C19" i="66"/>
  <c r="K100" i="34"/>
  <c r="K23" i="57"/>
  <c r="K86" i="53"/>
  <c r="M19" i="41"/>
  <c r="H19" i="70"/>
  <c r="F19" i="55"/>
  <c r="C19" i="64"/>
  <c r="M23" i="17"/>
  <c r="F19" i="45"/>
  <c r="C19" i="71"/>
  <c r="K33" i="58"/>
  <c r="K75" i="41"/>
  <c r="K55" i="50"/>
  <c r="F63" i="66"/>
  <c r="F19" i="53"/>
  <c r="F19" i="50"/>
  <c r="H19" i="52"/>
  <c r="M19" i="63"/>
  <c r="C30" i="49"/>
  <c r="F19" i="63"/>
  <c r="K213" i="57"/>
  <c r="F77" i="70"/>
  <c r="M19" i="73"/>
  <c r="C81" i="61"/>
  <c r="K23" i="17"/>
  <c r="F100" i="34"/>
  <c r="H19" i="62"/>
  <c r="M65" i="71"/>
  <c r="H19" i="75"/>
  <c r="K19" i="60"/>
  <c r="F85" i="64"/>
  <c r="H55" i="50"/>
  <c r="H81" i="61"/>
  <c r="M67" i="60"/>
  <c r="K19" i="45"/>
  <c r="K30" i="40"/>
  <c r="M30" i="40"/>
  <c r="C25" i="31"/>
  <c r="H19" i="34"/>
  <c r="M156" i="49"/>
  <c r="H77" i="70"/>
  <c r="F19" i="60"/>
  <c r="H19" i="68"/>
  <c r="H90" i="72"/>
  <c r="K99" i="45"/>
  <c r="F19" i="66"/>
  <c r="F94" i="52"/>
  <c r="F90" i="72"/>
  <c r="K171" i="58"/>
  <c r="K19" i="54"/>
  <c r="M19" i="70"/>
  <c r="C94" i="52"/>
  <c r="K72" i="59"/>
  <c r="K19" i="34"/>
  <c r="M213" i="57"/>
  <c r="H156" i="49"/>
  <c r="M58" i="51"/>
  <c r="H86" i="53"/>
  <c r="M72" i="59"/>
  <c r="M19" i="34"/>
  <c r="H67" i="60"/>
  <c r="M94" i="52"/>
  <c r="H94" i="52"/>
  <c r="C67" i="60"/>
  <c r="C156" i="49"/>
  <c r="K19" i="71"/>
  <c r="H19" i="3"/>
  <c r="M23" i="57"/>
  <c r="K156" i="49"/>
  <c r="H19" i="54"/>
  <c r="C86" i="53"/>
  <c r="F19" i="64"/>
  <c r="F19" i="71"/>
  <c r="H63" i="66"/>
  <c r="M55" i="50"/>
  <c r="M86" i="53"/>
  <c r="C23" i="17"/>
  <c r="C19" i="60"/>
  <c r="C119" i="7"/>
  <c r="F72" i="59"/>
  <c r="C19" i="73"/>
  <c r="H19" i="60"/>
  <c r="H19" i="71"/>
  <c r="M19" i="60"/>
  <c r="F19" i="54"/>
  <c r="F19" i="75"/>
  <c r="K19" i="70"/>
  <c r="C19" i="68"/>
  <c r="C19" i="59"/>
  <c r="C19" i="63"/>
  <c r="C77" i="70"/>
  <c r="K65" i="71"/>
  <c r="F19" i="62"/>
  <c r="M19" i="52"/>
  <c r="M25" i="31"/>
  <c r="K65" i="63"/>
  <c r="K30" i="49"/>
  <c r="F91" i="25"/>
  <c r="F25" i="31"/>
  <c r="K81" i="61"/>
  <c r="H30" i="40"/>
  <c r="F19" i="68"/>
  <c r="H51" i="54"/>
  <c r="C213" i="57"/>
  <c r="F19" i="3"/>
  <c r="K19" i="72"/>
  <c r="K19" i="41"/>
  <c r="M19" i="50"/>
  <c r="C90" i="72"/>
  <c r="C19" i="72"/>
  <c r="K90" i="72"/>
  <c r="C19" i="52"/>
  <c r="K451" i="17"/>
  <c r="C19" i="34"/>
  <c r="F75" i="41"/>
  <c r="H65" i="63"/>
  <c r="K19" i="55"/>
  <c r="K19" i="69"/>
  <c r="H19" i="41"/>
  <c r="C51" i="54"/>
  <c r="M90" i="72"/>
  <c r="H19" i="63"/>
  <c r="C33" i="58"/>
  <c r="H19" i="61"/>
  <c r="H72" i="59"/>
  <c r="C55" i="50"/>
  <c r="H99" i="45"/>
  <c r="H33" i="58"/>
  <c r="M19" i="3"/>
  <c r="F23" i="17"/>
  <c r="H19" i="45"/>
  <c r="H171" i="58"/>
  <c r="C19" i="50"/>
  <c r="C100" i="34"/>
  <c r="H213" i="57"/>
  <c r="M30" i="49"/>
  <c r="C72" i="59"/>
  <c r="H65" i="71"/>
  <c r="H25" i="31"/>
  <c r="M75" i="41"/>
  <c r="F65" i="71"/>
  <c r="C85" i="64"/>
  <c r="F99" i="45"/>
  <c r="C19" i="45"/>
  <c r="F19" i="72"/>
  <c r="C19" i="3"/>
  <c r="C19" i="55"/>
  <c r="M77" i="70"/>
  <c r="F19" i="70"/>
  <c r="C30" i="40"/>
  <c r="M33" i="58"/>
  <c r="F171" i="58"/>
  <c r="F81" i="61"/>
  <c r="M19" i="72"/>
  <c r="K19" i="3"/>
  <c r="H19" i="69"/>
  <c r="M19" i="61"/>
  <c r="K19" i="59"/>
  <c r="K77" i="70"/>
  <c r="C451" i="17"/>
  <c r="K51" i="54"/>
  <c r="H91" i="25"/>
  <c r="M19" i="45"/>
  <c r="C75" i="41"/>
  <c r="M171" i="58"/>
  <c r="K94" i="52"/>
  <c r="C19" i="53"/>
  <c r="K19" i="52"/>
  <c r="C23" i="57"/>
  <c r="K19" i="68"/>
  <c r="M19" i="59"/>
  <c r="M19" i="68"/>
  <c r="M99" i="45"/>
  <c r="M451" i="17"/>
  <c r="K19" i="66"/>
  <c r="M65" i="63"/>
  <c r="K19" i="50"/>
  <c r="M19" i="66"/>
  <c r="H19" i="50"/>
  <c r="C19" i="70"/>
  <c r="F67" i="60"/>
  <c r="M119" i="7"/>
  <c r="K119" i="7"/>
  <c r="C91" i="25"/>
  <c r="H19" i="55"/>
  <c r="M19" i="62"/>
  <c r="H30" i="49"/>
  <c r="F33" i="58"/>
  <c r="F19" i="69"/>
  <c r="H19" i="72"/>
  <c r="F55" i="50"/>
  <c r="K19" i="61"/>
  <c r="H19" i="53"/>
  <c r="C19" i="75"/>
  <c r="F65" i="63"/>
  <c r="V664" i="38" l="1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AD2" i="51"/>
  <c r="AE2" i="51" s="1"/>
  <c r="F32" i="58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4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4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8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8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4" i="46"/>
  <c r="F51" i="24"/>
  <c r="F120" i="40"/>
  <c r="M71" i="43"/>
  <c r="Q10" i="43" s="1"/>
  <c r="F274" i="51"/>
  <c r="K274" i="51"/>
  <c r="Q2" i="44"/>
  <c r="Q3" i="44" s="1"/>
  <c r="Q6" i="44" s="1"/>
  <c r="Q2" i="32"/>
  <c r="Q8" i="32" s="1"/>
  <c r="F44" i="26"/>
  <c r="K44" i="26"/>
  <c r="Q2" i="71"/>
  <c r="M104" i="49"/>
  <c r="Q2" i="25"/>
  <c r="W664" i="38" l="1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AJ2" i="51"/>
  <c r="AK2" i="51" s="1"/>
  <c r="AO2" i="51" s="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6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7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AM2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7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43" i="51"/>
  <c r="Q10" i="51" s="1"/>
  <c r="AM2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64" i="38" l="1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69" i="1" l="1"/>
  <c r="N273" i="1" s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0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<sst xmlns="http://schemas.openxmlformats.org/spreadsheetml/2006/main" count="7592" uniqueCount="1133">
  <si>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</si>
  <si>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</si>
  <si>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</si>
  <si>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</si>
  <si>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</si>
  <si>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</si>
  <si>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</si>
  <si>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</si>
  <si>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</si>
  <si>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</si>
  <si>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</si>
  <si>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</si>
  <si>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</si>
  <si>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</si>
  <si>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</si>
  <si>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</si>
  <si>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</si>
  <si>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</si>
  <si>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</si>
  <si>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</si>
  <si>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</si>
  <si>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</si>
  <si>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</si>
  <si>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</si>
  <si>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</si>
  <si>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</si>
  <si>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</si>
  <si>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</si>
  <si>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</si>
  <si>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</si>
  <si>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</si>
  <si>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</si>
  <si>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</si>
  <si>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</si>
  <si>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</si>
  <si>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</si>
  <si>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</si>
  <si>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</si>
  <si>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</si>
  <si>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</si>
  <si>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</si>
  <si>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</si>
  <si>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</si>
  <si>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</si>
  <si>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</si>
  <si>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</si>
  <si>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</si>
  <si>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</si>
  <si>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</si>
  <si>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</si>
  <si>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</si>
  <si>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</si>
  <si>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</si>
  <si>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</si>
  <si>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</si>
  <si>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</si>
  <si>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</si>
  <si>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</si>
  <si>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</si>
  <si>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</si>
  <si>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</si>
  <si>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</si>
  <si>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</si>
  <si>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</si>
  <si>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</si>
  <si>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</si>
  <si>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</si>
  <si>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</si>
  <si>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</si>
  <si>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</si>
  <si>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</si>
  <si>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</si>
  <si>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</si>
  <si>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</si>
  <si>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</si>
  <si>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</si>
  <si>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</si>
  <si>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</si>
  <si>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</si>
  <si>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</si>
  <si>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</si>
  <si>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</si>
  <si>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</si>
  <si>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</si>
  <si>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</si>
  <si>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</si>
  <si>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</si>
  <si>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</si>
  <si>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</si>
  <si>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</si>
  <si>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</si>
  <si>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</si>
  <si>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</si>
  <si>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</si>
  <si>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</si>
  <si>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</si>
  <si>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</si>
  <si>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</si>
  <si>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</si>
  <si>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</si>
  <si>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</si>
  <si>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</si>
  <si>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</si>
  <si>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</si>
  <si>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</si>
  <si>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</si>
  <si>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</si>
  <si>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</si>
  <si>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</si>
  <si>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</si>
  <si>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</si>
  <si>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</si>
  <si>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</si>
  <si>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</si>
  <si>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</si>
  <si>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</si>
  <si>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</si>
  <si>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</si>
  <si>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</si>
  <si>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</si>
  <si>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</si>
  <si>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</si>
  <si>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</si>
  <si>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</si>
  <si>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</si>
  <si>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</si>
  <si>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</si>
  <si>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</si>
  <si>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</si>
  <si>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</si>
  <si>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</si>
  <si>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</si>
  <si>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</si>
  <si>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</si>
  <si>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</si>
  <si>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</si>
  <si>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</si>
  <si>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</si>
  <si>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</si>
  <si>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</si>
  <si>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</si>
  <si>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</si>
  <si>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</si>
  <si>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</si>
  <si>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</si>
  <si>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</si>
  <si>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</si>
  <si>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</si>
  <si>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</si>
  <si>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</si>
  <si>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</si>
  <si>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</si>
  <si>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</si>
  <si>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</si>
  <si>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</si>
  <si>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</si>
  <si>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</si>
  <si>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</si>
  <si>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</si>
  <si>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</si>
  <si>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</si>
  <si>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</si>
  <si>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</si>
  <si>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</si>
  <si>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</si>
  <si>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</si>
  <si>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</si>
  <si>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</si>
  <si>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</si>
  <si>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</si>
  <si>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</si>
  <si>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</si>
  <si>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</si>
  <si>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</si>
  <si>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</si>
  <si>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</si>
  <si>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</si>
  <si>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</si>
  <si>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</si>
  <si>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</si>
  <si>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</si>
  <si>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</si>
  <si>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</si>
  <si>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</si>
  <si>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</si>
  <si>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</si>
  <si>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</si>
  <si>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</si>
  <si>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</si>
  <si>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</si>
  <si>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</si>
  <si>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</si>
  <si>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</si>
  <si>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</si>
  <si>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</si>
  <si>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</si>
  <si>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</si>
  <si>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</si>
  <si>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</si>
  <si>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</si>
  <si>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</si>
  <si>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</si>
  <si>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</si>
  <si>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</si>
  <si>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</si>
  <si>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</si>
  <si>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</si>
  <si>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</si>
  <si>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</si>
  <si>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</si>
  <si>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</si>
  <si>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</si>
  <si>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</si>
  <si>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</si>
  <si>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</si>
  <si>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</si>
  <si>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</si>
  <si>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</si>
  <si>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</si>
  <si>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</si>
  <si>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</si>
  <si>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</si>
  <si>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</si>
  <si>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</si>
  <si>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</si>
  <si>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</si>
  <si>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</si>
  <si>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</si>
  <si>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</si>
  <si>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</si>
  <si>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</si>
  <si>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</si>
  <si>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</si>
  <si>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</si>
  <si>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</si>
  <si>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</si>
  <si>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</si>
  <si>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</si>
  <si>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</si>
  <si>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</si>
  <si>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</si>
  <si>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</si>
  <si>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</si>
  <si>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</si>
  <si>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</si>
  <si>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</si>
  <si>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</si>
  <si>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</si>
  <si>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</si>
  <si>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</si>
  <si>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</si>
  <si>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</si>
  <si>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</si>
  <si>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</si>
  <si>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</si>
  <si>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</si>
  <si>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</si>
  <si>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</si>
  <si>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</si>
  <si>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</si>
  <si>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</si>
  <si>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</si>
  <si>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</si>
  <si>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</si>
  <si>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</si>
  <si>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</si>
  <si>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</si>
  <si>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</si>
  <si>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</si>
  <si>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</si>
  <si>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</si>
  <si>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</si>
  <si>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</si>
  <si>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</si>
  <si>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</si>
  <si>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</si>
  <si>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</si>
  <si>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</si>
  <si>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</si>
  <si>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</si>
  <si>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</si>
  <si>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</si>
  <si>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</si>
  <si>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</si>
  <si>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</si>
  <si>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</si>
  <si>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</si>
  <si>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</si>
  <si>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</si>
  <si>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</si>
  <si>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</si>
  <si>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</si>
  <si>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</si>
  <si>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</si>
  <si>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</si>
  <si>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</si>
  <si>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</si>
  <si>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</si>
  <si>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</si>
  <si>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</si>
  <si>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</si>
  <si>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</si>
  <si>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</si>
  <si>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</si>
  <si>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</si>
  <si>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</si>
  <si>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</si>
  <si>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</si>
  <si>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</si>
  <si>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</si>
  <si>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</si>
  <si>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</si>
  <si>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</si>
  <si>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</si>
  <si>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</si>
  <si>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</si>
  <si>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</si>
  <si>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</si>
  <si>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</si>
  <si>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</si>
  <si>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</si>
  <si>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</si>
  <si>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</si>
  <si>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</si>
  <si>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</si>
  <si>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</si>
  <si>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</si>
  <si>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</si>
  <si>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</si>
  <si>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</si>
  <si>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</si>
  <si>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</si>
  <si>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</si>
  <si>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</si>
  <si>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</si>
  <si>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</si>
  <si>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</si>
  <si>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</si>
  <si>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</si>
  <si>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</si>
  <si>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</si>
  <si>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</si>
  <si>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</si>
  <si>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</si>
  <si>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</si>
  <si>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</si>
  <si>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</si>
  <si>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</si>
  <si>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</si>
  <si>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</si>
  <si>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</si>
  <si>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</si>
  <si>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</si>
  <si>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</si>
  <si>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</si>
  <si>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</si>
  <si>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</si>
  <si>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</si>
  <si>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</si>
  <si>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</si>
  <si>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</si>
  <si>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</si>
  <si>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</si>
  <si>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</si>
  <si>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</si>
  <si>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</si>
  <si>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</si>
  <si>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</si>
  <si>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</si>
  <si>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</si>
  <si>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</si>
  <si>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</si>
  <si>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</si>
  <si>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</si>
  <si>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</si>
  <si>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</si>
  <si>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</si>
  <si>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</si>
  <si>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</si>
  <si>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</si>
  <si>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</si>
  <si>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</si>
  <si>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</si>
  <si>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</si>
  <si>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</si>
  <si>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</si>
  <si>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</si>
  <si>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</si>
  <si>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</si>
  <si>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</si>
  <si>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</si>
  <si>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</si>
  <si>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</si>
  <si>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</si>
  <si>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</si>
  <si>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</si>
  <si>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</si>
  <si>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</si>
  <si>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</si>
  <si>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</si>
  <si>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</si>
  <si>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</si>
  <si>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</si>
  <si>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</si>
  <si>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</si>
  <si>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</si>
  <si>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</si>
  <si>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</si>
  <si>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</si>
  <si>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</si>
  <si>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</si>
  <si>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</si>
  <si>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</si>
  <si>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</si>
  <si>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</si>
  <si>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</si>
  <si>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</si>
  <si>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</si>
  <si>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</si>
  <si>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</si>
  <si>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</si>
  <si>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</si>
  <si>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</si>
  <si>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</si>
  <si>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</si>
  <si>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</si>
  <si>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</si>
  <si>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</si>
  <si>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</si>
  <si>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</si>
  <si>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</si>
  <si>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</si>
  <si>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</si>
  <si>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</si>
  <si>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</si>
  <si>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</si>
  <si>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</si>
  <si>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</si>
  <si>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</si>
  <si>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</si>
  <si>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</si>
  <si>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</si>
  <si>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</si>
  <si>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</si>
  <si>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</si>
  <si>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</si>
  <si>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</si>
  <si>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</si>
  <si>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</si>
  <si>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</si>
  <si>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</si>
  <si>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</si>
  <si>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</si>
  <si>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</si>
  <si>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</si>
  <si>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</si>
  <si>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</si>
  <si>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</si>
  <si>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</si>
  <si>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</si>
  <si>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</si>
  <si>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</si>
  <si>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</si>
  <si>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</si>
  <si>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</si>
  <si>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</si>
  <si>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</si>
  <si>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</si>
  <si>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</si>
  <si>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</si>
  <si>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</si>
  <si>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</si>
  <si>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</si>
  <si>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</si>
  <si>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</si>
  <si>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</si>
  <si>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</si>
  <si>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</si>
  <si>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</si>
  <si>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</si>
  <si>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</si>
  <si>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</si>
  <si>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</si>
  <si>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</si>
  <si>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</si>
  <si>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</si>
  <si>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</si>
  <si>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</si>
  <si>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</si>
  <si>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</si>
  <si>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</si>
  <si>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</si>
  <si>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</si>
  <si>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</si>
  <si>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</si>
  <si>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</si>
  <si>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</si>
  <si>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</si>
  <si>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</si>
  <si>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</si>
  <si>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</si>
  <si>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</si>
  <si>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</si>
  <si>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</si>
  <si>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</si>
  <si>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</si>
  <si>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</si>
  <si>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</si>
  <si>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</si>
  <si>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</si>
  <si>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</si>
  <si>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</si>
  <si>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</si>
  <si>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</si>
  <si>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</si>
  <si>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</si>
  <si>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</si>
  <si>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</si>
  <si>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</si>
  <si>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</si>
  <si>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</si>
  <si>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</si>
  <si>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</si>
  <si>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</si>
  <si>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</si>
  <si>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</si>
  <si>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</si>
  <si>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</si>
  <si>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</si>
  <si>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</si>
  <si>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</si>
  <si>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</si>
  <si>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</si>
  <si>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</si>
  <si>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</si>
  <si>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</si>
  <si>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</si>
  <si>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</si>
  <si>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</si>
  <si>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</si>
  <si>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</si>
  <si>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</si>
  <si>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</si>
  <si>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</si>
  <si>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</si>
  <si>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</si>
  <si>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</si>
  <si>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</si>
  <si>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</si>
  <si>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</si>
  <si>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</si>
  <si>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</si>
  <si>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</si>
  <si>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</si>
  <si>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</si>
  <si>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</si>
  <si>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</si>
  <si>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</si>
  <si>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</si>
  <si>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</si>
  <si>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</si>
  <si>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</si>
  <si>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</si>
  <si>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</si>
  <si>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</si>
  <si>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</si>
  <si>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</si>
  <si>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</si>
  <si>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</si>
  <si>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</si>
  <si>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</si>
  <si>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</si>
  <si>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</si>
  <si>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</si>
  <si>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</si>
  <si>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</si>
  <si>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</si>
  <si>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</si>
  <si>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</si>
  <si>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</si>
  <si>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</si>
  <si>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</si>
  <si>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</si>
  <si>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</si>
  <si>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</si>
  <si>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</si>
  <si>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</si>
  <si>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</si>
  <si>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</si>
  <si>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</si>
  <si>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</si>
  <si>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</si>
  <si>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</si>
  <si>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</si>
  <si>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</si>
  <si>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</si>
  <si>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</si>
  <si>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</si>
  <si>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</si>
  <si>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</si>
  <si>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</si>
  <si>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</si>
  <si>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</si>
  <si>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</si>
  <si>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</si>
  <si>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</si>
  <si>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</si>
  <si>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</si>
  <si>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</si>
  <si>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</si>
  <si>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</si>
  <si>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</si>
  <si>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</si>
  <si>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</si>
  <si>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</si>
  <si>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</si>
  <si>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</si>
  <si>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</si>
  <si>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</si>
  <si>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</si>
  <si>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</si>
  <si>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</si>
  <si>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</si>
  <si>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</si>
  <si>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</si>
  <si>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</si>
  <si>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</si>
  <si>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</si>
  <si>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</si>
  <si>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</si>
  <si>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</si>
  <si>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</si>
  <si>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</si>
  <si>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</si>
  <si>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</si>
  <si>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</si>
  <si>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</si>
  <si>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</si>
  <si>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</si>
  <si>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</si>
  <si>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</si>
  <si>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</si>
  <si>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</si>
  <si>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</si>
  <si>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</si>
  <si>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</si>
  <si>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</si>
  <si>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</si>
  <si>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</si>
  <si>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</si>
  <si>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</si>
  <si>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</si>
  <si>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</si>
  <si>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</si>
  <si>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</si>
  <si>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</si>
  <si>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</si>
  <si>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</si>
  <si>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</si>
  <si>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</si>
  <si>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</si>
  <si>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</si>
  <si>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</si>
  <si>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</si>
  <si>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</si>
  <si>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</si>
  <si>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</si>
  <si>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</si>
  <si>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</si>
  <si>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</si>
  <si>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</si>
  <si>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</si>
  <si>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</si>
  <si>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</si>
  <si>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</si>
  <si>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</si>
  <si>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</si>
  <si>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</si>
  <si>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</si>
  <si>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</si>
  <si>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</si>
  <si>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</si>
  <si>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</si>
  <si>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</si>
  <si>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</si>
  <si>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</si>
  <si>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</si>
  <si>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</si>
  <si>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</si>
  <si>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</si>
  <si>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</si>
  <si>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</si>
  <si>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</si>
  <si>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</si>
  <si>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</si>
  <si>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</si>
  <si>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</si>
  <si>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</si>
  <si>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</si>
  <si>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</si>
  <si>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</si>
  <si>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</si>
  <si>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</si>
  <si>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</si>
  <si>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</si>
  <si>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</si>
  <si>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</si>
  <si>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</si>
  <si>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</si>
  <si>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</si>
  <si>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</si>
  <si>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</si>
  <si>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</si>
  <si>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</si>
  <si>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</si>
  <si>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</si>
  <si>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</si>
  <si>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</si>
  <si>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</si>
  <si>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</si>
  <si>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</si>
  <si>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</si>
  <si>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</si>
  <si>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</si>
  <si>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</si>
  <si>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</si>
  <si>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</si>
  <si>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</si>
  <si>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</si>
  <si>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</si>
  <si>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</si>
  <si>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</si>
  <si>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</si>
  <si>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</si>
  <si>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</si>
  <si>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</si>
  <si>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</si>
  <si>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</si>
  <si>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</si>
  <si>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</si>
  <si>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</si>
  <si>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</si>
  <si>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</si>
  <si>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</si>
  <si>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</si>
  <si>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</si>
  <si>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</si>
  <si>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</si>
  <si>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</si>
  <si>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</si>
  <si>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</si>
  <si>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</si>
  <si>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</si>
  <si>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</si>
  <si>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</si>
  <si>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</si>
  <si>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</si>
  <si>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</si>
  <si>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</si>
  <si>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</si>
  <si>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</si>
  <si>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</si>
  <si>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</si>
  <si>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</si>
  <si>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</si>
  <si>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</si>
  <si>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</si>
  <si>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</si>
  <si>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</si>
  <si>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</si>
  <si>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</si>
  <si>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</si>
  <si>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</si>
  <si>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</si>
  <si>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</si>
  <si>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</si>
  <si>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</si>
  <si>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</si>
  <si>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</si>
  <si>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</si>
  <si>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</si>
  <si>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</si>
  <si>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</si>
  <si>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</si>
  <si>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</si>
  <si>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</si>
  <si>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</si>
  <si>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</si>
  <si>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</si>
  <si>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</si>
  <si>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</si>
  <si>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</si>
  <si>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</si>
  <si>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</si>
  <si>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</si>
  <si>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</si>
  <si>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</si>
  <si>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</si>
  <si>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</si>
  <si>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</si>
  <si>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</si>
  <si>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</si>
  <si>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</si>
  <si>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</si>
  <si>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</si>
  <si>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</si>
  <si>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</si>
  <si>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</si>
  <si>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</si>
  <si>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</si>
  <si>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</si>
  <si>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</si>
  <si>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</si>
  <si>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</si>
  <si>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</si>
  <si>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</si>
  <si>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</si>
  <si>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</si>
  <si>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</si>
  <si>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</si>
  <si>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</si>
  <si>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</si>
  <si>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</si>
  <si>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</si>
  <si>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</si>
  <si>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</si>
  <si>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</si>
  <si>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</si>
  <si>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</si>
  <si>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</si>
  <si>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</si>
  <si>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</si>
  <si>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</si>
  <si>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</si>
  <si>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</si>
  <si>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</si>
  <si>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</si>
  <si>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</si>
  <si>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</si>
  <si>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</si>
  <si>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</si>
  <si>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</si>
  <si>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</si>
  <si>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</si>
  <si>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</si>
  <si>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</si>
  <si>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</si>
  <si>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</si>
  <si>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</si>
  <si>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</si>
  <si>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</si>
  <si>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</si>
  <si>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</si>
  <si>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</si>
  <si>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</si>
  <si>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</si>
  <si>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</si>
  <si>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</si>
  <si>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</si>
  <si>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</si>
  <si>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</si>
  <si>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</si>
  <si>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</si>
  <si>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</si>
  <si>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</si>
  <si>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</si>
  <si>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</si>
  <si>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</si>
  <si>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</si>
  <si>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</si>
  <si>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</si>
  <si>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</si>
  <si>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</si>
  <si>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</si>
  <si>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</si>
  <si>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</si>
  <si>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</si>
  <si>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</si>
  <si>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</si>
  <si>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</si>
  <si>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</si>
  <si>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</si>
  <si>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</si>
  <si>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</si>
  <si>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</si>
  <si>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</si>
  <si>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</si>
  <si>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</si>
  <si>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</si>
  <si>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</si>
  <si>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</si>
  <si>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</si>
  <si>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</si>
  <si>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</si>
  <si>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</si>
  <si>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</si>
  <si>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</si>
  <si>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</si>
  <si>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</si>
  <si>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</si>
  <si>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</si>
  <si>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</si>
  <si>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</si>
  <si>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</si>
  <si>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</si>
  <si>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</si>
  <si>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</si>
  <si>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</si>
  <si>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</si>
  <si>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</si>
  <si>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</si>
  <si>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</si>
  <si>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</si>
  <si>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</si>
  <si>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</si>
  <si>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</si>
  <si>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</si>
  <si>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</si>
  <si>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</si>
  <si>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</si>
  <si>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</si>
  <si>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</si>
  <si>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</si>
  <si>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</si>
  <si>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</si>
  <si>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</si>
  <si>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</si>
  <si>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</si>
  <si>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</si>
  <si>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</si>
  <si>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</si>
  <si>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</si>
  <si>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</si>
  <si>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</si>
  <si>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</si>
  <si>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</si>
  <si>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</si>
  <si>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</si>
  <si>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</si>
  <si>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</si>
  <si>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</si>
  <si>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</si>
  <si>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</si>
  <si>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</si>
  <si>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</si>
  <si>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</si>
  <si>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</si>
  <si>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</si>
  <si>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</si>
  <si>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</si>
  <si>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</si>
  <si>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</si>
  <si>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</si>
  <si>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</si>
  <si>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</si>
  <si>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</si>
  <si>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</si>
  <si>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</si>
  <si>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</si>
  <si>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</si>
  <si>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</si>
  <si>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</si>
  <si>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</si>
  <si>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</si>
  <si>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</si>
  <si>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</si>
  <si>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</si>
  <si>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</si>
  <si>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</si>
  <si>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</si>
  <si>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</si>
  <si>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</si>
  <si>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</si>
  <si>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</si>
  <si>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</si>
  <si>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</si>
  <si>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</si>
  <si>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</si>
  <si>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</si>
  <si>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</si>
  <si>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</si>
  <si>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</si>
  <si>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</si>
  <si>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</si>
  <si>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</si>
  <si>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</si>
  <si>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</si>
  <si>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</si>
  <si>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</si>
  <si>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</si>
  <si>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</si>
  <si>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</si>
  <si>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</si>
  <si>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</si>
  <si>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</si>
  <si>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</si>
  <si>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</si>
  <si>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</si>
  <si>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</si>
  <si>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</si>
  <si>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</si>
  <si>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</si>
  <si>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</si>
  <si>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</si>
  <si>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</si>
  <si>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</si>
  <si>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</si>
  <si>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</si>
  <si>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</si>
  <si>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</si>
  <si>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</si>
  <si>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</si>
  <si>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</si>
  <si>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</si>
  <si>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</si>
  <si>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</si>
  <si>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</si>
  <si>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</si>
  <si>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</si>
  <si>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</si>
  <si>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</si>
  <si>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</si>
  <si>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</si>
  <si>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</si>
  <si>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</si>
  <si>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</si>
  <si>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</si>
  <si>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</si>
  <si>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</si>
  <si>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</si>
  <si>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</si>
  <si>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</si>
  <si>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</si>
  <si>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</si>
  <si>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</si>
  <si>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</si>
  <si>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</si>
  <si>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</si>
  <si>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</si>
  <si>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</si>
  <si>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</si>
  <si>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</si>
  <si>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</si>
  <si>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</si>
  <si>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</si>
  <si>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</si>
  <si>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</si>
  <si>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</si>
  <si>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</si>
  <si>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</si>
  <si>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</si>
  <si>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</si>
  <si>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</si>
  <si>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</si>
  <si>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</si>
  <si>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</si>
  <si>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</si>
  <si>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</si>
  <si>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</si>
  <si>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</si>
  <si>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</si>
  <si>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</si>
  <si>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</si>
  <si>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</si>
  <si>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</si>
  <si>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</si>
  <si>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6/1/2018 est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</si>
  <si>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</si>
  <si>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</si>
  <si>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</si>
  <si>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</si>
  <si>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</si>
  <si>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</si>
  <si>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</si>
  <si>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</si>
  <si>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</si>
  <si>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</si>
  <si>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</si>
  <si>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</si>
  <si>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</si>
  <si>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</si>
  <si>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</si>
  <si>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</si>
  <si>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</si>
  <si>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</si>
  <si>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</si>
  <si>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</si>
  <si>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</si>
  <si>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</si>
  <si>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</si>
  <si>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</si>
  <si>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</si>
  <si>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</si>
  <si>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</si>
  <si>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</si>
  <si>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</si>
  <si>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</si>
  <si>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</si>
  <si>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</si>
  <si>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</si>
  <si>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</si>
  <si>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</si>
  <si>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</si>
  <si>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</si>
  <si>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</si>
  <si>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</si>
  <si>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</si>
  <si>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</si>
  <si>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</si>
  <si>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</si>
  <si>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</si>
  <si>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</si>
  <si>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</si>
  <si>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</si>
  <si>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</si>
  <si>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</si>
  <si>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</si>
  <si>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</si>
  <si>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</si>
  <si>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</si>
  <si>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</si>
  <si>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6/28/2018 PM</t>
  </si>
  <si>
    <t>6/21/2018 PM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</si>
  <si>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</si>
  <si>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</si>
  <si>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</si>
  <si>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</si>
  <si>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</si>
  <si>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</si>
  <si>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</si>
  <si>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6/27/2018 PM</t>
  </si>
  <si>
    <t>Need look at debt closely</t>
  </si>
  <si>
    <t>HollyFrontier, Broadridge to replace Acuity Brands, Range Resources in S&amp;P 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</si>
</sst>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0" fillId="0" borderId="0" xfId="3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80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08"/>
      <tableStyleElement type="headerRow" dxfId="2807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Balance!$B$2:$B$851</c:f>
              <c:numCache>
                <c:formatCode>m/d/yyyy</c:formatCode>
                <c:ptCount val="8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</c:numCache>
            </c:numRef>
          </c:xVal>
          <c:yVal>
            <c:numRef>
              <c:f>Balance!$I$2:$I$853</c:f>
              <c:numCache>
                <c:formatCode>0.00</c:formatCode>
                <c:ptCount val="8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207624"/>
        <c:axId val="362206840"/>
      </c:scatterChart>
      <c:valAx>
        <c:axId val="362207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206840"/>
        <c:crosses val="autoZero"/>
        <c:crossBetween val="midCat"/>
      </c:valAx>
      <c:valAx>
        <c:axId val="36220684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207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</c:numCache>
            </c:numRef>
          </c:xVal>
          <c:yVal>
            <c:numRef>
              <c:f>Balance!$M$2:$M$742</c:f>
              <c:numCache>
                <c:formatCode>0.00</c:formatCode>
                <c:ptCount val="74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204488"/>
        <c:axId val="362204880"/>
      </c:scatterChart>
      <c:valAx>
        <c:axId val="362204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204880"/>
        <c:crosses val="autoZero"/>
        <c:crossBetween val="midCat"/>
      </c:valAx>
      <c:valAx>
        <c:axId val="36220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20448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Balance!$B$2:$B$992</c:f>
              <c:numCache>
                <c:formatCode>m/d/yyyy</c:formatCode>
                <c:ptCount val="99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</c:numCache>
            </c:numRef>
          </c:xVal>
          <c:yVal>
            <c:numRef>
              <c:f>Balance!$C$2:$C$994</c:f>
              <c:numCache>
                <c:formatCode>0.00</c:formatCode>
                <c:ptCount val="993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145104"/>
        <c:axId val="454146672"/>
      </c:scatterChart>
      <c:valAx>
        <c:axId val="454145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146672"/>
        <c:crosses val="autoZero"/>
        <c:crossBetween val="midCat"/>
      </c:valAx>
      <c:valAx>
        <c:axId val="45414667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145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</c:numCache>
            </c:numRef>
          </c:xVal>
          <c:yVal>
            <c:numRef>
              <c:f>Balance!$Q$2:$Q$745</c:f>
              <c:numCache>
                <c:formatCode>0.00%</c:formatCode>
                <c:ptCount val="7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140792"/>
        <c:axId val="454140008"/>
      </c:scatterChart>
      <c:valAx>
        <c:axId val="454140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140008"/>
        <c:crosses val="autoZero"/>
        <c:crossBetween val="midCat"/>
      </c:valAx>
      <c:valAx>
        <c:axId val="45414000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140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</c:numCache>
            </c:numRef>
          </c:xVal>
          <c:yVal>
            <c:numRef>
              <c:f>Balance!$W$2:$W$796</c:f>
              <c:numCache>
                <c:formatCode>0.00%</c:formatCode>
                <c:ptCount val="795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142752"/>
        <c:axId val="454146280"/>
      </c:scatterChart>
      <c:valAx>
        <c:axId val="454142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146280"/>
        <c:crosses val="autoZero"/>
        <c:crossBetween val="midCat"/>
      </c:valAx>
      <c:valAx>
        <c:axId val="454146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14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</c:numCache>
            </c:numRef>
          </c:xVal>
          <c:yVal>
            <c:numRef>
              <c:f>Balance!$Y$2:$Y$746</c:f>
              <c:numCache>
                <c:formatCode>0.00</c:formatCode>
                <c:ptCount val="745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145496"/>
        <c:axId val="454143144"/>
      </c:scatterChart>
      <c:valAx>
        <c:axId val="454145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143144"/>
        <c:crosses val="autoZero"/>
        <c:crossBetween val="midCat"/>
      </c:valAx>
      <c:valAx>
        <c:axId val="45414314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145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</c:numCache>
            </c:numRef>
          </c:xVal>
          <c:yVal>
            <c:numRef>
              <c:f>Balance!$S$2:$S$796</c:f>
              <c:numCache>
                <c:formatCode>0.00%</c:formatCode>
                <c:ptCount val="795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145888"/>
        <c:axId val="454144320"/>
      </c:scatterChart>
      <c:valAx>
        <c:axId val="45414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144320"/>
        <c:crosses val="autoZero"/>
        <c:crossBetween val="midCat"/>
      </c:valAx>
      <c:valAx>
        <c:axId val="454144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14588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</c:numCache>
            </c:numRef>
          </c:xVal>
          <c:yVal>
            <c:numRef>
              <c:f>Balance!$Z$3:$Z$697</c:f>
              <c:numCache>
                <c:formatCode>0.00</c:formatCode>
                <c:ptCount val="695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140400"/>
        <c:axId val="454147064"/>
      </c:scatterChart>
      <c:valAx>
        <c:axId val="454140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147064"/>
        <c:crosses val="autoZero"/>
        <c:crossBetween val="midCat"/>
      </c:valAx>
      <c:valAx>
        <c:axId val="45414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140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817864"/>
        <c:axId val="463817080"/>
      </c:lineChart>
      <c:dateAx>
        <c:axId val="463817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17080"/>
        <c:crosses val="autoZero"/>
        <c:auto val="1"/>
        <c:lblOffset val="100"/>
        <c:baseTimeUnit val="days"/>
      </c:dateAx>
      <c:valAx>
        <c:axId val="4638170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17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814728"/>
        <c:axId val="463815512"/>
      </c:lineChart>
      <c:dateAx>
        <c:axId val="463814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15512"/>
        <c:crosses val="autoZero"/>
        <c:auto val="1"/>
        <c:lblOffset val="100"/>
        <c:baseTimeUnit val="days"/>
      </c:dateAx>
      <c:valAx>
        <c:axId val="46381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1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878144"/>
        <c:axId val="452882848"/>
      </c:lineChart>
      <c:dateAx>
        <c:axId val="452878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82848"/>
        <c:crosses val="autoZero"/>
        <c:auto val="1"/>
        <c:lblOffset val="100"/>
        <c:baseTimeUnit val="days"/>
      </c:dateAx>
      <c:valAx>
        <c:axId val="4528828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7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883632"/>
        <c:axId val="452878928"/>
      </c:lineChart>
      <c:dateAx>
        <c:axId val="452883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78928"/>
        <c:crosses val="autoZero"/>
        <c:auto val="1"/>
        <c:lblOffset val="100"/>
        <c:baseTimeUnit val="days"/>
      </c:dateAx>
      <c:valAx>
        <c:axId val="4528789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6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</c:strCache>
            </c:strRef>
          </c:cat>
          <c:val>
            <c:numRef>
              <c:f>KR!$E$64:$E$154</c:f>
              <c:numCache>
                <c:formatCode>0.00</c:formatCode>
                <c:ptCount val="9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6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</c:strCache>
            </c:strRef>
          </c:cat>
          <c:val>
            <c:numRef>
              <c:f>KR!$D$64:$D$154</c:f>
              <c:numCache>
                <c:formatCode>0.00</c:formatCode>
                <c:ptCount val="9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9689552"/>
        <c:axId val="469695040"/>
      </c:lineChart>
      <c:catAx>
        <c:axId val="469689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695040"/>
        <c:crosses val="autoZero"/>
        <c:auto val="1"/>
        <c:lblAlgn val="ctr"/>
        <c:lblOffset val="100"/>
        <c:noMultiLvlLbl val="0"/>
      </c:catAx>
      <c:valAx>
        <c:axId val="469695040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68955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693080"/>
        <c:axId val="469694256"/>
      </c:lineChart>
      <c:dateAx>
        <c:axId val="469693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694256"/>
        <c:crosses val="autoZero"/>
        <c:auto val="1"/>
        <c:lblOffset val="100"/>
        <c:baseTimeUnit val="days"/>
      </c:dateAx>
      <c:valAx>
        <c:axId val="4696942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693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53912"/>
        <c:axId val="469053520"/>
      </c:lineChart>
      <c:catAx>
        <c:axId val="469053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53520"/>
        <c:crosses val="autoZero"/>
        <c:auto val="1"/>
        <c:lblAlgn val="ctr"/>
        <c:lblOffset val="100"/>
        <c:noMultiLvlLbl val="0"/>
      </c:catAx>
      <c:valAx>
        <c:axId val="4690535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53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49600"/>
        <c:axId val="469052736"/>
      </c:lineChart>
      <c:catAx>
        <c:axId val="469049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52736"/>
        <c:crosses val="autoZero"/>
        <c:auto val="1"/>
        <c:lblAlgn val="ctr"/>
        <c:lblOffset val="100"/>
        <c:noMultiLvlLbl val="0"/>
      </c:catAx>
      <c:valAx>
        <c:axId val="4690527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4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016296"/>
        <c:axId val="536013160"/>
      </c:lineChart>
      <c:dateAx>
        <c:axId val="536016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13160"/>
        <c:crosses val="autoZero"/>
        <c:auto val="1"/>
        <c:lblOffset val="100"/>
        <c:baseTimeUnit val="days"/>
      </c:dateAx>
      <c:valAx>
        <c:axId val="5360131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16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012376"/>
        <c:axId val="536014728"/>
      </c:lineChart>
      <c:dateAx>
        <c:axId val="536012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14728"/>
        <c:crosses val="autoZero"/>
        <c:auto val="1"/>
        <c:lblOffset val="100"/>
        <c:baseTimeUnit val="days"/>
      </c:dateAx>
      <c:valAx>
        <c:axId val="53601472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12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010808"/>
        <c:axId val="536017472"/>
      </c:lineChart>
      <c:dateAx>
        <c:axId val="536010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17472"/>
        <c:crosses val="autoZero"/>
        <c:auto val="1"/>
        <c:lblOffset val="100"/>
        <c:baseTimeUnit val="days"/>
      </c:dateAx>
      <c:valAx>
        <c:axId val="5360174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10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NWL!$C$26</c:f>
              <c:strCache>
                <c:ptCount val="1"/>
                <c:pt idx="0">
                  <c:v>shares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NWL!$B$27:$B$70</c:f>
              <c:numCache>
                <c:formatCode>d\-mmm</c:formatCode>
                <c:ptCount val="4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</c:numCache>
            </c:numRef>
          </c:cat>
          <c:val>
            <c:numRef>
              <c:f>NWL!$E$27:$E$70</c:f>
              <c:numCache>
                <c:formatCode>0.00</c:formatCode>
                <c:ptCount val="44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NWL!$D$26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NWL!$B$27:$B$70</c:f>
              <c:numCache>
                <c:formatCode>d\-mmm</c:formatCode>
                <c:ptCount val="4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</c:numCache>
            </c:numRef>
          </c:cat>
          <c:val>
            <c:numRef>
              <c:f>NWL!$D$27:$D$70</c:f>
              <c:numCache>
                <c:formatCode>0.00</c:formatCode>
                <c:ptCount val="44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8492240"/>
        <c:axId val="538485184"/>
      </c:lineChart>
      <c:dateAx>
        <c:axId val="538492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85184"/>
        <c:crosses val="autoZero"/>
        <c:auto val="1"/>
        <c:lblOffset val="100"/>
        <c:baseTimeUnit val="days"/>
      </c:dateAx>
      <c:valAx>
        <c:axId val="53848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9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488712"/>
        <c:axId val="538487144"/>
      </c:lineChart>
      <c:dateAx>
        <c:axId val="538488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87144"/>
        <c:crosses val="autoZero"/>
        <c:auto val="1"/>
        <c:lblOffset val="100"/>
        <c:baseTimeUnit val="days"/>
      </c:dateAx>
      <c:valAx>
        <c:axId val="5384871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88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489104"/>
        <c:axId val="538489496"/>
      </c:lineChart>
      <c:catAx>
        <c:axId val="538489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89496"/>
        <c:crosses val="autoZero"/>
        <c:auto val="1"/>
        <c:lblAlgn val="ctr"/>
        <c:lblOffset val="100"/>
        <c:noMultiLvlLbl val="0"/>
      </c:catAx>
      <c:valAx>
        <c:axId val="5384894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8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701880"/>
        <c:axId val="556696000"/>
      </c:lineChart>
      <c:catAx>
        <c:axId val="556701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696000"/>
        <c:crosses val="autoZero"/>
        <c:auto val="1"/>
        <c:lblAlgn val="ctr"/>
        <c:lblOffset val="100"/>
        <c:noMultiLvlLbl val="0"/>
      </c:catAx>
      <c:valAx>
        <c:axId val="55669600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701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703056"/>
        <c:axId val="556696392"/>
      </c:lineChart>
      <c:dateAx>
        <c:axId val="556703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696392"/>
        <c:crosses val="autoZero"/>
        <c:auto val="1"/>
        <c:lblOffset val="100"/>
        <c:baseTimeUnit val="days"/>
      </c:dateAx>
      <c:valAx>
        <c:axId val="55669639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70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778192"/>
        <c:axId val="557778584"/>
      </c:lineChart>
      <c:dateAx>
        <c:axId val="557778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778584"/>
        <c:crosses val="autoZero"/>
        <c:auto val="1"/>
        <c:lblOffset val="100"/>
        <c:baseTimeUnit val="days"/>
      </c:dateAx>
      <c:valAx>
        <c:axId val="55777858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77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783288"/>
        <c:axId val="557782504"/>
      </c:lineChart>
      <c:catAx>
        <c:axId val="557783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782504"/>
        <c:crosses val="autoZero"/>
        <c:auto val="1"/>
        <c:lblAlgn val="ctr"/>
        <c:lblOffset val="100"/>
        <c:noMultiLvlLbl val="0"/>
      </c:catAx>
      <c:valAx>
        <c:axId val="55778250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783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786816"/>
        <c:axId val="557782112"/>
      </c:lineChart>
      <c:dateAx>
        <c:axId val="5577868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782112"/>
        <c:crosses val="autoZero"/>
        <c:auto val="1"/>
        <c:lblOffset val="100"/>
        <c:baseTimeUnit val="days"/>
      </c:dateAx>
      <c:valAx>
        <c:axId val="55778211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78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10" Type="http://schemas.openxmlformats.org/officeDocument/2006/relationships/image" Target="../media/image15.png"/><Relationship Id="rId4" Type="http://schemas.openxmlformats.org/officeDocument/2006/relationships/image" Target="../media/image10.gif"/><Relationship Id="rId9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8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1036879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276225</xdr:colOff>
      <xdr:row>39</xdr:row>
      <xdr:rowOff>142875</xdr:rowOff>
    </xdr:from>
    <xdr:to>
      <xdr:col>20</xdr:col>
      <xdr:colOff>2876549</xdr:colOff>
      <xdr:row>65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6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5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backgroundRefresh="0" connectionId="6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vs" backgroundRefresh="0" connectionId="7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JNJ" backgroundRefresh="0" connectionId="6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HES" backgroundRefresh="0" adjustColumnWidth="0" connectionId="6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nclh" backgroundRefresh="0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nclh" backgroundRefresh="0" connectionId="6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806" dataDxfId="2805">
  <autoFilter ref="O15:W26"/>
  <tableColumns count="9">
    <tableColumn id="1" name="Date" dataDxfId="2804"/>
    <tableColumn id="2" name="Quarter" dataDxfId="2803"/>
    <tableColumn id="3" name="Time" dataDxfId="2802"/>
    <tableColumn id="4" name="EPS estimate" dataDxfId="2801"/>
    <tableColumn id="5" name="EPS Actual" dataDxfId="2800"/>
    <tableColumn id="6" name="Sales Estiamte (B)" dataDxfId="2799"/>
    <tableColumn id="7" name="Sales Actual (B)" dataDxfId="2798"/>
    <tableColumn id="8" name="Guidance" dataDxfId="2797"/>
    <tableColumn id="9" name="Reaction" dataDxfId="279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3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5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27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6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3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2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3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6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7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8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0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1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7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2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3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4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6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68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97"/>
  <sheetViews>
    <sheetView zoomScaleNormal="100" workbookViewId="0">
      <pane ySplit="1" topLeftCell="A2" activePane="bottomLeft" state="frozen"/>
      <selection pane="bottomLeft" activeCell="Y14" sqref="Y14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58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44" bestFit="1" customWidth="1"/>
    <col min="15" max="15" width="9.140625" style="771" bestFit="1" customWidth="1"/>
    <col min="16" max="16" width="12.85546875" style="134" customWidth="1"/>
    <col min="17" max="17" width="10.28515625" style="48" bestFit="1" customWidth="1"/>
    <col min="18" max="18" width="9.140625" style="771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57" t="s">
        <v>180</v>
      </c>
      <c r="K1" s="346" t="s">
        <v>207</v>
      </c>
      <c r="L1" s="57" t="s">
        <v>178</v>
      </c>
      <c r="M1" s="57" t="s">
        <v>230</v>
      </c>
      <c r="N1" s="842" t="s">
        <v>948</v>
      </c>
      <c r="O1" s="346" t="s">
        <v>206</v>
      </c>
      <c r="P1" s="346" t="s">
        <v>279</v>
      </c>
      <c r="Q1" s="357" t="s">
        <v>975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91"/>
      <c r="E2" s="22" t="s">
        <v>195</v>
      </c>
      <c r="F2" s="2">
        <v>25.54</v>
      </c>
      <c r="G2" s="783">
        <v>27.788010000000007</v>
      </c>
      <c r="H2" s="791">
        <v>2000</v>
      </c>
      <c r="I2" s="783">
        <v>55576.020000000011</v>
      </c>
      <c r="J2" s="358">
        <v>-4496.0200000000186</v>
      </c>
      <c r="K2" s="134">
        <v>-8.0898560206362644E-2</v>
      </c>
      <c r="L2" s="358">
        <v>-2748.0500000000247</v>
      </c>
      <c r="M2">
        <v>1500</v>
      </c>
      <c r="N2" s="843">
        <v>43272</v>
      </c>
      <c r="O2" s="770">
        <v>1.9577133907595929E-2</v>
      </c>
      <c r="P2" s="736">
        <v>7.1000000000000004E-3</v>
      </c>
      <c r="Q2" s="783">
        <v>12.458536585365854</v>
      </c>
      <c r="R2" s="770"/>
      <c r="S2" s="736"/>
      <c r="U2" s="48"/>
    </row>
    <row r="3" spans="1:41" ht="21.95" customHeight="1" x14ac:dyDescent="0.25">
      <c r="A3" s="50"/>
      <c r="B3" s="50"/>
      <c r="C3" s="51"/>
      <c r="D3" s="791"/>
      <c r="E3" s="22" t="s">
        <v>736</v>
      </c>
      <c r="F3" s="2">
        <v>64.059899999999999</v>
      </c>
      <c r="G3" s="783">
        <v>66.632166666666677</v>
      </c>
      <c r="H3" s="791">
        <v>300</v>
      </c>
      <c r="I3" s="783">
        <v>19989.650000000001</v>
      </c>
      <c r="J3" s="358">
        <v>-771.68000000000029</v>
      </c>
      <c r="K3" s="134">
        <v>-3.8603977558386633E-2</v>
      </c>
      <c r="L3" s="358">
        <v>-771.68000000000029</v>
      </c>
      <c r="M3">
        <v>300</v>
      </c>
      <c r="N3" s="843" t="s">
        <v>1121</v>
      </c>
      <c r="O3" s="770">
        <v>2.4976623441497724E-2</v>
      </c>
      <c r="P3" s="736">
        <v>1.04E-2</v>
      </c>
      <c r="Q3" s="783">
        <v>10.76636974789916</v>
      </c>
      <c r="R3" s="770"/>
    </row>
    <row r="4" spans="1:41" ht="21.95" customHeight="1" x14ac:dyDescent="0.25">
      <c r="A4" s="51"/>
      <c r="B4" s="51"/>
      <c r="C4" s="51"/>
      <c r="D4" s="791"/>
      <c r="E4" s="22" t="s">
        <v>825</v>
      </c>
      <c r="F4" s="2">
        <v>22.22</v>
      </c>
      <c r="G4" s="783">
        <v>29.137650000000008</v>
      </c>
      <c r="H4" s="749">
        <v>600</v>
      </c>
      <c r="I4" s="783">
        <v>17482.590000000004</v>
      </c>
      <c r="J4" s="358">
        <v>-4150.5900000000038</v>
      </c>
      <c r="K4" s="134">
        <v>-0.23741276321185845</v>
      </c>
      <c r="L4" s="783">
        <v>-4150.5900000000038</v>
      </c>
      <c r="M4">
        <v>600</v>
      </c>
      <c r="N4" s="843" t="s">
        <v>1122</v>
      </c>
      <c r="O4" s="770">
        <v>4.6804680468046811E-2</v>
      </c>
      <c r="P4" s="736">
        <v>2.0199999999999999E-2</v>
      </c>
      <c r="Q4" s="820">
        <v>13.070588235294117</v>
      </c>
      <c r="R4" s="770"/>
      <c r="S4" s="48"/>
      <c r="T4" s="48"/>
      <c r="V4" s="48"/>
    </row>
    <row r="5" spans="1:41" ht="21.95" customHeight="1" x14ac:dyDescent="0.25">
      <c r="A5" s="50"/>
      <c r="B5" s="50"/>
      <c r="C5" s="51"/>
      <c r="D5" s="791"/>
      <c r="E5" s="22" t="s">
        <v>920</v>
      </c>
      <c r="F5" s="2">
        <v>119.1099</v>
      </c>
      <c r="G5" s="783">
        <v>131.58370000000002</v>
      </c>
      <c r="H5" s="749">
        <v>100</v>
      </c>
      <c r="I5" s="783">
        <v>13158.370000000003</v>
      </c>
      <c r="J5" s="358">
        <v>-1247.380000000001</v>
      </c>
      <c r="K5" s="134">
        <v>-9.479745591589249E-2</v>
      </c>
      <c r="L5" s="358">
        <v>-1247.380000000001</v>
      </c>
      <c r="M5">
        <v>100</v>
      </c>
      <c r="N5" s="843"/>
      <c r="O5" s="770">
        <v>4.3657160320006985E-3</v>
      </c>
      <c r="P5" s="736">
        <v>-2.24E-2</v>
      </c>
      <c r="Q5" s="783">
        <v>13.817853828306266</v>
      </c>
      <c r="R5" s="770"/>
      <c r="S5" s="736"/>
      <c r="T5" s="48"/>
      <c r="U5" s="48"/>
      <c r="X5"/>
      <c r="Y5"/>
      <c r="Z5"/>
      <c r="AA5" s="2"/>
      <c r="AB5"/>
      <c r="AC5"/>
      <c r="AD5" s="2"/>
      <c r="AE5"/>
      <c r="AF5"/>
      <c r="AG5" s="2"/>
      <c r="AH5"/>
      <c r="AI5" s="2"/>
      <c r="AJ5"/>
      <c r="AK5"/>
      <c r="AL5"/>
      <c r="AM5"/>
      <c r="AN5"/>
      <c r="AO5"/>
    </row>
    <row r="6" spans="1:41" ht="21.95" customHeight="1" x14ac:dyDescent="0.25">
      <c r="A6" s="50"/>
      <c r="B6" s="50"/>
      <c r="C6" s="51"/>
      <c r="D6" s="791"/>
      <c r="E6" s="22" t="s">
        <v>173</v>
      </c>
      <c r="F6" s="2">
        <v>55.51</v>
      </c>
      <c r="G6" s="783">
        <v>52.084920000000011</v>
      </c>
      <c r="H6" s="791">
        <v>250</v>
      </c>
      <c r="I6" s="783">
        <v>13021.230000000003</v>
      </c>
      <c r="J6" s="358">
        <v>856.2699999999968</v>
      </c>
      <c r="K6" s="134">
        <v>6.5759532701595513E-2</v>
      </c>
      <c r="L6" s="358">
        <v>2460.8499999999985</v>
      </c>
      <c r="M6">
        <v>40</v>
      </c>
      <c r="N6" s="843" t="s">
        <v>1128</v>
      </c>
      <c r="O6" s="770">
        <v>2.8103044496487123E-2</v>
      </c>
      <c r="P6" s="736">
        <v>-3.0999999999999999E-3</v>
      </c>
      <c r="Q6" s="783">
        <v>12.280973451327434</v>
      </c>
      <c r="R6" s="770"/>
      <c r="S6" s="48"/>
      <c r="T6" s="48"/>
      <c r="V6" s="48"/>
      <c r="X6"/>
      <c r="Y6"/>
      <c r="Z6"/>
      <c r="AA6" s="2"/>
      <c r="AB6"/>
      <c r="AC6"/>
      <c r="AD6" s="2"/>
      <c r="AE6"/>
      <c r="AF6"/>
      <c r="AG6" s="2"/>
      <c r="AH6"/>
      <c r="AI6" s="2"/>
      <c r="AJ6"/>
      <c r="AK6"/>
      <c r="AL6"/>
      <c r="AM6"/>
      <c r="AN6"/>
      <c r="AO6"/>
    </row>
    <row r="7" spans="1:41" ht="21.95" customHeight="1" x14ac:dyDescent="0.25">
      <c r="A7" s="50"/>
      <c r="B7" s="50"/>
      <c r="C7" s="51"/>
      <c r="D7" s="791"/>
      <c r="E7" s="22" t="s">
        <v>175</v>
      </c>
      <c r="F7" s="2">
        <v>278.56</v>
      </c>
      <c r="G7" s="783">
        <v>256.39640000000009</v>
      </c>
      <c r="H7" s="749">
        <v>50</v>
      </c>
      <c r="I7" s="783">
        <v>12819.820000000003</v>
      </c>
      <c r="J7" s="358">
        <v>1108.1799999999967</v>
      </c>
      <c r="K7" s="134">
        <v>8.6442711364121766E-2</v>
      </c>
      <c r="L7" s="783">
        <v>1269.0099999999966</v>
      </c>
      <c r="M7">
        <v>50</v>
      </c>
      <c r="N7" s="843"/>
      <c r="O7" s="770">
        <v>1.84E-2</v>
      </c>
      <c r="P7" s="736">
        <v>1.2999999999999999E-3</v>
      </c>
      <c r="Q7" s="783">
        <v>17</v>
      </c>
      <c r="R7" s="770"/>
      <c r="S7" s="48"/>
      <c r="T7" s="48"/>
    </row>
    <row r="8" spans="1:41" ht="21.95" customHeight="1" x14ac:dyDescent="0.25">
      <c r="A8" s="50"/>
      <c r="B8" s="50"/>
      <c r="C8" s="51"/>
      <c r="D8" s="791"/>
      <c r="E8" s="22" t="s">
        <v>174</v>
      </c>
      <c r="F8" s="2">
        <v>25.5899</v>
      </c>
      <c r="G8" s="783">
        <v>33.588315789473661</v>
      </c>
      <c r="H8" s="791">
        <v>380</v>
      </c>
      <c r="I8" s="783">
        <v>12763.55999999999</v>
      </c>
      <c r="J8" s="358">
        <v>-3039.3979999999901</v>
      </c>
      <c r="K8" s="134">
        <v>-0.23813089764924467</v>
      </c>
      <c r="L8" s="358">
        <v>-2964.3779999999902</v>
      </c>
      <c r="M8">
        <v>260</v>
      </c>
      <c r="N8" s="843"/>
      <c r="O8" s="770">
        <v>3.5951684062852922E-2</v>
      </c>
      <c r="P8" s="736">
        <v>3.6900000000000002E-2</v>
      </c>
      <c r="Q8" s="820">
        <v>9.5842322097378272</v>
      </c>
      <c r="R8" s="770"/>
      <c r="V8" s="48"/>
    </row>
    <row r="9" spans="1:41" ht="21.95" customHeight="1" x14ac:dyDescent="0.25">
      <c r="A9" s="50"/>
      <c r="B9" s="50"/>
      <c r="C9" s="51"/>
      <c r="D9" s="791"/>
      <c r="E9" s="22" t="s">
        <v>50</v>
      </c>
      <c r="F9" s="2">
        <v>21.47</v>
      </c>
      <c r="G9" s="783">
        <v>6.1518647058823088</v>
      </c>
      <c r="H9" s="749">
        <v>1700</v>
      </c>
      <c r="I9" s="783">
        <v>10458.169999999925</v>
      </c>
      <c r="J9" s="358">
        <v>26040.830000000075</v>
      </c>
      <c r="K9" s="134">
        <v>2.489998728267016</v>
      </c>
      <c r="L9" s="358">
        <v>40656.401000001701</v>
      </c>
      <c r="M9">
        <v>700</v>
      </c>
      <c r="N9" s="843" t="s">
        <v>1127</v>
      </c>
      <c r="O9" s="770">
        <v>9.3153237074988359E-3</v>
      </c>
      <c r="P9" s="736">
        <v>2.29E-2</v>
      </c>
      <c r="Q9" s="783">
        <v>34.079365079365076</v>
      </c>
      <c r="R9" s="770"/>
      <c r="S9" s="48"/>
      <c r="T9" s="48"/>
      <c r="V9" s="48"/>
    </row>
    <row r="10" spans="1:41" ht="21.95" customHeight="1" x14ac:dyDescent="0.25">
      <c r="A10" s="50"/>
      <c r="B10" s="50"/>
      <c r="C10" s="50"/>
      <c r="D10" s="791"/>
      <c r="E10" s="22" t="s">
        <v>960</v>
      </c>
      <c r="F10" s="2">
        <v>32</v>
      </c>
      <c r="G10" s="783">
        <v>33.130133333333333</v>
      </c>
      <c r="H10" s="791">
        <v>300</v>
      </c>
      <c r="I10" s="783">
        <v>9939.0400000000009</v>
      </c>
      <c r="J10" s="358">
        <v>-339.04000000000087</v>
      </c>
      <c r="K10" s="134">
        <v>-3.4111946425409288E-2</v>
      </c>
      <c r="L10" s="358">
        <v>-339.04000000000087</v>
      </c>
      <c r="M10">
        <v>300</v>
      </c>
      <c r="N10" s="843"/>
      <c r="O10" s="770">
        <v>1.9900000000000001E-2</v>
      </c>
      <c r="P10" s="736">
        <v>-2.5000000000000001E-3</v>
      </c>
      <c r="Q10" s="783">
        <v>12.8</v>
      </c>
      <c r="R10" s="770"/>
    </row>
    <row r="11" spans="1:41" ht="21.95" customHeight="1" x14ac:dyDescent="0.25">
      <c r="A11" s="50"/>
      <c r="B11" s="50"/>
      <c r="C11" s="51"/>
      <c r="D11" s="791"/>
      <c r="E11" s="22" t="s">
        <v>966</v>
      </c>
      <c r="F11" s="2">
        <v>43.399900000000002</v>
      </c>
      <c r="G11" s="783">
        <v>49.396250000000002</v>
      </c>
      <c r="H11" s="791">
        <v>200</v>
      </c>
      <c r="I11" s="783">
        <v>9879.25</v>
      </c>
      <c r="J11" s="358">
        <v>-1199.2700000000004</v>
      </c>
      <c r="K11" s="134">
        <v>-0.12139281828073992</v>
      </c>
      <c r="L11" s="358">
        <v>-1199.2700000000004</v>
      </c>
      <c r="M11">
        <v>200</v>
      </c>
      <c r="N11" s="843"/>
      <c r="O11" s="770">
        <v>1.9900000000000001E-2</v>
      </c>
      <c r="P11" s="736">
        <v>1.0200000000000001E-2</v>
      </c>
      <c r="Q11" s="820">
        <v>16.692269230769231</v>
      </c>
      <c r="R11" s="770"/>
    </row>
    <row r="12" spans="1:41" ht="21.95" customHeight="1" x14ac:dyDescent="0.25">
      <c r="A12" s="50"/>
      <c r="B12" s="50"/>
      <c r="C12" s="51"/>
      <c r="D12" s="791"/>
      <c r="E12" s="22" t="s">
        <v>14</v>
      </c>
      <c r="F12" s="2">
        <v>58.25</v>
      </c>
      <c r="G12" s="783">
        <v>59.84</v>
      </c>
      <c r="H12" s="791">
        <v>150</v>
      </c>
      <c r="I12" s="783">
        <v>8976</v>
      </c>
      <c r="J12" s="358">
        <v>-238.5</v>
      </c>
      <c r="K12" s="134">
        <v>-2.6570855614973316E-2</v>
      </c>
      <c r="L12" s="783">
        <v>-238.5</v>
      </c>
      <c r="M12">
        <v>150</v>
      </c>
      <c r="N12" s="843">
        <v>43307</v>
      </c>
      <c r="O12" s="770">
        <v>4.5321888412017168E-2</v>
      </c>
      <c r="P12" s="736">
        <v>9.4000000000000004E-3</v>
      </c>
      <c r="Q12" s="783">
        <v>14.691046658259774</v>
      </c>
      <c r="R12" s="770"/>
      <c r="U12" s="48"/>
    </row>
    <row r="13" spans="1:41" ht="21.95" customHeight="1" x14ac:dyDescent="0.25">
      <c r="A13" s="50"/>
      <c r="B13" s="50"/>
      <c r="C13" s="51"/>
      <c r="D13" s="791"/>
      <c r="E13" s="22" t="s">
        <v>171</v>
      </c>
      <c r="F13" s="2">
        <v>44.42</v>
      </c>
      <c r="G13" s="783">
        <v>52.35306666666667</v>
      </c>
      <c r="H13" s="749">
        <v>150</v>
      </c>
      <c r="I13" s="821">
        <v>7852.9600000000009</v>
      </c>
      <c r="J13" s="358">
        <v>-1189.9599999999991</v>
      </c>
      <c r="K13" s="134">
        <v>-0.15153012367311183</v>
      </c>
      <c r="L13" s="358">
        <v>-1140.0099999999993</v>
      </c>
      <c r="M13">
        <v>150</v>
      </c>
      <c r="N13" s="843" t="s">
        <v>1130</v>
      </c>
      <c r="O13" s="770">
        <v>4.4124268347591172E-2</v>
      </c>
      <c r="P13" s="736">
        <v>3.5200000000000002E-2</v>
      </c>
      <c r="Q13" s="820">
        <v>14.422077922077923</v>
      </c>
      <c r="R13" s="770"/>
      <c r="S13" s="48"/>
      <c r="T13" s="48"/>
      <c r="X13"/>
      <c r="Y13"/>
      <c r="Z13"/>
      <c r="AA13" s="2"/>
      <c r="AB13"/>
      <c r="AC13"/>
      <c r="AD13" s="2"/>
      <c r="AE13"/>
      <c r="AF13"/>
      <c r="AG13" s="2"/>
      <c r="AH13"/>
      <c r="AI13" s="2"/>
      <c r="AJ13"/>
      <c r="AK13"/>
      <c r="AL13"/>
      <c r="AM13"/>
      <c r="AN13"/>
      <c r="AO13"/>
    </row>
    <row r="14" spans="1:41" ht="21.95" customHeight="1" x14ac:dyDescent="0.25">
      <c r="A14" s="152"/>
      <c r="B14" s="50"/>
      <c r="C14" s="51"/>
      <c r="D14" s="791"/>
      <c r="E14" s="22" t="s">
        <v>695</v>
      </c>
      <c r="F14" s="2">
        <v>251.8399</v>
      </c>
      <c r="G14" s="783">
        <v>159.1311111111113</v>
      </c>
      <c r="H14" s="791">
        <v>45</v>
      </c>
      <c r="I14" s="783">
        <v>7160.9000000000087</v>
      </c>
      <c r="J14" s="358">
        <v>4171.8954999999914</v>
      </c>
      <c r="K14" s="134">
        <v>0.58259373821726135</v>
      </c>
      <c r="L14" s="358">
        <v>4396.6654999999919</v>
      </c>
      <c r="M14">
        <v>45</v>
      </c>
      <c r="N14" s="843"/>
      <c r="O14" s="770">
        <v>0</v>
      </c>
      <c r="P14" s="736">
        <v>-4.7999999999999996E-3</v>
      </c>
      <c r="Q14" s="783">
        <v>25.718944035947715</v>
      </c>
      <c r="R14" s="770"/>
      <c r="S14" s="736"/>
      <c r="T14" s="48"/>
      <c r="U14" s="48"/>
      <c r="X14"/>
      <c r="Y14"/>
      <c r="Z14"/>
      <c r="AA14" s="2"/>
      <c r="AB14"/>
      <c r="AC14"/>
      <c r="AD14" s="2"/>
      <c r="AE14"/>
      <c r="AF14"/>
      <c r="AG14" s="2"/>
      <c r="AH14"/>
      <c r="AI14" s="2"/>
      <c r="AJ14"/>
      <c r="AK14"/>
      <c r="AL14"/>
      <c r="AM14"/>
      <c r="AN14"/>
      <c r="AO14"/>
    </row>
    <row r="15" spans="1:41" ht="21.95" customHeight="1" x14ac:dyDescent="0.25">
      <c r="A15" s="50"/>
      <c r="B15" s="50"/>
      <c r="C15" s="51"/>
      <c r="D15" s="791"/>
      <c r="E15" s="22" t="s">
        <v>734</v>
      </c>
      <c r="F15" s="2">
        <v>72.799899999999994</v>
      </c>
      <c r="G15" s="783">
        <v>69.36</v>
      </c>
      <c r="H15" s="749">
        <v>100</v>
      </c>
      <c r="I15" s="783">
        <v>6936</v>
      </c>
      <c r="J15" s="358">
        <v>343.98999999999978</v>
      </c>
      <c r="K15" s="134">
        <v>4.9594867358708106E-2</v>
      </c>
      <c r="L15" s="358">
        <v>803.30999999999949</v>
      </c>
      <c r="M15" s="29">
        <v>43283</v>
      </c>
      <c r="N15" s="843"/>
      <c r="O15" s="770">
        <v>0</v>
      </c>
      <c r="P15" s="736">
        <v>9.4000000000000004E-3</v>
      </c>
      <c r="Q15" s="783">
        <v>17.8212729498164</v>
      </c>
      <c r="R15" s="770"/>
      <c r="S15" s="736"/>
      <c r="T15" s="48"/>
      <c r="X15"/>
      <c r="Y15"/>
      <c r="Z15"/>
      <c r="AA15" s="2"/>
      <c r="AB15"/>
      <c r="AC15"/>
      <c r="AD15" s="2"/>
      <c r="AE15"/>
      <c r="AF15"/>
      <c r="AG15" s="2"/>
      <c r="AH15"/>
      <c r="AI15" s="2"/>
      <c r="AJ15"/>
      <c r="AK15"/>
      <c r="AL15"/>
      <c r="AM15"/>
      <c r="AN15"/>
      <c r="AO15"/>
    </row>
    <row r="16" spans="1:41" ht="21.95" customHeight="1" x14ac:dyDescent="0.25">
      <c r="A16" s="50"/>
      <c r="B16" s="50"/>
      <c r="C16" s="51"/>
      <c r="D16" s="791"/>
      <c r="E16" s="22" t="s">
        <v>919</v>
      </c>
      <c r="F16" s="2">
        <v>253.39</v>
      </c>
      <c r="G16" s="783">
        <v>229.4733333333333</v>
      </c>
      <c r="H16" s="749">
        <v>30</v>
      </c>
      <c r="I16" s="783">
        <v>6884.1999999999989</v>
      </c>
      <c r="J16" s="358">
        <v>717.50000000000091</v>
      </c>
      <c r="K16" s="134">
        <v>0.10422416548037546</v>
      </c>
      <c r="L16" s="358">
        <v>717.50000000000091</v>
      </c>
      <c r="M16">
        <v>30</v>
      </c>
      <c r="N16" s="843"/>
      <c r="O16" s="770">
        <v>1.9900000000000001E-2</v>
      </c>
      <c r="P16" s="736">
        <v>5.0000000000000001E-4</v>
      </c>
      <c r="Q16" s="820">
        <v>16.34</v>
      </c>
      <c r="R16" s="770"/>
      <c r="S16" s="736"/>
      <c r="U16" s="48"/>
    </row>
    <row r="17" spans="1:41" ht="21.95" customHeight="1" x14ac:dyDescent="0.25">
      <c r="A17" s="51"/>
      <c r="B17" s="51"/>
      <c r="C17" s="51"/>
      <c r="D17" s="791"/>
      <c r="E17" s="22" t="s">
        <v>922</v>
      </c>
      <c r="F17" s="2">
        <v>34.179900000000004</v>
      </c>
      <c r="G17" s="783">
        <v>33.675399999999996</v>
      </c>
      <c r="H17" s="749">
        <v>200</v>
      </c>
      <c r="I17" s="783">
        <v>6735.079999999999</v>
      </c>
      <c r="J17" s="358">
        <v>100.90000000000055</v>
      </c>
      <c r="K17" s="134">
        <v>1.4981262286417009E-2</v>
      </c>
      <c r="L17" s="358">
        <v>100.90000000000055</v>
      </c>
      <c r="M17">
        <v>200</v>
      </c>
      <c r="N17" s="843"/>
      <c r="O17" s="770">
        <v>2.9256960962436986E-2</v>
      </c>
      <c r="P17" s="736">
        <v>1.03E-2</v>
      </c>
      <c r="Q17" s="783">
        <v>9.8501152737752165</v>
      </c>
      <c r="R17" s="770"/>
      <c r="S17" s="736"/>
    </row>
    <row r="18" spans="1:41" ht="21.95" customHeight="1" x14ac:dyDescent="0.25">
      <c r="A18" s="50"/>
      <c r="B18" s="51"/>
      <c r="C18" s="51"/>
      <c r="D18" s="791"/>
      <c r="E18" s="22" t="s">
        <v>943</v>
      </c>
      <c r="F18" s="2">
        <v>59.88</v>
      </c>
      <c r="G18" s="783">
        <v>64.347499999999997</v>
      </c>
      <c r="H18" s="791">
        <v>100</v>
      </c>
      <c r="I18" s="783">
        <v>6434.75</v>
      </c>
      <c r="J18" s="358">
        <v>-446.75</v>
      </c>
      <c r="K18" s="134">
        <v>-6.9427716694510186E-2</v>
      </c>
      <c r="L18" s="358">
        <v>-446.75</v>
      </c>
      <c r="M18">
        <v>100</v>
      </c>
      <c r="N18" s="843"/>
      <c r="O18" s="770">
        <v>4.1750167000667998E-2</v>
      </c>
      <c r="P18" s="736">
        <v>2.41E-2</v>
      </c>
      <c r="Q18" s="783">
        <v>15.799472295514512</v>
      </c>
      <c r="R18" s="770"/>
    </row>
    <row r="19" spans="1:41" ht="21.95" customHeight="1" x14ac:dyDescent="0.25">
      <c r="A19" s="50"/>
      <c r="B19" s="50"/>
      <c r="C19" s="51"/>
      <c r="D19" s="791"/>
      <c r="E19" s="22" t="s">
        <v>962</v>
      </c>
      <c r="F19" s="2">
        <v>174.91</v>
      </c>
      <c r="G19" s="783">
        <v>152.49275000000006</v>
      </c>
      <c r="H19" s="791">
        <v>40</v>
      </c>
      <c r="I19" s="783">
        <v>6099.7100000000028</v>
      </c>
      <c r="J19" s="358">
        <v>896.68999999999687</v>
      </c>
      <c r="K19" s="134">
        <v>0.1470053494346448</v>
      </c>
      <c r="L19" s="358">
        <v>896.68999999999687</v>
      </c>
      <c r="M19">
        <v>40</v>
      </c>
      <c r="N19" s="843"/>
      <c r="O19" s="770">
        <v>7.3180492824881371E-3</v>
      </c>
      <c r="P19" s="736">
        <v>2.7000000000000001E-3</v>
      </c>
      <c r="Q19" s="783">
        <v>19.68</v>
      </c>
      <c r="R19" s="770"/>
      <c r="X19"/>
      <c r="Y19"/>
      <c r="Z19"/>
      <c r="AA19" s="2"/>
      <c r="AB19"/>
      <c r="AC19"/>
      <c r="AD19" s="2"/>
      <c r="AE19"/>
      <c r="AF19"/>
      <c r="AG19" s="2"/>
      <c r="AH19"/>
      <c r="AI19" s="2"/>
      <c r="AJ19"/>
      <c r="AK19"/>
      <c r="AL19"/>
      <c r="AM19" s="2"/>
      <c r="AN19"/>
      <c r="AO19"/>
    </row>
    <row r="20" spans="1:41" ht="21.95" customHeight="1" x14ac:dyDescent="0.25">
      <c r="A20" s="50"/>
      <c r="B20" s="51"/>
      <c r="C20" s="51"/>
      <c r="D20" s="791"/>
      <c r="E20" s="22" t="s">
        <v>270</v>
      </c>
      <c r="F20" s="2">
        <v>122.66</v>
      </c>
      <c r="G20" s="783">
        <v>119.88</v>
      </c>
      <c r="H20" s="791">
        <v>50</v>
      </c>
      <c r="I20" s="783">
        <v>5994</v>
      </c>
      <c r="J20" s="358">
        <v>139</v>
      </c>
      <c r="K20" s="134">
        <v>2.3189856523189868E-2</v>
      </c>
      <c r="L20" s="358">
        <v>293.77999999999975</v>
      </c>
      <c r="M20" s="29">
        <v>43280</v>
      </c>
      <c r="N20" s="843"/>
      <c r="O20" s="770">
        <v>2.5700000000000001E-2</v>
      </c>
      <c r="P20" s="736">
        <v>-1.1299999999999999E-2</v>
      </c>
      <c r="Q20" s="820"/>
      <c r="R20" s="770"/>
      <c r="T20" s="48"/>
    </row>
    <row r="21" spans="1:41" ht="21.95" customHeight="1" x14ac:dyDescent="0.25">
      <c r="A21" s="50"/>
      <c r="B21" s="50"/>
      <c r="C21" s="51"/>
      <c r="D21" s="791"/>
      <c r="E21" s="22" t="s">
        <v>214</v>
      </c>
      <c r="F21" s="2">
        <v>56.529899999999998</v>
      </c>
      <c r="G21" s="783">
        <v>49.200899999999962</v>
      </c>
      <c r="H21" s="749">
        <v>100</v>
      </c>
      <c r="I21" s="783">
        <v>4920.0899999999965</v>
      </c>
      <c r="J21" s="358">
        <v>732.90000000000327</v>
      </c>
      <c r="K21" s="134">
        <v>0.14896068974348114</v>
      </c>
      <c r="L21" s="358">
        <v>1890.7699999999986</v>
      </c>
      <c r="M21">
        <v>100</v>
      </c>
      <c r="N21" s="843"/>
      <c r="O21" s="770">
        <v>2.6180835274783789E-2</v>
      </c>
      <c r="P21" s="736">
        <v>2.0199999999999999E-2</v>
      </c>
      <c r="Q21" s="783">
        <v>14.132474999999999</v>
      </c>
      <c r="R21" s="770"/>
      <c r="S21" s="48"/>
      <c r="T21" s="48"/>
      <c r="V21" s="48"/>
    </row>
    <row r="22" spans="1:41" ht="21.95" customHeight="1" x14ac:dyDescent="0.25">
      <c r="A22" s="50"/>
      <c r="B22" s="50"/>
      <c r="C22" s="51"/>
      <c r="D22" s="791"/>
      <c r="E22" s="22" t="s">
        <v>1046</v>
      </c>
      <c r="F22" s="2">
        <v>51.25</v>
      </c>
      <c r="G22" s="783">
        <v>48.438699999999997</v>
      </c>
      <c r="H22" s="749">
        <v>100</v>
      </c>
      <c r="I22" s="783">
        <v>4843.87</v>
      </c>
      <c r="J22" s="358">
        <v>281.13000000000011</v>
      </c>
      <c r="K22" s="134">
        <v>5.8038304083305355E-2</v>
      </c>
      <c r="L22" s="358">
        <v>281.13000000000011</v>
      </c>
      <c r="M22">
        <v>100</v>
      </c>
      <c r="N22" s="843"/>
      <c r="O22" s="770">
        <v>2.9268292682926831E-2</v>
      </c>
      <c r="P22" s="736">
        <v>8.3000000000000001E-3</v>
      </c>
      <c r="Q22" s="820"/>
      <c r="R22" s="770"/>
      <c r="S22" s="736"/>
      <c r="U22" s="48"/>
    </row>
    <row r="23" spans="1:41" ht="21.95" customHeight="1" x14ac:dyDescent="0.25">
      <c r="A23" s="50"/>
      <c r="B23" s="50"/>
      <c r="C23" s="51"/>
      <c r="D23" s="791"/>
      <c r="E23" s="22" t="s">
        <v>782</v>
      </c>
      <c r="F23" s="2">
        <v>13.98</v>
      </c>
      <c r="G23" s="783">
        <v>15.571933333333334</v>
      </c>
      <c r="H23" s="749">
        <v>300</v>
      </c>
      <c r="I23" s="783">
        <v>4671.58</v>
      </c>
      <c r="J23" s="358">
        <v>-477.57999999999993</v>
      </c>
      <c r="K23" s="134">
        <v>-0.1022309368564811</v>
      </c>
      <c r="L23" s="358">
        <v>-477.57999999999993</v>
      </c>
      <c r="M23">
        <v>150</v>
      </c>
      <c r="N23" s="843"/>
      <c r="O23" s="770">
        <v>3.4334763948497854E-2</v>
      </c>
      <c r="P23" s="736">
        <v>3.5999999999999999E-3</v>
      </c>
      <c r="Q23" s="783">
        <v>14.715789473684211</v>
      </c>
      <c r="R23" s="770"/>
      <c r="U23" s="48"/>
    </row>
    <row r="24" spans="1:41" ht="21.95" customHeight="1" x14ac:dyDescent="0.25">
      <c r="A24" s="50"/>
      <c r="B24" s="50"/>
      <c r="C24" s="51"/>
      <c r="D24" s="791"/>
      <c r="E24" s="22" t="s">
        <v>32</v>
      </c>
      <c r="F24" s="2">
        <v>54.89</v>
      </c>
      <c r="G24" s="783">
        <v>44.741300000000003</v>
      </c>
      <c r="H24" s="749">
        <v>100</v>
      </c>
      <c r="I24" s="783">
        <v>4474.13</v>
      </c>
      <c r="J24" s="358">
        <v>1014.8699999999999</v>
      </c>
      <c r="K24" s="134">
        <v>0.22683069110642734</v>
      </c>
      <c r="L24" s="358">
        <v>2213.339999999997</v>
      </c>
      <c r="M24">
        <v>100</v>
      </c>
      <c r="N24" s="843"/>
      <c r="O24" s="770">
        <v>2.2226270723264711E-2</v>
      </c>
      <c r="P24" s="736">
        <v>1.4800000000000001E-2</v>
      </c>
      <c r="Q24" s="820">
        <v>8.7964743589743595</v>
      </c>
      <c r="R24" s="770"/>
      <c r="S24" s="48"/>
      <c r="T24" s="48"/>
    </row>
    <row r="25" spans="1:41" ht="21.95" customHeight="1" x14ac:dyDescent="0.25">
      <c r="A25" s="50"/>
      <c r="B25" s="50"/>
      <c r="C25" s="51"/>
      <c r="D25" s="791"/>
      <c r="E25" s="22" t="s">
        <v>924</v>
      </c>
      <c r="F25" s="2">
        <v>75.33</v>
      </c>
      <c r="G25" s="783">
        <v>65.834000000000003</v>
      </c>
      <c r="H25" s="791">
        <v>60</v>
      </c>
      <c r="I25" s="783">
        <v>3950.04</v>
      </c>
      <c r="J25" s="358">
        <v>569.76000000000022</v>
      </c>
      <c r="K25" s="134">
        <v>0.14424157730048295</v>
      </c>
      <c r="L25" s="358">
        <v>569.76000000000022</v>
      </c>
      <c r="M25" s="29">
        <v>43280</v>
      </c>
      <c r="N25" s="843"/>
      <c r="O25" s="770">
        <v>1.2743926722421346E-2</v>
      </c>
      <c r="P25" s="736">
        <v>-4.4000000000000003E-3</v>
      </c>
      <c r="Q25" s="783">
        <v>21.219718309859154</v>
      </c>
      <c r="R25" s="770"/>
      <c r="S25" s="736"/>
      <c r="T25" s="48"/>
      <c r="X25"/>
      <c r="Y25"/>
      <c r="Z25"/>
      <c r="AA25" s="2"/>
      <c r="AB25"/>
      <c r="AC25"/>
      <c r="AD25" s="2"/>
      <c r="AE25"/>
      <c r="AF25"/>
      <c r="AG25" s="2"/>
      <c r="AH25"/>
      <c r="AI25" s="2"/>
      <c r="AJ25"/>
      <c r="AK25"/>
      <c r="AL25"/>
      <c r="AM25"/>
      <c r="AN25"/>
      <c r="AO25"/>
    </row>
    <row r="26" spans="1:41" ht="21.95" customHeight="1" x14ac:dyDescent="0.25">
      <c r="A26" s="51"/>
      <c r="B26" s="51"/>
      <c r="C26" s="51"/>
      <c r="D26" s="791"/>
      <c r="E26" s="22" t="s">
        <v>55</v>
      </c>
      <c r="F26" s="2">
        <v>71.83</v>
      </c>
      <c r="G26" s="783">
        <v>71.080000000000013</v>
      </c>
      <c r="H26" s="791">
        <v>50</v>
      </c>
      <c r="I26" s="783">
        <v>3554.0000000000005</v>
      </c>
      <c r="J26" s="358">
        <v>37.499999999999545</v>
      </c>
      <c r="K26" s="134">
        <v>1.0551491277433676E-2</v>
      </c>
      <c r="L26" s="358">
        <v>847.62999999998965</v>
      </c>
      <c r="M26">
        <v>50</v>
      </c>
      <c r="N26" s="843"/>
      <c r="O26" s="770">
        <v>2.8957260197688989E-2</v>
      </c>
      <c r="P26" s="736">
        <v>-1.1000000000000001E-3</v>
      </c>
      <c r="Q26" s="820">
        <v>11.119195046439629</v>
      </c>
      <c r="R26" s="770"/>
      <c r="S26" s="736"/>
      <c r="T26" s="48"/>
      <c r="U26" s="48"/>
    </row>
    <row r="27" spans="1:41" ht="21.95" customHeight="1" x14ac:dyDescent="0.25">
      <c r="A27" s="50"/>
      <c r="B27" s="51"/>
      <c r="C27" s="51"/>
      <c r="D27" s="791"/>
      <c r="E27" s="22" t="s">
        <v>850</v>
      </c>
      <c r="F27" s="2">
        <v>90.429900000000004</v>
      </c>
      <c r="G27" s="783">
        <v>82.575749999999942</v>
      </c>
      <c r="H27" s="791">
        <v>40</v>
      </c>
      <c r="I27" s="783">
        <v>3303.0299999999979</v>
      </c>
      <c r="J27" s="358">
        <v>314.16600000000108</v>
      </c>
      <c r="K27" s="134">
        <v>9.5114485790320599E-2</v>
      </c>
      <c r="L27" s="358">
        <v>314.16600000000108</v>
      </c>
      <c r="M27">
        <v>40</v>
      </c>
      <c r="N27" s="843"/>
      <c r="O27" s="770">
        <v>2.5212899715691378E-2</v>
      </c>
      <c r="P27" s="736">
        <v>1.1000000000000001E-3</v>
      </c>
      <c r="Q27" s="783">
        <v>18.997878151260505</v>
      </c>
      <c r="R27" s="770"/>
      <c r="S27" s="48"/>
      <c r="T27" s="48"/>
      <c r="X27"/>
      <c r="Y27"/>
      <c r="Z27"/>
      <c r="AA27" s="2"/>
      <c r="AB27"/>
      <c r="AC27"/>
      <c r="AD27" s="2"/>
      <c r="AE27"/>
      <c r="AF27"/>
      <c r="AG27" s="2"/>
      <c r="AH27"/>
      <c r="AI27" s="2"/>
      <c r="AJ27"/>
      <c r="AK27"/>
      <c r="AL27"/>
      <c r="AM27"/>
      <c r="AN27"/>
      <c r="AO27"/>
    </row>
    <row r="28" spans="1:41" ht="21.95" customHeight="1" x14ac:dyDescent="0.25">
      <c r="A28" s="50"/>
      <c r="B28" s="50"/>
      <c r="C28" s="51"/>
      <c r="D28" s="791"/>
      <c r="E28" s="22" t="s">
        <v>682</v>
      </c>
      <c r="F28" s="2">
        <v>204.5</v>
      </c>
      <c r="G28" s="783">
        <v>142.98999999999995</v>
      </c>
      <c r="H28" s="791">
        <v>20</v>
      </c>
      <c r="I28" s="783">
        <v>2859.7999999999993</v>
      </c>
      <c r="J28" s="358">
        <v>1230.2000000000007</v>
      </c>
      <c r="K28" s="134">
        <v>0.43016994195398328</v>
      </c>
      <c r="L28" s="358">
        <v>1373.2300000000009</v>
      </c>
      <c r="M28">
        <v>20</v>
      </c>
      <c r="N28" s="843"/>
      <c r="O28" s="770">
        <v>2.4449877750611247E-3</v>
      </c>
      <c r="P28" s="736">
        <v>3.5999999999999999E-3</v>
      </c>
      <c r="Q28" s="783">
        <v>29.810495626822156</v>
      </c>
      <c r="R28" s="770"/>
      <c r="S28" s="48"/>
    </row>
    <row r="29" spans="1:41" ht="21.95" customHeight="1" x14ac:dyDescent="0.25">
      <c r="A29" s="50"/>
      <c r="B29" s="50"/>
      <c r="C29" s="50"/>
      <c r="D29" s="791"/>
      <c r="E29" s="22" t="s">
        <v>226</v>
      </c>
      <c r="F29" s="2">
        <v>29.44</v>
      </c>
      <c r="G29" s="783">
        <v>8.5065499999998426</v>
      </c>
      <c r="H29" s="822">
        <v>200</v>
      </c>
      <c r="I29" s="783">
        <v>1701.3099999999686</v>
      </c>
      <c r="J29" s="358">
        <v>4186.6900000000314</v>
      </c>
      <c r="K29" s="134">
        <v>2.460862511829184</v>
      </c>
      <c r="L29" s="783">
        <v>5638.9500000000298</v>
      </c>
      <c r="M29">
        <v>200</v>
      </c>
      <c r="N29" s="843"/>
      <c r="O29" s="770">
        <v>3.3967391304347825E-3</v>
      </c>
      <c r="P29" s="736">
        <v>-6.9999999999999999E-4</v>
      </c>
      <c r="Q29" s="820">
        <v>21.028571428571432</v>
      </c>
      <c r="R29" s="770"/>
      <c r="S29" s="736"/>
      <c r="U29" s="48"/>
      <c r="V29" s="48"/>
    </row>
    <row r="30" spans="1:41" ht="21.95" customHeight="1" x14ac:dyDescent="0.25">
      <c r="A30" s="50"/>
      <c r="B30" s="51"/>
      <c r="C30" s="51"/>
      <c r="D30" s="791"/>
      <c r="E30" s="22" t="s">
        <v>947</v>
      </c>
      <c r="F30" s="2">
        <v>58.01</v>
      </c>
      <c r="G30" s="783">
        <v>15.022800000000025</v>
      </c>
      <c r="H30" s="791">
        <v>50</v>
      </c>
      <c r="I30" s="783">
        <v>751.14000000000124</v>
      </c>
      <c r="J30" s="358">
        <v>2149.3599999999988</v>
      </c>
      <c r="K30" s="134">
        <v>2.8614639081928734</v>
      </c>
      <c r="L30" s="358">
        <v>2149.3599999999988</v>
      </c>
      <c r="M30">
        <v>50</v>
      </c>
      <c r="N30" s="843"/>
      <c r="O30" s="770">
        <v>2.3789001896224789E-2</v>
      </c>
      <c r="P30" s="736">
        <v>-1.54E-2</v>
      </c>
      <c r="Q30" s="820">
        <v>13.184090909090907</v>
      </c>
      <c r="R30" s="770"/>
      <c r="T30" s="48"/>
      <c r="V30" s="48"/>
    </row>
    <row r="31" spans="1:41" ht="21.95" customHeight="1" x14ac:dyDescent="0.25">
      <c r="A31" s="51"/>
      <c r="B31" s="152"/>
      <c r="C31" s="325"/>
      <c r="D31" s="791"/>
      <c r="E31" s="22" t="s">
        <v>62</v>
      </c>
      <c r="F31" s="2">
        <v>303.29000000000002</v>
      </c>
      <c r="G31" s="783">
        <v>303.29000000000002</v>
      </c>
      <c r="H31" s="791">
        <v>0</v>
      </c>
      <c r="I31" s="783">
        <v>0</v>
      </c>
      <c r="J31" s="358">
        <v>0</v>
      </c>
      <c r="K31" s="134">
        <v>0</v>
      </c>
      <c r="L31" s="358">
        <v>1659.3600000000079</v>
      </c>
      <c r="M31">
        <v>0</v>
      </c>
      <c r="N31" s="817"/>
      <c r="O31" s="770">
        <v>0</v>
      </c>
      <c r="P31" s="736">
        <v>-3.3E-3</v>
      </c>
      <c r="Q31" s="783"/>
      <c r="R31" s="770"/>
      <c r="S31" s="736"/>
      <c r="T31" s="48"/>
      <c r="X31" s="736"/>
      <c r="Y31"/>
      <c r="Z31"/>
      <c r="AA31" s="2"/>
      <c r="AB31"/>
      <c r="AC31"/>
      <c r="AD31" s="2"/>
      <c r="AE31"/>
      <c r="AF31"/>
      <c r="AG31" s="2"/>
      <c r="AH31"/>
      <c r="AI31" s="2"/>
      <c r="AJ31"/>
      <c r="AK31"/>
      <c r="AL31"/>
      <c r="AM31" s="2"/>
      <c r="AN31"/>
      <c r="AO31"/>
    </row>
    <row r="32" spans="1:41" ht="21.95" customHeight="1" x14ac:dyDescent="0.25">
      <c r="A32" s="50"/>
      <c r="B32" s="51"/>
      <c r="C32" s="51"/>
      <c r="D32" s="791"/>
      <c r="E32" s="22" t="s">
        <v>203</v>
      </c>
      <c r="F32" s="2">
        <v>41.36</v>
      </c>
      <c r="G32" s="783">
        <v>41.36</v>
      </c>
      <c r="H32" s="791">
        <v>0</v>
      </c>
      <c r="I32" s="783">
        <v>0</v>
      </c>
      <c r="J32" s="358">
        <v>0</v>
      </c>
      <c r="K32" s="134">
        <v>0</v>
      </c>
      <c r="L32" s="358">
        <v>555.54</v>
      </c>
      <c r="M32">
        <v>0</v>
      </c>
      <c r="N32" s="843"/>
      <c r="O32" s="770">
        <v>0</v>
      </c>
      <c r="P32" s="736">
        <v>2.3E-2</v>
      </c>
      <c r="Q32" s="820"/>
      <c r="R32" s="770"/>
      <c r="S32" s="48"/>
      <c r="T32" s="48"/>
    </row>
    <row r="33" spans="1:41" ht="21.95" customHeight="1" x14ac:dyDescent="0.25">
      <c r="A33" s="50"/>
      <c r="B33" s="50"/>
      <c r="C33" s="51"/>
      <c r="D33" s="791"/>
      <c r="E33" s="22" t="s">
        <v>202</v>
      </c>
      <c r="F33" s="2">
        <v>191.7</v>
      </c>
      <c r="G33" s="783">
        <v>191.7</v>
      </c>
      <c r="H33" s="791">
        <v>0</v>
      </c>
      <c r="I33" s="783">
        <v>0</v>
      </c>
      <c r="J33" s="358">
        <v>0</v>
      </c>
      <c r="K33" s="134">
        <v>0</v>
      </c>
      <c r="L33" s="358">
        <v>363.09999999999945</v>
      </c>
      <c r="M33">
        <v>0</v>
      </c>
      <c r="N33" s="843"/>
      <c r="O33" s="770">
        <v>1.5900000000000001E-2</v>
      </c>
      <c r="P33" s="736">
        <v>-6.3E-3</v>
      </c>
      <c r="Q33" s="783"/>
      <c r="R33" s="770"/>
      <c r="S33" s="736"/>
      <c r="U33" s="48"/>
    </row>
    <row r="34" spans="1:41" ht="21.95" customHeight="1" x14ac:dyDescent="0.25">
      <c r="A34" s="50"/>
      <c r="B34" s="50"/>
      <c r="C34" s="51"/>
      <c r="D34" s="791"/>
      <c r="E34" s="22" t="s">
        <v>225</v>
      </c>
      <c r="F34" s="2">
        <v>101</v>
      </c>
      <c r="G34" s="783">
        <v>101</v>
      </c>
      <c r="H34" s="791">
        <v>0</v>
      </c>
      <c r="I34" s="783">
        <v>0</v>
      </c>
      <c r="J34" s="358">
        <v>0</v>
      </c>
      <c r="K34" s="134">
        <v>0</v>
      </c>
      <c r="L34" s="783">
        <v>231.53999999999996</v>
      </c>
      <c r="M34">
        <v>0</v>
      </c>
      <c r="N34" s="843"/>
      <c r="O34" s="770">
        <v>1.6199999999999999E-2</v>
      </c>
      <c r="P34" s="736">
        <v>6.3E-3</v>
      </c>
      <c r="Q34" s="783"/>
      <c r="R34" s="770"/>
      <c r="S34" s="48"/>
    </row>
    <row r="35" spans="1:41" ht="21.95" customHeight="1" x14ac:dyDescent="0.25">
      <c r="A35" s="50"/>
      <c r="B35" s="50"/>
      <c r="C35" s="51"/>
      <c r="D35" s="791"/>
      <c r="E35" s="22" t="s">
        <v>266</v>
      </c>
      <c r="F35" s="2">
        <v>94.9</v>
      </c>
      <c r="G35" s="783">
        <v>94.9</v>
      </c>
      <c r="H35" s="749">
        <v>0</v>
      </c>
      <c r="I35" s="783">
        <v>0</v>
      </c>
      <c r="J35" s="358">
        <v>0</v>
      </c>
      <c r="K35" s="134">
        <v>0</v>
      </c>
      <c r="L35" s="358">
        <v>1857.7799999999988</v>
      </c>
      <c r="M35">
        <v>0</v>
      </c>
      <c r="N35" s="843"/>
      <c r="O35" s="770">
        <v>1.49E-2</v>
      </c>
      <c r="P35" s="736">
        <v>4.8999999999999998E-3</v>
      </c>
      <c r="Q35" s="783"/>
      <c r="R35" s="770"/>
      <c r="S35" s="48"/>
      <c r="T35" s="48"/>
      <c r="U35" s="48"/>
    </row>
    <row r="36" spans="1:41" ht="21.95" customHeight="1" x14ac:dyDescent="0.25">
      <c r="A36" s="50"/>
      <c r="B36" s="50"/>
      <c r="C36" s="51"/>
      <c r="D36" s="791"/>
      <c r="E36" s="22" t="s">
        <v>23</v>
      </c>
      <c r="F36" s="2">
        <v>34.51</v>
      </c>
      <c r="G36" s="783">
        <v>34.51</v>
      </c>
      <c r="H36" s="791">
        <v>0</v>
      </c>
      <c r="I36" s="783">
        <v>0</v>
      </c>
      <c r="J36" s="358">
        <v>0</v>
      </c>
      <c r="K36" s="134">
        <v>0</v>
      </c>
      <c r="L36" s="358">
        <v>171.89999999999964</v>
      </c>
      <c r="M36">
        <v>0</v>
      </c>
      <c r="N36" s="843"/>
      <c r="O36" s="770">
        <v>0</v>
      </c>
      <c r="P36" s="736">
        <v>8.8000000000000005E-3</v>
      </c>
      <c r="Q36" s="783"/>
      <c r="R36" s="770"/>
      <c r="T36" s="48"/>
      <c r="U36" s="48"/>
    </row>
    <row r="37" spans="1:41" ht="21.95" customHeight="1" x14ac:dyDescent="0.25">
      <c r="A37" s="50"/>
      <c r="B37" s="51"/>
      <c r="C37" s="51"/>
      <c r="D37" s="791"/>
      <c r="E37" s="22" t="s">
        <v>267</v>
      </c>
      <c r="F37" s="2">
        <v>39.99</v>
      </c>
      <c r="G37" s="783">
        <v>39.99</v>
      </c>
      <c r="H37" s="749">
        <v>0</v>
      </c>
      <c r="I37" s="783">
        <v>0</v>
      </c>
      <c r="J37" s="358">
        <v>0</v>
      </c>
      <c r="K37" s="134">
        <v>0</v>
      </c>
      <c r="L37" s="783">
        <v>98.449999999999818</v>
      </c>
      <c r="M37">
        <v>0</v>
      </c>
      <c r="N37" s="843"/>
      <c r="O37" s="770">
        <v>1.11E-2</v>
      </c>
      <c r="P37" s="736">
        <v>-1.0200000000000001E-2</v>
      </c>
      <c r="Q37" s="820"/>
      <c r="R37" s="770"/>
      <c r="S37" s="736"/>
    </row>
    <row r="38" spans="1:41" ht="21.95" customHeight="1" x14ac:dyDescent="0.25">
      <c r="A38" s="50"/>
      <c r="B38" s="50"/>
      <c r="C38" s="51"/>
      <c r="D38" s="791"/>
      <c r="E38" s="22" t="s">
        <v>326</v>
      </c>
      <c r="F38" s="2">
        <v>12.78</v>
      </c>
      <c r="G38" s="783">
        <v>12.78</v>
      </c>
      <c r="H38" s="749">
        <v>0</v>
      </c>
      <c r="I38" s="783">
        <v>0</v>
      </c>
      <c r="J38" s="358">
        <v>-1184.9399999999987</v>
      </c>
      <c r="K38" s="134">
        <v>0</v>
      </c>
      <c r="L38" s="358">
        <v>98.479999999995925</v>
      </c>
      <c r="M38">
        <v>0</v>
      </c>
      <c r="N38" s="843" t="s">
        <v>1066</v>
      </c>
      <c r="O38" s="770">
        <v>0</v>
      </c>
      <c r="P38" s="736">
        <v>7.1999999999999998E-3</v>
      </c>
      <c r="Q38" s="783">
        <v>39.9375</v>
      </c>
      <c r="R38" s="770"/>
      <c r="S38" s="48"/>
      <c r="T38" s="48"/>
      <c r="V38" s="48"/>
    </row>
    <row r="39" spans="1:41" ht="21.95" customHeight="1" x14ac:dyDescent="0.25">
      <c r="A39" s="51"/>
      <c r="B39" s="51"/>
      <c r="C39" s="51"/>
      <c r="D39" s="791"/>
      <c r="E39" s="22" t="s">
        <v>36</v>
      </c>
      <c r="F39" s="2">
        <v>50.48</v>
      </c>
      <c r="G39" s="783">
        <v>50.48</v>
      </c>
      <c r="H39" s="791">
        <v>0</v>
      </c>
      <c r="I39" s="783">
        <v>0</v>
      </c>
      <c r="J39" s="358">
        <v>0</v>
      </c>
      <c r="K39" s="134">
        <v>0</v>
      </c>
      <c r="L39" s="358">
        <v>117.73999999999978</v>
      </c>
      <c r="M39">
        <v>0</v>
      </c>
      <c r="N39" s="843"/>
      <c r="O39" s="770" t="e">
        <v>#REF!</v>
      </c>
      <c r="P39" s="736">
        <v>-1.0200000000000001E-2</v>
      </c>
      <c r="Q39" s="783"/>
      <c r="R39" s="770"/>
      <c r="S39" s="48"/>
      <c r="T39" s="48"/>
      <c r="V39" s="48"/>
      <c r="X39"/>
      <c r="Y39"/>
      <c r="Z39"/>
      <c r="AA39" s="2"/>
      <c r="AB39"/>
      <c r="AC39"/>
      <c r="AD39" s="2"/>
      <c r="AE39"/>
      <c r="AF39"/>
      <c r="AG39" s="2"/>
      <c r="AH39"/>
      <c r="AI39" s="2"/>
      <c r="AJ39"/>
      <c r="AK39"/>
      <c r="AL39"/>
      <c r="AM39"/>
      <c r="AN39"/>
      <c r="AO39"/>
    </row>
    <row r="40" spans="1:41" ht="21.95" customHeight="1" x14ac:dyDescent="0.25">
      <c r="A40" s="50"/>
      <c r="B40" s="50"/>
      <c r="C40" s="51"/>
      <c r="D40" s="791"/>
      <c r="E40" s="22" t="s">
        <v>314</v>
      </c>
      <c r="F40" s="2">
        <v>38.42</v>
      </c>
      <c r="G40" s="783">
        <v>38.42</v>
      </c>
      <c r="H40" s="749">
        <v>0</v>
      </c>
      <c r="I40" s="783">
        <v>0</v>
      </c>
      <c r="J40" s="358">
        <v>0</v>
      </c>
      <c r="K40" s="134">
        <v>0</v>
      </c>
      <c r="L40" s="358">
        <v>264.92000000000007</v>
      </c>
      <c r="M40">
        <v>0</v>
      </c>
      <c r="N40" s="843"/>
      <c r="O40" s="770">
        <v>3.4200000000000001E-2</v>
      </c>
      <c r="P40" s="736">
        <v>8.3999999999999995E-3</v>
      </c>
      <c r="Q40" s="820"/>
      <c r="R40" s="770"/>
      <c r="S40" s="48"/>
      <c r="T40" s="48"/>
    </row>
    <row r="41" spans="1:41" ht="21.95" customHeight="1" x14ac:dyDescent="0.25">
      <c r="A41" s="50"/>
      <c r="B41" s="50"/>
      <c r="C41" s="51"/>
      <c r="D41" s="791"/>
      <c r="E41" s="22" t="s">
        <v>299</v>
      </c>
      <c r="F41" s="2">
        <v>53.16</v>
      </c>
      <c r="G41" s="783">
        <v>53.16</v>
      </c>
      <c r="H41" s="749">
        <v>0</v>
      </c>
      <c r="I41" s="783">
        <v>0</v>
      </c>
      <c r="J41" s="358">
        <v>0</v>
      </c>
      <c r="K41" s="134">
        <v>0</v>
      </c>
      <c r="L41" s="358">
        <v>910.79999999999927</v>
      </c>
      <c r="M41">
        <v>0</v>
      </c>
      <c r="N41" s="843"/>
      <c r="O41" s="770">
        <v>2.87E-2</v>
      </c>
      <c r="P41" s="736">
        <v>1.0200000000000001E-2</v>
      </c>
      <c r="Q41" s="783"/>
      <c r="R41" s="770"/>
      <c r="S41" s="48"/>
      <c r="U41" s="48"/>
    </row>
    <row r="42" spans="1:41" ht="21.95" customHeight="1" x14ac:dyDescent="0.25">
      <c r="A42" s="51"/>
      <c r="B42" s="152"/>
      <c r="C42" s="325"/>
      <c r="D42" s="791"/>
      <c r="E42" s="22" t="s">
        <v>694</v>
      </c>
      <c r="F42" s="2">
        <v>31.74</v>
      </c>
      <c r="G42" s="783">
        <v>31.74</v>
      </c>
      <c r="H42" s="791">
        <v>0</v>
      </c>
      <c r="I42" s="783">
        <v>0</v>
      </c>
      <c r="J42" s="358">
        <v>0</v>
      </c>
      <c r="K42" s="134">
        <v>0</v>
      </c>
      <c r="L42" s="358">
        <v>557.94000000000005</v>
      </c>
      <c r="M42">
        <v>0</v>
      </c>
      <c r="N42" s="843"/>
      <c r="O42" s="770">
        <v>4.0599999999999997E-2</v>
      </c>
      <c r="P42" s="736">
        <v>-5.7000000000000002E-3</v>
      </c>
      <c r="Q42" s="820"/>
      <c r="R42" s="770"/>
      <c r="X42"/>
      <c r="Y42"/>
      <c r="Z42"/>
      <c r="AA42" s="2"/>
      <c r="AB42"/>
      <c r="AC42"/>
      <c r="AD42" s="2"/>
      <c r="AE42"/>
      <c r="AF42"/>
      <c r="AG42" s="2"/>
      <c r="AH42"/>
      <c r="AI42" s="2"/>
      <c r="AJ42"/>
      <c r="AK42"/>
      <c r="AL42"/>
      <c r="AM42"/>
      <c r="AN42"/>
      <c r="AO42"/>
    </row>
    <row r="43" spans="1:41" ht="21.95" customHeight="1" x14ac:dyDescent="0.25">
      <c r="A43" s="60"/>
      <c r="B43" s="61"/>
      <c r="C43" s="60"/>
      <c r="D43" s="791"/>
      <c r="E43" s="22" t="s">
        <v>248</v>
      </c>
      <c r="F43" s="2">
        <v>78.48</v>
      </c>
      <c r="G43" s="783">
        <v>78.48</v>
      </c>
      <c r="H43" s="791">
        <v>0</v>
      </c>
      <c r="I43" s="783">
        <v>0</v>
      </c>
      <c r="J43" s="358">
        <v>0</v>
      </c>
      <c r="K43" s="134">
        <v>0</v>
      </c>
      <c r="L43" s="358">
        <v>329.74000000000069</v>
      </c>
      <c r="M43">
        <v>0</v>
      </c>
      <c r="N43" s="843"/>
      <c r="O43" s="770">
        <v>0</v>
      </c>
      <c r="P43" s="736">
        <v>2.01E-2</v>
      </c>
      <c r="Q43" s="783"/>
      <c r="R43" s="770"/>
      <c r="S43" s="736"/>
    </row>
    <row r="44" spans="1:41" ht="21.95" customHeight="1" x14ac:dyDescent="0.25">
      <c r="A44" s="50"/>
      <c r="B44" s="50"/>
      <c r="C44" s="51"/>
      <c r="D44" s="791"/>
      <c r="E44" s="22" t="s">
        <v>673</v>
      </c>
      <c r="F44" s="2">
        <v>17.940000000000001</v>
      </c>
      <c r="G44" s="783">
        <v>17.940000000000001</v>
      </c>
      <c r="H44" s="749">
        <v>0</v>
      </c>
      <c r="I44" s="783">
        <v>0</v>
      </c>
      <c r="J44" s="358">
        <v>0</v>
      </c>
      <c r="K44" s="134">
        <v>0</v>
      </c>
      <c r="L44" s="358">
        <v>309.26000000000022</v>
      </c>
      <c r="M44">
        <v>0</v>
      </c>
      <c r="N44" s="843"/>
      <c r="O44" s="770">
        <v>8.8000000000000005E-3</v>
      </c>
      <c r="P44" s="736">
        <v>7.7999999999999996E-3</v>
      </c>
      <c r="Q44" s="783"/>
      <c r="S44" s="736"/>
      <c r="T44" s="48"/>
      <c r="Y44" s="48"/>
    </row>
    <row r="45" spans="1:41" ht="21.95" customHeight="1" x14ac:dyDescent="0.25">
      <c r="A45" s="50"/>
      <c r="B45" s="50"/>
      <c r="C45" s="51"/>
      <c r="D45" s="791"/>
      <c r="E45" s="22" t="s">
        <v>275</v>
      </c>
      <c r="F45" s="2">
        <v>66.03</v>
      </c>
      <c r="G45" s="783">
        <v>66.03</v>
      </c>
      <c r="H45" s="749">
        <v>0</v>
      </c>
      <c r="I45" s="783">
        <v>0</v>
      </c>
      <c r="J45" s="358">
        <v>0</v>
      </c>
      <c r="K45" s="134">
        <v>0</v>
      </c>
      <c r="L45" s="358">
        <v>197.20999999999549</v>
      </c>
      <c r="M45">
        <v>0</v>
      </c>
      <c r="N45" s="843"/>
      <c r="O45" s="770">
        <v>2.5499999999999998E-2</v>
      </c>
      <c r="P45" s="736">
        <v>-5.5999999999999999E-3</v>
      </c>
      <c r="Q45" s="783"/>
      <c r="R45" s="770"/>
      <c r="S45" s="48"/>
      <c r="T45" s="345"/>
      <c r="U45" s="345"/>
    </row>
    <row r="46" spans="1:41" ht="21.95" customHeight="1" x14ac:dyDescent="0.25">
      <c r="A46" s="50"/>
      <c r="B46" s="50"/>
      <c r="C46" s="51"/>
      <c r="D46" s="791"/>
      <c r="E46" s="22" t="s">
        <v>737</v>
      </c>
      <c r="F46" s="2">
        <v>251.21</v>
      </c>
      <c r="G46" s="783">
        <v>251.21</v>
      </c>
      <c r="H46" s="791">
        <v>0</v>
      </c>
      <c r="I46" s="783">
        <v>0</v>
      </c>
      <c r="J46" s="358">
        <v>0</v>
      </c>
      <c r="K46" s="134">
        <v>0</v>
      </c>
      <c r="L46" s="783">
        <v>843.18000000000029</v>
      </c>
      <c r="M46">
        <v>0</v>
      </c>
      <c r="N46" s="843"/>
      <c r="O46" s="770">
        <v>2.8E-3</v>
      </c>
      <c r="P46" s="736">
        <v>-2.3E-3</v>
      </c>
      <c r="Q46" s="820"/>
      <c r="R46" s="770"/>
      <c r="S46" s="736"/>
    </row>
    <row r="47" spans="1:41" ht="21.95" customHeight="1" x14ac:dyDescent="0.25">
      <c r="A47" s="50"/>
      <c r="B47" s="50"/>
      <c r="C47" s="51"/>
      <c r="D47" s="791"/>
      <c r="E47" s="22" t="s">
        <v>196</v>
      </c>
      <c r="F47" s="2">
        <v>12.1</v>
      </c>
      <c r="G47" s="783">
        <v>12.1</v>
      </c>
      <c r="H47" s="749">
        <v>0</v>
      </c>
      <c r="I47" s="783">
        <v>0</v>
      </c>
      <c r="J47" s="358">
        <v>0</v>
      </c>
      <c r="K47" s="134">
        <v>0</v>
      </c>
      <c r="L47" s="783">
        <v>495.20999999999913</v>
      </c>
      <c r="M47">
        <v>0</v>
      </c>
      <c r="N47" s="843"/>
      <c r="O47" s="770">
        <v>5.1499999999999997E-2</v>
      </c>
      <c r="P47" s="736">
        <v>5.3E-3</v>
      </c>
      <c r="Q47" s="783"/>
      <c r="R47" s="770"/>
      <c r="X47"/>
      <c r="Y47"/>
      <c r="Z47"/>
      <c r="AA47" s="2"/>
      <c r="AB47"/>
      <c r="AC47"/>
      <c r="AD47" s="2"/>
      <c r="AE47"/>
      <c r="AF47"/>
      <c r="AG47" s="2"/>
      <c r="AH47"/>
      <c r="AI47" s="2"/>
      <c r="AJ47"/>
      <c r="AK47"/>
      <c r="AL47"/>
      <c r="AM47"/>
      <c r="AN47"/>
      <c r="AO47"/>
    </row>
    <row r="48" spans="1:41" ht="21.95" customHeight="1" x14ac:dyDescent="0.25">
      <c r="A48" s="50"/>
      <c r="B48" s="50"/>
      <c r="C48" s="51"/>
      <c r="D48" s="791"/>
      <c r="E48" s="22" t="s">
        <v>829</v>
      </c>
      <c r="F48" s="2">
        <v>103.38</v>
      </c>
      <c r="G48" s="783">
        <v>103.38</v>
      </c>
      <c r="H48" s="749">
        <v>0</v>
      </c>
      <c r="I48" s="783">
        <v>0</v>
      </c>
      <c r="J48" s="358">
        <v>604.30000000000109</v>
      </c>
      <c r="K48" s="134">
        <v>0</v>
      </c>
      <c r="L48" s="358">
        <v>604.30000000000109</v>
      </c>
      <c r="M48">
        <v>0</v>
      </c>
      <c r="N48" s="817"/>
      <c r="O48" s="770">
        <v>6.5776745985683888E-3</v>
      </c>
      <c r="P48" s="736">
        <v>-8.0000000000000004E-4</v>
      </c>
      <c r="Q48" s="783">
        <v>21.764210526315789</v>
      </c>
      <c r="R48" s="770"/>
      <c r="S48" s="736"/>
      <c r="T48" s="48"/>
    </row>
    <row r="49" spans="1:41" ht="21.95" customHeight="1" x14ac:dyDescent="0.25">
      <c r="A49" s="50"/>
      <c r="B49" s="50"/>
      <c r="C49" s="51"/>
      <c r="D49" s="791"/>
      <c r="E49" s="22" t="s">
        <v>680</v>
      </c>
      <c r="F49" s="2">
        <v>131.71</v>
      </c>
      <c r="G49" s="783">
        <v>131.71</v>
      </c>
      <c r="H49" s="791">
        <v>0</v>
      </c>
      <c r="I49" s="783">
        <v>0</v>
      </c>
      <c r="J49" s="358">
        <v>2714.0600000000013</v>
      </c>
      <c r="K49" s="134">
        <v>0</v>
      </c>
      <c r="L49" s="783">
        <v>2714.0600000000013</v>
      </c>
      <c r="M49">
        <v>0</v>
      </c>
      <c r="N49" s="843"/>
      <c r="O49" s="770">
        <v>2.8E-3</v>
      </c>
      <c r="P49" s="736">
        <v>3.6900000000000002E-2</v>
      </c>
      <c r="Q49" s="783">
        <v>19.687593423019432</v>
      </c>
      <c r="R49" s="770"/>
      <c r="S49" s="48"/>
      <c r="U49" s="48"/>
    </row>
    <row r="50" spans="1:41" ht="21.95" customHeight="1" x14ac:dyDescent="0.25">
      <c r="A50" s="152"/>
      <c r="B50" s="50"/>
      <c r="C50" s="51"/>
      <c r="D50" s="791"/>
      <c r="E50" s="22" t="s">
        <v>961</v>
      </c>
      <c r="F50" s="2">
        <v>85.59</v>
      </c>
      <c r="G50" s="783">
        <v>85.59</v>
      </c>
      <c r="H50" s="791">
        <v>0</v>
      </c>
      <c r="I50" s="783">
        <v>0</v>
      </c>
      <c r="J50" s="358">
        <v>500.88000000000011</v>
      </c>
      <c r="K50" s="134">
        <v>0</v>
      </c>
      <c r="L50" s="358">
        <v>500.88000000000011</v>
      </c>
      <c r="M50">
        <v>0</v>
      </c>
      <c r="N50" s="843"/>
      <c r="O50" s="770">
        <v>7.477509054796121E-3</v>
      </c>
      <c r="P50" s="736">
        <v>4.0000000000000001E-3</v>
      </c>
      <c r="Q50" s="783">
        <v>11.597560975609756</v>
      </c>
      <c r="R50" s="770"/>
      <c r="S50" s="48"/>
      <c r="T50" s="48"/>
    </row>
    <row r="51" spans="1:41" ht="21.95" customHeight="1" x14ac:dyDescent="0.25">
      <c r="A51" s="50"/>
      <c r="B51" s="51"/>
      <c r="C51" s="51"/>
      <c r="D51" s="791"/>
      <c r="E51" s="22" t="s">
        <v>17</v>
      </c>
      <c r="F51" s="2">
        <v>15.25</v>
      </c>
      <c r="G51" s="783">
        <v>15.25</v>
      </c>
      <c r="H51" s="791">
        <v>0</v>
      </c>
      <c r="I51" s="783">
        <v>0</v>
      </c>
      <c r="J51" s="358">
        <v>-20818.210000000079</v>
      </c>
      <c r="K51" s="134">
        <v>0</v>
      </c>
      <c r="L51" s="358">
        <v>-20818.210000000079</v>
      </c>
      <c r="M51">
        <v>0</v>
      </c>
      <c r="N51" s="843"/>
      <c r="O51" s="770">
        <v>0</v>
      </c>
      <c r="P51" s="736">
        <v>0</v>
      </c>
      <c r="Q51" s="783"/>
      <c r="R51" s="770"/>
      <c r="S51" s="736"/>
      <c r="T51" s="48"/>
      <c r="U51" s="48"/>
      <c r="V51" s="48"/>
    </row>
    <row r="52" spans="1:41" ht="21.95" customHeight="1" x14ac:dyDescent="0.25">
      <c r="A52" s="50"/>
      <c r="B52" s="50"/>
      <c r="C52" s="51"/>
      <c r="D52" s="791"/>
      <c r="E52" s="22" t="s">
        <v>308</v>
      </c>
      <c r="F52" s="2">
        <v>142.82</v>
      </c>
      <c r="G52" s="783">
        <v>142.82</v>
      </c>
      <c r="H52" s="749">
        <v>0</v>
      </c>
      <c r="I52" s="783">
        <v>0</v>
      </c>
      <c r="J52" s="358">
        <v>0</v>
      </c>
      <c r="K52" s="134">
        <v>0</v>
      </c>
      <c r="L52" s="783">
        <v>720.56000000000131</v>
      </c>
      <c r="M52">
        <v>0</v>
      </c>
      <c r="N52" s="817"/>
      <c r="O52" s="770">
        <v>0</v>
      </c>
      <c r="P52" s="736">
        <v>-4.3E-3</v>
      </c>
      <c r="Q52" s="783"/>
      <c r="R52" s="770"/>
      <c r="S52" s="48"/>
      <c r="T52" s="48"/>
    </row>
    <row r="53" spans="1:41" ht="21.95" customHeight="1" x14ac:dyDescent="0.25">
      <c r="A53" s="50"/>
      <c r="B53" s="50"/>
      <c r="C53" s="51"/>
      <c r="D53" s="791"/>
      <c r="E53" s="22" t="s">
        <v>692</v>
      </c>
      <c r="F53" s="2">
        <v>94.94</v>
      </c>
      <c r="G53" s="783">
        <v>94.94</v>
      </c>
      <c r="H53" s="749">
        <v>0</v>
      </c>
      <c r="I53" s="783">
        <v>0</v>
      </c>
      <c r="J53" s="358">
        <v>0</v>
      </c>
      <c r="K53" s="134">
        <v>0</v>
      </c>
      <c r="L53" s="783">
        <v>329.55999999999949</v>
      </c>
      <c r="M53">
        <v>0</v>
      </c>
      <c r="N53" s="843"/>
      <c r="O53" s="770">
        <v>1.78E-2</v>
      </c>
      <c r="P53" s="736">
        <v>1.2699999999999999E-2</v>
      </c>
      <c r="Q53" s="820"/>
      <c r="R53" s="770"/>
      <c r="S53" s="736"/>
      <c r="T53" s="48"/>
    </row>
    <row r="54" spans="1:41" ht="21.95" customHeight="1" x14ac:dyDescent="0.25">
      <c r="A54" s="50"/>
      <c r="B54" s="50"/>
      <c r="C54" s="51"/>
      <c r="D54" s="791"/>
      <c r="E54" s="22" t="s">
        <v>735</v>
      </c>
      <c r="F54" s="2">
        <v>674.39</v>
      </c>
      <c r="G54" s="783">
        <v>674.39</v>
      </c>
      <c r="H54" s="791">
        <v>0</v>
      </c>
      <c r="I54" s="783">
        <v>0</v>
      </c>
      <c r="J54" s="358">
        <v>0</v>
      </c>
      <c r="K54" s="134">
        <v>0</v>
      </c>
      <c r="L54" s="358">
        <v>559.89000000000033</v>
      </c>
      <c r="M54">
        <v>0</v>
      </c>
      <c r="N54" s="843"/>
      <c r="O54" s="770">
        <v>0</v>
      </c>
      <c r="P54" s="736">
        <v>-2.5000000000000001E-3</v>
      </c>
      <c r="Q54" s="783"/>
      <c r="R54" s="770"/>
      <c r="X54"/>
      <c r="Y54"/>
      <c r="Z54"/>
      <c r="AA54" s="2"/>
      <c r="AB54"/>
      <c r="AC54"/>
      <c r="AD54" s="2"/>
      <c r="AE54"/>
      <c r="AF54"/>
      <c r="AG54" s="2"/>
      <c r="AH54"/>
      <c r="AI54" s="2"/>
      <c r="AJ54"/>
      <c r="AK54"/>
      <c r="AL54"/>
      <c r="AM54"/>
      <c r="AN54"/>
      <c r="AO54"/>
    </row>
    <row r="55" spans="1:41" ht="21.95" customHeight="1" x14ac:dyDescent="0.25">
      <c r="A55" s="50"/>
      <c r="B55" s="51"/>
      <c r="C55" s="51"/>
      <c r="D55" s="791"/>
      <c r="E55" s="22" t="s">
        <v>946</v>
      </c>
      <c r="F55" s="2">
        <v>229.56</v>
      </c>
      <c r="G55" s="783">
        <v>229.56</v>
      </c>
      <c r="H55" s="791">
        <v>0</v>
      </c>
      <c r="I55" s="783">
        <v>0</v>
      </c>
      <c r="J55" s="358">
        <v>137.51000000000022</v>
      </c>
      <c r="K55" s="134">
        <v>0</v>
      </c>
      <c r="L55" s="358">
        <v>137.51000000000022</v>
      </c>
      <c r="M55">
        <v>0</v>
      </c>
      <c r="N55" s="843"/>
      <c r="O55" s="770">
        <v>7.6668409130510543E-3</v>
      </c>
      <c r="P55" s="736">
        <v>-2.1600000000000001E-2</v>
      </c>
      <c r="Q55" s="783">
        <v>26.631090487238982</v>
      </c>
      <c r="R55" s="770"/>
      <c r="S55" s="736"/>
    </row>
    <row r="56" spans="1:41" ht="21.95" customHeight="1" x14ac:dyDescent="0.25">
      <c r="A56" s="50"/>
      <c r="B56" s="51"/>
      <c r="C56" s="51"/>
      <c r="D56" s="791"/>
      <c r="E56" s="22" t="s">
        <v>923</v>
      </c>
      <c r="F56" s="2">
        <v>34.39</v>
      </c>
      <c r="G56" s="783">
        <v>34.39</v>
      </c>
      <c r="H56" s="749">
        <v>0</v>
      </c>
      <c r="I56" s="783">
        <v>0</v>
      </c>
      <c r="J56" s="358">
        <v>845.78000000000065</v>
      </c>
      <c r="K56" s="134">
        <v>0</v>
      </c>
      <c r="L56" s="358">
        <v>845.78000000000065</v>
      </c>
      <c r="M56">
        <v>0</v>
      </c>
      <c r="N56" s="843"/>
      <c r="O56" s="770">
        <v>7.6766501890084327E-2</v>
      </c>
      <c r="P56" s="736">
        <v>1.3599999999999999E-2</v>
      </c>
      <c r="Q56" s="783"/>
      <c r="R56" s="770"/>
      <c r="S56" s="48"/>
      <c r="T56" s="48"/>
      <c r="U56" s="48"/>
    </row>
    <row r="57" spans="1:41" ht="21.95" customHeight="1" x14ac:dyDescent="0.25">
      <c r="A57" s="51"/>
      <c r="B57" s="51"/>
      <c r="C57" s="51"/>
      <c r="D57" s="791"/>
      <c r="E57" s="22" t="s">
        <v>194</v>
      </c>
      <c r="F57" s="2">
        <v>74.900000000000006</v>
      </c>
      <c r="G57" s="783">
        <v>74.900000000000006</v>
      </c>
      <c r="H57" s="791">
        <v>0</v>
      </c>
      <c r="I57" s="783">
        <v>0</v>
      </c>
      <c r="J57" s="358">
        <v>0</v>
      </c>
      <c r="K57" s="134">
        <v>0</v>
      </c>
      <c r="L57" s="358">
        <v>785.90999999999985</v>
      </c>
      <c r="M57">
        <v>0</v>
      </c>
      <c r="N57" s="843"/>
      <c r="O57" s="770">
        <v>1.29E-2</v>
      </c>
      <c r="P57" s="736">
        <v>-5.7000000000000002E-3</v>
      </c>
      <c r="Q57" s="783"/>
      <c r="R57" s="770"/>
      <c r="S57" s="736"/>
      <c r="T57" s="48"/>
    </row>
    <row r="58" spans="1:41" ht="21.95" customHeight="1" x14ac:dyDescent="0.25">
      <c r="A58" s="50"/>
      <c r="B58" s="50"/>
      <c r="C58" s="51"/>
      <c r="D58" s="791"/>
      <c r="E58" s="22" t="s">
        <v>224</v>
      </c>
      <c r="F58" s="2">
        <v>58.72</v>
      </c>
      <c r="G58" s="783">
        <v>58.72</v>
      </c>
      <c r="H58" s="791">
        <v>0</v>
      </c>
      <c r="I58" s="783">
        <v>0</v>
      </c>
      <c r="J58" s="358">
        <v>0</v>
      </c>
      <c r="K58" s="134">
        <v>0</v>
      </c>
      <c r="L58" s="358">
        <v>257.64999999999964</v>
      </c>
      <c r="M58">
        <v>0</v>
      </c>
      <c r="N58" s="843"/>
      <c r="O58" s="770">
        <v>0</v>
      </c>
      <c r="P58" s="736">
        <v>3.3E-3</v>
      </c>
      <c r="Q58" s="783"/>
      <c r="R58" s="770"/>
      <c r="S58" s="48"/>
      <c r="T58" s="48"/>
    </row>
    <row r="59" spans="1:41" ht="21.95" customHeight="1" x14ac:dyDescent="0.25">
      <c r="A59" s="51"/>
      <c r="B59" s="50"/>
      <c r="C59" s="51"/>
      <c r="D59" s="791"/>
      <c r="E59" s="22" t="s">
        <v>824</v>
      </c>
      <c r="F59" s="2">
        <v>453.38</v>
      </c>
      <c r="G59" s="783">
        <v>453.38</v>
      </c>
      <c r="H59" s="749">
        <v>0</v>
      </c>
      <c r="I59" s="783">
        <v>0</v>
      </c>
      <c r="J59" s="358">
        <v>0</v>
      </c>
      <c r="K59" s="134">
        <v>0</v>
      </c>
      <c r="L59" s="358">
        <v>1264.8599999999997</v>
      </c>
      <c r="M59">
        <v>0</v>
      </c>
      <c r="N59" s="843"/>
      <c r="O59" s="770">
        <v>0</v>
      </c>
      <c r="P59" s="736">
        <v>-1.37E-2</v>
      </c>
      <c r="Q59" s="820"/>
      <c r="R59" s="770"/>
      <c r="S59" s="736"/>
      <c r="T59" s="48"/>
    </row>
    <row r="60" spans="1:41" ht="21.95" customHeight="1" x14ac:dyDescent="0.25">
      <c r="A60" s="50"/>
      <c r="B60" s="50"/>
      <c r="C60" s="51"/>
      <c r="D60" s="791"/>
      <c r="E60" s="22" t="s">
        <v>34</v>
      </c>
      <c r="F60" s="2">
        <v>61.39</v>
      </c>
      <c r="G60" s="783">
        <v>61.39</v>
      </c>
      <c r="H60" s="749">
        <v>0</v>
      </c>
      <c r="I60" s="783">
        <v>0</v>
      </c>
      <c r="J60" s="358">
        <v>0</v>
      </c>
      <c r="K60" s="134">
        <v>0</v>
      </c>
      <c r="L60" s="358">
        <v>21137.586999999941</v>
      </c>
      <c r="M60">
        <v>0</v>
      </c>
      <c r="N60" s="843"/>
      <c r="O60" s="770">
        <v>0</v>
      </c>
      <c r="P60" s="736">
        <v>-3.1899999999999998E-2</v>
      </c>
      <c r="Q60" s="783"/>
      <c r="R60" s="770"/>
      <c r="S60" s="736"/>
      <c r="T60" s="48"/>
    </row>
    <row r="61" spans="1:41" ht="21.95" customHeight="1" x14ac:dyDescent="0.25">
      <c r="A61" s="50"/>
      <c r="B61" s="51"/>
      <c r="C61" s="51"/>
      <c r="D61" s="791"/>
      <c r="E61" s="22" t="s">
        <v>172</v>
      </c>
      <c r="F61" s="2">
        <v>58.81</v>
      </c>
      <c r="G61" s="783">
        <v>58.81</v>
      </c>
      <c r="H61" s="791">
        <v>0</v>
      </c>
      <c r="I61" s="783">
        <v>0</v>
      </c>
      <c r="J61" s="358">
        <v>0</v>
      </c>
      <c r="K61" s="134">
        <v>0</v>
      </c>
      <c r="L61" s="358">
        <v>119.92000000000053</v>
      </c>
      <c r="M61">
        <v>0</v>
      </c>
      <c r="N61" s="843"/>
      <c r="O61" s="770">
        <v>3.6400000000000002E-2</v>
      </c>
      <c r="P61" s="736">
        <v>5.0000000000000001E-4</v>
      </c>
      <c r="Q61" s="783"/>
      <c r="R61" s="770"/>
      <c r="S61" s="736"/>
    </row>
    <row r="62" spans="1:41" ht="21.95" customHeight="1" x14ac:dyDescent="0.25">
      <c r="A62" s="50"/>
      <c r="B62" s="50"/>
      <c r="C62" s="51"/>
      <c r="D62" s="791"/>
      <c r="E62" s="22" t="s">
        <v>27</v>
      </c>
      <c r="F62" s="2">
        <v>55.05</v>
      </c>
      <c r="G62" s="783">
        <v>55.05</v>
      </c>
      <c r="H62" s="822">
        <v>0</v>
      </c>
      <c r="I62" s="783">
        <v>0</v>
      </c>
      <c r="J62" s="358">
        <v>0</v>
      </c>
      <c r="K62" s="134">
        <v>0</v>
      </c>
      <c r="L62" s="358">
        <v>1407.5400000000009</v>
      </c>
      <c r="M62">
        <v>0</v>
      </c>
      <c r="N62" s="843"/>
      <c r="O62" s="770">
        <v>3.0200000000000001E-2</v>
      </c>
      <c r="P62" s="736">
        <v>3.0999999999999999E-3</v>
      </c>
      <c r="Q62" s="783"/>
      <c r="R62" s="770"/>
      <c r="S62" s="736"/>
    </row>
    <row r="63" spans="1:41" ht="21.95" customHeight="1" x14ac:dyDescent="0.25">
      <c r="A63" s="50"/>
      <c r="B63" s="50"/>
      <c r="C63" s="51"/>
      <c r="D63" s="791"/>
      <c r="E63" s="22" t="s">
        <v>22</v>
      </c>
      <c r="F63" s="2">
        <v>61.84</v>
      </c>
      <c r="G63" s="783">
        <v>61.84</v>
      </c>
      <c r="H63" s="791">
        <v>0</v>
      </c>
      <c r="I63" s="783">
        <v>0</v>
      </c>
      <c r="J63" s="358">
        <v>0</v>
      </c>
      <c r="K63" s="134">
        <v>0</v>
      </c>
      <c r="L63" s="358">
        <v>3178.8000000000466</v>
      </c>
      <c r="M63">
        <v>0</v>
      </c>
      <c r="N63" s="843"/>
      <c r="O63" s="770">
        <v>2.07E-2</v>
      </c>
      <c r="P63" s="736">
        <v>2.4500000000000001E-2</v>
      </c>
      <c r="Q63" s="783"/>
      <c r="R63" s="770"/>
      <c r="X63"/>
      <c r="Y63"/>
      <c r="Z63"/>
      <c r="AA63" s="2"/>
      <c r="AB63"/>
      <c r="AC63"/>
      <c r="AD63" s="2"/>
      <c r="AE63"/>
      <c r="AF63"/>
      <c r="AG63" s="2"/>
      <c r="AH63"/>
      <c r="AI63" s="2"/>
      <c r="AJ63"/>
      <c r="AK63"/>
      <c r="AL63"/>
      <c r="AM63"/>
      <c r="AN63"/>
      <c r="AO63"/>
    </row>
    <row r="64" spans="1:41" ht="21.95" customHeight="1" x14ac:dyDescent="0.25">
      <c r="A64" s="50"/>
      <c r="B64" s="50"/>
      <c r="C64" s="51"/>
      <c r="D64" s="791"/>
      <c r="E64" s="22" t="s">
        <v>42</v>
      </c>
      <c r="F64" s="2">
        <v>144.52000000000001</v>
      </c>
      <c r="G64" s="783">
        <v>144.52000000000001</v>
      </c>
      <c r="H64" s="823">
        <v>0</v>
      </c>
      <c r="I64" s="783">
        <v>0</v>
      </c>
      <c r="J64" s="358">
        <v>0</v>
      </c>
      <c r="K64" s="134">
        <v>0</v>
      </c>
      <c r="L64" s="358">
        <v>128.08999999999833</v>
      </c>
      <c r="M64">
        <v>0</v>
      </c>
      <c r="N64" s="817"/>
      <c r="O64" s="770">
        <v>2.18E-2</v>
      </c>
      <c r="P64" s="736">
        <v>8.3000000000000001E-3</v>
      </c>
      <c r="Q64" s="820"/>
      <c r="R64" s="770"/>
    </row>
    <row r="65" spans="1:41" ht="21.95" customHeight="1" x14ac:dyDescent="0.25">
      <c r="A65" s="50"/>
      <c r="B65" s="50"/>
      <c r="C65" s="50"/>
      <c r="D65" s="791"/>
      <c r="E65" s="22" t="s">
        <v>268</v>
      </c>
      <c r="F65" s="2">
        <v>51.75</v>
      </c>
      <c r="G65" s="783">
        <v>51.75</v>
      </c>
      <c r="H65" s="749">
        <v>0</v>
      </c>
      <c r="I65" s="783">
        <v>0</v>
      </c>
      <c r="J65" s="358">
        <v>0</v>
      </c>
      <c r="K65" s="134">
        <v>0</v>
      </c>
      <c r="L65" s="358">
        <v>427.92000000000007</v>
      </c>
      <c r="M65">
        <v>0</v>
      </c>
      <c r="N65" s="843"/>
      <c r="O65" s="770">
        <v>0</v>
      </c>
      <c r="P65" s="736">
        <v>2.0000000000000001E-4</v>
      </c>
      <c r="Q65" s="783"/>
      <c r="R65" s="770"/>
      <c r="S65" s="736"/>
    </row>
    <row r="66" spans="1:41" ht="21.95" customHeight="1" x14ac:dyDescent="0.25">
      <c r="A66" s="51"/>
      <c r="B66" s="50"/>
      <c r="C66" s="51"/>
      <c r="D66" s="791"/>
      <c r="E66" s="22" t="s">
        <v>170</v>
      </c>
      <c r="F66" s="2">
        <v>99.81</v>
      </c>
      <c r="G66" s="783">
        <v>99.81</v>
      </c>
      <c r="H66" s="791">
        <v>0</v>
      </c>
      <c r="I66" s="783">
        <v>0</v>
      </c>
      <c r="J66" s="358">
        <v>0</v>
      </c>
      <c r="K66" s="134">
        <v>0</v>
      </c>
      <c r="L66" s="358">
        <v>1368.9000000000015</v>
      </c>
      <c r="M66">
        <v>0</v>
      </c>
      <c r="N66" s="817"/>
      <c r="O66" s="770">
        <v>1.14E-2</v>
      </c>
      <c r="P66" s="736">
        <v>8.8000000000000005E-3</v>
      </c>
      <c r="Q66" s="820"/>
      <c r="R66" s="770"/>
      <c r="S66" s="48"/>
      <c r="T66" s="48"/>
    </row>
    <row r="67" spans="1:41" ht="21.95" customHeight="1" x14ac:dyDescent="0.25">
      <c r="A67" s="50"/>
      <c r="B67" s="51"/>
      <c r="C67" s="51"/>
      <c r="D67" s="791"/>
      <c r="E67" s="22" t="s">
        <v>8</v>
      </c>
      <c r="F67" s="2">
        <v>83.35</v>
      </c>
      <c r="G67" s="783">
        <v>83.35</v>
      </c>
      <c r="H67" s="791">
        <v>0</v>
      </c>
      <c r="I67" s="783">
        <v>0</v>
      </c>
      <c r="J67" s="358">
        <v>0</v>
      </c>
      <c r="K67" s="134">
        <v>0</v>
      </c>
      <c r="L67" s="358">
        <v>121.94999999999982</v>
      </c>
      <c r="M67">
        <v>0</v>
      </c>
      <c r="N67" s="817"/>
      <c r="O67" s="770">
        <v>1.67E-2</v>
      </c>
      <c r="P67" s="736">
        <v>9.4999999999999998E-3</v>
      </c>
      <c r="Q67" s="783"/>
      <c r="R67" s="770"/>
      <c r="S67" s="736"/>
    </row>
    <row r="68" spans="1:41" ht="21.95" customHeight="1" x14ac:dyDescent="0.25">
      <c r="A68" s="50"/>
      <c r="B68" s="50"/>
      <c r="C68" s="51"/>
      <c r="D68" s="791"/>
      <c r="E68" s="22" t="s">
        <v>10</v>
      </c>
      <c r="F68" s="2">
        <v>48.52</v>
      </c>
      <c r="G68" s="783">
        <v>48.52</v>
      </c>
      <c r="H68" s="791">
        <v>0</v>
      </c>
      <c r="I68" s="783">
        <v>0</v>
      </c>
      <c r="J68" s="358">
        <v>0</v>
      </c>
      <c r="K68" s="134">
        <v>0</v>
      </c>
      <c r="L68" s="358">
        <v>1128.3800000000047</v>
      </c>
      <c r="M68">
        <v>0</v>
      </c>
      <c r="N68" s="843"/>
      <c r="O68" s="770">
        <v>1.2500000000000001E-2</v>
      </c>
      <c r="P68" s="736">
        <v>1.04E-2</v>
      </c>
      <c r="Q68" s="820"/>
      <c r="R68" s="770"/>
      <c r="S68" s="736"/>
    </row>
    <row r="69" spans="1:41" ht="21.95" customHeight="1" x14ac:dyDescent="0.25">
      <c r="A69" s="51"/>
      <c r="B69" s="51"/>
      <c r="C69" s="51"/>
      <c r="D69" s="791"/>
      <c r="E69" s="22" t="s">
        <v>223</v>
      </c>
      <c r="F69" s="2">
        <v>43.18</v>
      </c>
      <c r="G69" s="783">
        <v>43.18</v>
      </c>
      <c r="H69" s="791">
        <v>0</v>
      </c>
      <c r="I69" s="783">
        <v>0</v>
      </c>
      <c r="J69" s="358">
        <v>0</v>
      </c>
      <c r="K69" s="134">
        <v>0</v>
      </c>
      <c r="L69" s="358">
        <v>4376.9599999999991</v>
      </c>
      <c r="M69">
        <v>0</v>
      </c>
      <c r="N69" s="817"/>
      <c r="O69" s="770">
        <v>4.0899999999999999E-2</v>
      </c>
      <c r="P69" s="736">
        <v>1.3599999999999999E-2</v>
      </c>
      <c r="Q69" s="783"/>
      <c r="R69" s="770"/>
      <c r="S69" s="48"/>
      <c r="T69" s="48"/>
      <c r="U69" s="48"/>
    </row>
    <row r="70" spans="1:41" ht="21.95" customHeight="1" x14ac:dyDescent="0.25">
      <c r="A70" s="50"/>
      <c r="B70" s="50"/>
      <c r="C70" s="51"/>
      <c r="D70" s="791"/>
      <c r="E70" s="22" t="s">
        <v>341</v>
      </c>
      <c r="F70" s="2">
        <v>78.02</v>
      </c>
      <c r="G70" s="783">
        <v>78.02</v>
      </c>
      <c r="H70" s="791">
        <v>0</v>
      </c>
      <c r="I70" s="783">
        <v>0</v>
      </c>
      <c r="J70" s="358">
        <v>129.92000000000007</v>
      </c>
      <c r="K70" s="134">
        <v>0</v>
      </c>
      <c r="L70" s="358">
        <v>2190.3500000000004</v>
      </c>
      <c r="M70">
        <v>0</v>
      </c>
      <c r="N70" s="843"/>
      <c r="O70" s="770">
        <v>4.3499999999999997E-2</v>
      </c>
      <c r="P70" s="736">
        <v>8.0999999999999996E-3</v>
      </c>
      <c r="Q70" s="783">
        <v>14.86095238095238</v>
      </c>
      <c r="R70" s="770"/>
      <c r="S70" s="48"/>
    </row>
    <row r="71" spans="1:41" ht="21.95" customHeight="1" x14ac:dyDescent="0.25">
      <c r="A71" s="50"/>
      <c r="B71" s="50"/>
      <c r="C71" s="51"/>
      <c r="D71" s="791"/>
      <c r="E71" s="22" t="s">
        <v>24</v>
      </c>
      <c r="F71" s="2">
        <v>64.650000000000006</v>
      </c>
      <c r="G71" s="783">
        <v>64.650000000000006</v>
      </c>
      <c r="H71" s="791">
        <v>0</v>
      </c>
      <c r="I71" s="783">
        <v>0</v>
      </c>
      <c r="J71" s="358">
        <v>0</v>
      </c>
      <c r="K71" s="134">
        <v>0</v>
      </c>
      <c r="L71" s="358">
        <v>937.36999999999534</v>
      </c>
      <c r="M71">
        <v>0</v>
      </c>
      <c r="N71" s="843"/>
      <c r="O71" s="770">
        <v>0</v>
      </c>
      <c r="P71" s="736">
        <v>1.38E-2</v>
      </c>
      <c r="Q71" s="783"/>
      <c r="R71" s="770"/>
      <c r="S71" s="736"/>
      <c r="T71" s="48"/>
      <c r="V71" s="48"/>
    </row>
    <row r="72" spans="1:41" ht="21.95" customHeight="1" x14ac:dyDescent="0.25">
      <c r="A72" s="50"/>
      <c r="B72" s="50"/>
      <c r="C72" s="50"/>
      <c r="D72" s="791"/>
      <c r="E72" s="22" t="s">
        <v>45</v>
      </c>
      <c r="F72" s="2">
        <v>93.71</v>
      </c>
      <c r="G72" s="783">
        <v>93.71</v>
      </c>
      <c r="H72" s="791">
        <v>0</v>
      </c>
      <c r="I72" s="783">
        <v>0</v>
      </c>
      <c r="J72" s="358">
        <v>0</v>
      </c>
      <c r="K72" s="134">
        <v>0</v>
      </c>
      <c r="L72" s="358">
        <v>523.61999999999898</v>
      </c>
      <c r="M72">
        <v>0</v>
      </c>
      <c r="N72" s="843"/>
      <c r="O72" s="770">
        <v>1.67E-2</v>
      </c>
      <c r="P72" s="736">
        <v>-6.4999999999999997E-3</v>
      </c>
      <c r="Q72" s="820"/>
      <c r="R72" s="770"/>
      <c r="S72" s="48"/>
      <c r="X72"/>
      <c r="Y72"/>
      <c r="Z72"/>
      <c r="AA72" s="2"/>
      <c r="AB72"/>
      <c r="AC72"/>
      <c r="AD72" s="2"/>
      <c r="AE72"/>
      <c r="AF72"/>
      <c r="AG72" s="2"/>
      <c r="AH72"/>
      <c r="AI72" s="2"/>
      <c r="AJ72"/>
      <c r="AK72"/>
      <c r="AL72"/>
      <c r="AM72"/>
      <c r="AN72"/>
      <c r="AO72"/>
    </row>
    <row r="73" spans="1:41" ht="21.95" customHeight="1" x14ac:dyDescent="0.25">
      <c r="A73" s="50"/>
      <c r="B73" s="50"/>
      <c r="C73" s="51"/>
      <c r="D73" s="791"/>
      <c r="E73" s="22" t="s">
        <v>47</v>
      </c>
      <c r="F73" s="2">
        <v>154.22999999999999</v>
      </c>
      <c r="G73" s="783">
        <v>154.22999999999999</v>
      </c>
      <c r="H73" s="791">
        <v>0</v>
      </c>
      <c r="I73" s="783">
        <v>0</v>
      </c>
      <c r="J73" s="358">
        <v>0</v>
      </c>
      <c r="K73" s="134">
        <v>0</v>
      </c>
      <c r="L73" s="358">
        <v>-168.6200000000008</v>
      </c>
      <c r="M73">
        <v>0</v>
      </c>
      <c r="N73" s="817"/>
      <c r="O73" s="770">
        <v>0</v>
      </c>
      <c r="P73" s="736">
        <v>1.0800000000000001E-2</v>
      </c>
      <c r="Q73" s="820"/>
      <c r="R73" s="770"/>
      <c r="S73" s="736"/>
      <c r="T73" s="48"/>
      <c r="U73" s="48"/>
    </row>
    <row r="74" spans="1:41" ht="21.95" customHeight="1" x14ac:dyDescent="0.25">
      <c r="A74" s="51"/>
      <c r="B74" s="51"/>
      <c r="C74" s="51"/>
      <c r="D74" s="791"/>
      <c r="E74" s="22" t="s">
        <v>33</v>
      </c>
      <c r="F74" s="2">
        <v>257.97000000000003</v>
      </c>
      <c r="G74" s="783">
        <v>257.97000000000003</v>
      </c>
      <c r="H74" s="749">
        <v>0</v>
      </c>
      <c r="I74" s="783">
        <v>0</v>
      </c>
      <c r="J74" s="358">
        <v>0</v>
      </c>
      <c r="K74" s="134">
        <v>0</v>
      </c>
      <c r="L74" s="358">
        <v>780.73999999999796</v>
      </c>
      <c r="M74">
        <v>0</v>
      </c>
      <c r="N74" s="843"/>
      <c r="O74" s="770">
        <v>1.8599999999999998E-2</v>
      </c>
      <c r="P74" s="736">
        <v>-4.4000000000000003E-3</v>
      </c>
      <c r="Q74" s="783"/>
      <c r="R74" s="770"/>
      <c r="S74" s="48"/>
    </row>
    <row r="75" spans="1:41" ht="21.95" customHeight="1" x14ac:dyDescent="0.25">
      <c r="A75" s="51"/>
      <c r="B75" s="51"/>
      <c r="C75" s="51"/>
      <c r="D75" s="791"/>
      <c r="E75" s="22" t="s">
        <v>13</v>
      </c>
      <c r="F75" s="2">
        <v>69.989999999999995</v>
      </c>
      <c r="G75" s="783">
        <v>69.989999999999995</v>
      </c>
      <c r="H75" s="791">
        <v>0</v>
      </c>
      <c r="I75" s="783">
        <v>0</v>
      </c>
      <c r="J75" s="358">
        <v>0</v>
      </c>
      <c r="K75" s="134">
        <v>0</v>
      </c>
      <c r="L75" s="358">
        <v>1461.5600000000013</v>
      </c>
      <c r="M75">
        <v>0</v>
      </c>
      <c r="N75" s="843"/>
      <c r="O75" s="771">
        <v>0</v>
      </c>
      <c r="P75" s="736">
        <v>-3.5999999999999999E-3</v>
      </c>
      <c r="R75" s="770"/>
      <c r="S75" s="736"/>
      <c r="T75" s="48"/>
      <c r="V75" s="48"/>
      <c r="W75" s="48"/>
    </row>
    <row r="76" spans="1:41" ht="21.95" customHeight="1" x14ac:dyDescent="0.25">
      <c r="A76" s="51"/>
      <c r="B76" s="51"/>
      <c r="C76" s="51"/>
      <c r="D76" s="791"/>
      <c r="E76" s="22" t="s">
        <v>52</v>
      </c>
      <c r="F76" s="2">
        <v>53.35</v>
      </c>
      <c r="G76" s="783">
        <v>53.35</v>
      </c>
      <c r="H76" s="791">
        <v>0</v>
      </c>
      <c r="I76" s="783">
        <v>0</v>
      </c>
      <c r="J76" s="358">
        <v>0</v>
      </c>
      <c r="K76" s="134">
        <v>0</v>
      </c>
      <c r="L76" s="358">
        <v>1056.739999999998</v>
      </c>
      <c r="M76">
        <v>0</v>
      </c>
      <c r="N76" s="843"/>
      <c r="O76" s="770">
        <v>2.1999999999999999E-2</v>
      </c>
      <c r="P76" s="736">
        <v>-3.3E-3</v>
      </c>
      <c r="Q76" s="783"/>
      <c r="R76" s="770"/>
      <c r="S76" s="48"/>
      <c r="X76"/>
      <c r="Y76"/>
      <c r="Z76"/>
      <c r="AA76" s="2"/>
      <c r="AB76"/>
      <c r="AC76"/>
      <c r="AD76" s="2"/>
      <c r="AE76"/>
      <c r="AF76"/>
      <c r="AG76" s="2"/>
      <c r="AH76"/>
      <c r="AI76" s="2"/>
      <c r="AJ76"/>
      <c r="AK76"/>
      <c r="AL76"/>
      <c r="AM76"/>
      <c r="AN76"/>
      <c r="AO76"/>
    </row>
    <row r="77" spans="1:41" ht="21.95" customHeight="1" x14ac:dyDescent="0.25">
      <c r="A77" s="50"/>
      <c r="B77" s="50"/>
      <c r="C77" s="51"/>
      <c r="D77" s="791"/>
      <c r="E77" s="22" t="s">
        <v>330</v>
      </c>
      <c r="F77" s="2">
        <v>23.11</v>
      </c>
      <c r="G77" s="783">
        <v>23.11</v>
      </c>
      <c r="H77" s="749">
        <v>0</v>
      </c>
      <c r="I77" s="783">
        <v>0</v>
      </c>
      <c r="J77" s="358">
        <v>926.77000000000044</v>
      </c>
      <c r="K77" s="134">
        <v>0</v>
      </c>
      <c r="L77" s="358">
        <v>1211.7400000000052</v>
      </c>
      <c r="M77">
        <v>0</v>
      </c>
      <c r="N77" s="843"/>
      <c r="O77" s="770">
        <v>0</v>
      </c>
      <c r="P77" s="736">
        <v>5.57E-2</v>
      </c>
      <c r="Q77" s="820">
        <v>9.4326530612244888</v>
      </c>
      <c r="R77" s="770"/>
      <c r="U77" s="48"/>
    </row>
    <row r="78" spans="1:41" ht="21.95" customHeight="1" x14ac:dyDescent="0.25">
      <c r="A78" s="50"/>
      <c r="B78" s="50"/>
      <c r="C78" s="51"/>
      <c r="D78" s="791"/>
      <c r="E78" s="22" t="s">
        <v>63</v>
      </c>
      <c r="F78" s="2">
        <v>103.98</v>
      </c>
      <c r="G78" s="783">
        <v>103.98</v>
      </c>
      <c r="H78" s="791">
        <v>0</v>
      </c>
      <c r="I78" s="783">
        <v>0</v>
      </c>
      <c r="J78" s="358">
        <v>0</v>
      </c>
      <c r="K78" s="134">
        <v>0</v>
      </c>
      <c r="L78" s="358">
        <v>257.30999999999949</v>
      </c>
      <c r="M78">
        <v>0</v>
      </c>
      <c r="N78" s="843"/>
      <c r="O78" s="770">
        <v>1.38E-2</v>
      </c>
      <c r="P78" s="736">
        <v>-6.7000000000000002E-3</v>
      </c>
      <c r="Q78" s="783"/>
      <c r="R78" s="770"/>
      <c r="S78" s="736"/>
      <c r="T78" s="48"/>
      <c r="U78" s="48"/>
    </row>
    <row r="79" spans="1:41" ht="21.95" customHeight="1" x14ac:dyDescent="0.25">
      <c r="A79" s="50"/>
      <c r="B79" s="50"/>
      <c r="C79" s="51"/>
      <c r="D79" s="791"/>
      <c r="E79" s="22" t="s">
        <v>9</v>
      </c>
      <c r="F79" s="2">
        <v>7.33</v>
      </c>
      <c r="G79" s="783">
        <v>7.33</v>
      </c>
      <c r="H79" s="791">
        <v>0</v>
      </c>
      <c r="I79" s="783">
        <v>0</v>
      </c>
      <c r="J79" s="358">
        <v>-8332.1133333333346</v>
      </c>
      <c r="K79" s="134">
        <v>0</v>
      </c>
      <c r="L79" s="358">
        <v>-7897.1833333333343</v>
      </c>
      <c r="M79">
        <v>0</v>
      </c>
      <c r="N79" s="817"/>
      <c r="O79" s="770">
        <v>0.04</v>
      </c>
      <c r="P79" s="736">
        <v>-9.5999999999999992E-3</v>
      </c>
      <c r="Q79" s="783"/>
      <c r="R79" s="770"/>
      <c r="S79" s="736"/>
      <c r="T79" s="48"/>
    </row>
    <row r="80" spans="1:41" ht="21.95" customHeight="1" x14ac:dyDescent="0.25">
      <c r="A80" s="51"/>
      <c r="B80" s="51"/>
      <c r="C80" s="51"/>
      <c r="D80" s="791"/>
      <c r="E80" s="22" t="s">
        <v>53</v>
      </c>
      <c r="F80" s="2">
        <v>79.03</v>
      </c>
      <c r="G80" s="783">
        <v>79.03</v>
      </c>
      <c r="H80" s="749">
        <v>0</v>
      </c>
      <c r="I80" s="783">
        <v>0</v>
      </c>
      <c r="J80" s="358">
        <v>0</v>
      </c>
      <c r="K80" s="134">
        <v>0</v>
      </c>
      <c r="L80" s="358">
        <v>33.940000000000055</v>
      </c>
      <c r="M80">
        <v>0</v>
      </c>
      <c r="N80" s="843"/>
      <c r="O80" s="770">
        <v>7.4000000000000003E-3</v>
      </c>
      <c r="P80" s="736">
        <v>1.34E-2</v>
      </c>
      <c r="Q80" s="820"/>
      <c r="R80" s="770"/>
      <c r="S80" s="736"/>
    </row>
    <row r="81" spans="1:20" ht="21.95" customHeight="1" x14ac:dyDescent="0.25">
      <c r="A81" s="50"/>
      <c r="B81" s="50"/>
      <c r="C81" s="51"/>
      <c r="D81" s="791"/>
      <c r="E81" s="22" t="s">
        <v>56</v>
      </c>
      <c r="F81" s="2">
        <v>44.25</v>
      </c>
      <c r="G81" s="783">
        <v>44.25</v>
      </c>
      <c r="H81" s="749">
        <v>0</v>
      </c>
      <c r="I81" s="783">
        <v>0</v>
      </c>
      <c r="J81" s="358">
        <v>0</v>
      </c>
      <c r="K81" s="134">
        <v>0</v>
      </c>
      <c r="L81" s="783">
        <v>36.819999999999709</v>
      </c>
      <c r="M81">
        <v>0</v>
      </c>
      <c r="N81" s="843"/>
      <c r="O81" s="770">
        <v>4.2999999999999997E-2</v>
      </c>
      <c r="P81" s="736">
        <v>7.1000000000000004E-3</v>
      </c>
      <c r="Q81" s="783"/>
      <c r="R81" s="770"/>
      <c r="S81" s="48"/>
      <c r="T81" s="48"/>
    </row>
    <row r="82" spans="1:20" ht="21.95" customHeight="1" x14ac:dyDescent="0.25">
      <c r="A82" s="50"/>
      <c r="B82" s="51"/>
      <c r="C82" s="51"/>
      <c r="D82" s="791"/>
      <c r="E82" s="22" t="s">
        <v>0</v>
      </c>
      <c r="F82" s="2">
        <v>217.02</v>
      </c>
      <c r="G82" s="783">
        <v>217.02</v>
      </c>
      <c r="H82" s="791">
        <v>0</v>
      </c>
      <c r="I82" s="783">
        <v>0</v>
      </c>
      <c r="J82" s="358">
        <v>0</v>
      </c>
      <c r="K82" s="134">
        <v>0</v>
      </c>
      <c r="L82" s="358">
        <v>465.57999999999993</v>
      </c>
      <c r="M82">
        <v>0</v>
      </c>
      <c r="N82" s="843"/>
      <c r="O82" s="770">
        <v>3.8999999999999998E-3</v>
      </c>
      <c r="P82" s="736">
        <v>2.0999999999999999E-3</v>
      </c>
      <c r="Q82" s="783"/>
      <c r="R82" s="770"/>
      <c r="T82" s="48"/>
    </row>
    <row r="83" spans="1:20" ht="21.95" customHeight="1" x14ac:dyDescent="0.25">
      <c r="A83" s="51"/>
      <c r="B83" s="51"/>
      <c r="C83" s="51"/>
      <c r="D83" s="791"/>
      <c r="E83" s="22" t="s">
        <v>39</v>
      </c>
      <c r="F83" s="2">
        <v>48.55</v>
      </c>
      <c r="G83" s="783">
        <v>48.55</v>
      </c>
      <c r="H83" s="791">
        <v>0</v>
      </c>
      <c r="I83" s="783">
        <v>0</v>
      </c>
      <c r="J83" s="358">
        <v>0</v>
      </c>
      <c r="K83" s="134">
        <v>0</v>
      </c>
      <c r="L83" s="358">
        <v>529.88000000000284</v>
      </c>
      <c r="M83">
        <v>0</v>
      </c>
      <c r="N83" s="843"/>
      <c r="O83" s="770">
        <v>2.3E-2</v>
      </c>
      <c r="P83" s="736">
        <v>6.1000000000000004E-3</v>
      </c>
      <c r="Q83" s="783"/>
      <c r="R83" s="770"/>
      <c r="S83" s="48"/>
      <c r="T83" s="48"/>
    </row>
    <row r="84" spans="1:20" ht="21.95" customHeight="1" x14ac:dyDescent="0.25">
      <c r="A84" s="50"/>
      <c r="B84" s="50"/>
      <c r="C84" s="51"/>
      <c r="D84" s="791"/>
      <c r="E84" s="22" t="s">
        <v>54</v>
      </c>
      <c r="F84" s="2">
        <v>127.61</v>
      </c>
      <c r="G84" s="783">
        <v>127.61</v>
      </c>
      <c r="H84" s="749">
        <v>0</v>
      </c>
      <c r="I84" s="783">
        <v>0</v>
      </c>
      <c r="J84" s="358">
        <v>0</v>
      </c>
      <c r="K84" s="134">
        <v>0</v>
      </c>
      <c r="L84" s="358">
        <v>114.84999999999991</v>
      </c>
      <c r="M84">
        <v>0</v>
      </c>
      <c r="N84" s="843"/>
      <c r="O84" s="770">
        <v>2.35E-2</v>
      </c>
      <c r="P84" s="736">
        <v>-1.4E-3</v>
      </c>
      <c r="Q84" s="820"/>
      <c r="R84" s="770"/>
    </row>
    <row r="85" spans="1:20" ht="21.95" customHeight="1" x14ac:dyDescent="0.25">
      <c r="A85" s="50"/>
      <c r="B85" s="51"/>
      <c r="C85" s="51"/>
      <c r="D85" s="791"/>
      <c r="E85" s="22" t="s">
        <v>51</v>
      </c>
      <c r="F85" s="2">
        <v>250.68</v>
      </c>
      <c r="G85" s="783">
        <v>250.68</v>
      </c>
      <c r="H85" s="791">
        <v>0</v>
      </c>
      <c r="I85" s="783">
        <v>0</v>
      </c>
      <c r="J85" s="358">
        <v>0</v>
      </c>
      <c r="K85" s="134">
        <v>0</v>
      </c>
      <c r="L85" s="358">
        <v>176.70000000000073</v>
      </c>
      <c r="M85">
        <v>0</v>
      </c>
      <c r="N85" s="843"/>
      <c r="O85" s="770">
        <v>1.52E-2</v>
      </c>
      <c r="P85" s="736">
        <v>5.0000000000000001E-3</v>
      </c>
      <c r="Q85" s="783"/>
      <c r="R85" s="770"/>
      <c r="S85" s="736"/>
      <c r="T85" s="48"/>
    </row>
    <row r="86" spans="1:20" ht="21.95" customHeight="1" x14ac:dyDescent="0.25">
      <c r="A86" s="50"/>
      <c r="B86" s="50"/>
      <c r="C86" s="51"/>
      <c r="F86" s="2"/>
      <c r="G86" s="2"/>
    </row>
    <row r="87" spans="1:20" ht="21.95" customHeight="1" x14ac:dyDescent="0.25">
      <c r="A87" s="50"/>
      <c r="B87" s="51"/>
      <c r="C87" s="51"/>
      <c r="F87" s="2"/>
      <c r="G87" s="2"/>
    </row>
    <row r="88" spans="1:20" ht="21.95" customHeight="1" x14ac:dyDescent="0.25">
      <c r="A88" s="50"/>
      <c r="B88" s="50"/>
      <c r="C88" s="51"/>
      <c r="F88" s="2"/>
      <c r="G88" s="2"/>
    </row>
    <row r="89" spans="1:20" ht="21.95" customHeight="1" x14ac:dyDescent="0.25">
      <c r="F89" s="2"/>
      <c r="G89" s="2"/>
    </row>
    <row r="90" spans="1:20" ht="21.95" customHeight="1" x14ac:dyDescent="0.25">
      <c r="F90" s="2"/>
      <c r="G90" s="2"/>
    </row>
    <row r="91" spans="1:20" ht="21.95" customHeight="1" x14ac:dyDescent="0.25">
      <c r="F91" s="2"/>
      <c r="G91" s="2"/>
    </row>
    <row r="92" spans="1:20" ht="21.95" customHeight="1" x14ac:dyDescent="0.25">
      <c r="F92" s="2"/>
      <c r="G92" s="2"/>
    </row>
    <row r="93" spans="1:20" ht="21.95" customHeight="1" x14ac:dyDescent="0.25">
      <c r="F93" s="2"/>
      <c r="G93" s="2"/>
    </row>
    <row r="94" spans="1:20" ht="21.95" customHeight="1" x14ac:dyDescent="0.25">
      <c r="F94" s="2"/>
      <c r="G94" s="2"/>
    </row>
    <row r="95" spans="1:20" ht="21.95" customHeight="1" x14ac:dyDescent="0.25">
      <c r="F95" s="2"/>
      <c r="G95" s="2"/>
    </row>
    <row r="96" spans="1:20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AO97">
    <sortCondition descending="1" ref="I1"/>
  </sortState>
  <dataConsolidate/>
  <conditionalFormatting sqref="O70:O71 O1 O79:O1048576">
    <cfRule type="expression" dxfId="2795" priority="479">
      <formula>$O1=0</formula>
    </cfRule>
    <cfRule type="dataBar" priority="8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94" priority="435">
      <formula>$H2=0</formula>
    </cfRule>
  </conditionalFormatting>
  <conditionalFormatting sqref="J2:K4 J70:K71 J6:K6 J21:K58 J12:K19 J86:K200">
    <cfRule type="expression" dxfId="2793" priority="436">
      <formula>$J2=0</formula>
    </cfRule>
  </conditionalFormatting>
  <conditionalFormatting sqref="L70:L71 L1:L6 L86:L1048576 L8:L58">
    <cfRule type="expression" dxfId="2792" priority="434">
      <formula>$L2=0</formula>
    </cfRule>
  </conditionalFormatting>
  <conditionalFormatting sqref="M1">
    <cfRule type="expression" dxfId="2791" priority="430">
      <formula>$L2=0</formula>
    </cfRule>
  </conditionalFormatting>
  <conditionalFormatting sqref="J2:K4 J6:K6 J21:K58 J12:K19">
    <cfRule type="expression" dxfId="2790" priority="478">
      <formula>$J2&gt;0</formula>
    </cfRule>
  </conditionalFormatting>
  <conditionalFormatting sqref="L2:L6 L8:L58">
    <cfRule type="expression" dxfId="2789" priority="432">
      <formula>$L2&lt;0</formula>
    </cfRule>
    <cfRule type="expression" dxfId="2788" priority="433">
      <formula>$L2&gt;0</formula>
    </cfRule>
  </conditionalFormatting>
  <conditionalFormatting sqref="J2:K4 J70:K71 J6:K6 J21:K58 J12:K19 J86:K458">
    <cfRule type="expression" dxfId="2787" priority="477">
      <formula>$J2&lt;0</formula>
    </cfRule>
  </conditionalFormatting>
  <conditionalFormatting sqref="E59 I59">
    <cfRule type="expression" dxfId="2786" priority="406">
      <formula>$H59=0</formula>
    </cfRule>
  </conditionalFormatting>
  <conditionalFormatting sqref="J59:K59">
    <cfRule type="expression" dxfId="2785" priority="407">
      <formula>$J59=0</formula>
    </cfRule>
  </conditionalFormatting>
  <conditionalFormatting sqref="L59">
    <cfRule type="expression" dxfId="2784" priority="405">
      <formula>$L60=0</formula>
    </cfRule>
  </conditionalFormatting>
  <conditionalFormatting sqref="J59:K59">
    <cfRule type="expression" dxfId="2783" priority="409">
      <formula>$J59&gt;0</formula>
    </cfRule>
  </conditionalFormatting>
  <conditionalFormatting sqref="L59">
    <cfRule type="expression" dxfId="2782" priority="403">
      <formula>$L59&lt;0</formula>
    </cfRule>
    <cfRule type="expression" dxfId="2781" priority="404">
      <formula>$L59&gt;0</formula>
    </cfRule>
  </conditionalFormatting>
  <conditionalFormatting sqref="J59:K59">
    <cfRule type="expression" dxfId="2780" priority="408">
      <formula>$J59&lt;0</formula>
    </cfRule>
  </conditionalFormatting>
  <conditionalFormatting sqref="E5 I5">
    <cfRule type="expression" dxfId="2779" priority="384">
      <formula>$H5=0</formula>
    </cfRule>
  </conditionalFormatting>
  <conditionalFormatting sqref="J5:K5">
    <cfRule type="expression" dxfId="2778" priority="385">
      <formula>$J5=0</formula>
    </cfRule>
  </conditionalFormatting>
  <conditionalFormatting sqref="J5:K5">
    <cfRule type="expression" dxfId="2777" priority="387">
      <formula>$J5&gt;0</formula>
    </cfRule>
  </conditionalFormatting>
  <conditionalFormatting sqref="J5:K5">
    <cfRule type="expression" dxfId="2776" priority="386">
      <formula>$J5&lt;0</formula>
    </cfRule>
  </conditionalFormatting>
  <conditionalFormatting sqref="E60 I60">
    <cfRule type="expression" dxfId="2775" priority="362">
      <formula>$H60=0</formula>
    </cfRule>
  </conditionalFormatting>
  <conditionalFormatting sqref="J60:K60">
    <cfRule type="expression" dxfId="2774" priority="363">
      <formula>$J60=0</formula>
    </cfRule>
  </conditionalFormatting>
  <conditionalFormatting sqref="L60">
    <cfRule type="expression" dxfId="2773" priority="361">
      <formula>$L61=0</formula>
    </cfRule>
  </conditionalFormatting>
  <conditionalFormatting sqref="J60:K60">
    <cfRule type="expression" dxfId="2772" priority="365">
      <formula>$J60&gt;0</formula>
    </cfRule>
  </conditionalFormatting>
  <conditionalFormatting sqref="L60">
    <cfRule type="expression" dxfId="2771" priority="359">
      <formula>$L60&lt;0</formula>
    </cfRule>
    <cfRule type="expression" dxfId="2770" priority="360">
      <formula>$L60&gt;0</formula>
    </cfRule>
  </conditionalFormatting>
  <conditionalFormatting sqref="J60:K60">
    <cfRule type="expression" dxfId="2769" priority="364">
      <formula>$J60&lt;0</formula>
    </cfRule>
  </conditionalFormatting>
  <conditionalFormatting sqref="E62 I62">
    <cfRule type="expression" dxfId="2768" priority="351">
      <formula>$H62=0</formula>
    </cfRule>
  </conditionalFormatting>
  <conditionalFormatting sqref="J62:K62">
    <cfRule type="expression" dxfId="2767" priority="352">
      <formula>$J62=0</formula>
    </cfRule>
  </conditionalFormatting>
  <conditionalFormatting sqref="L62">
    <cfRule type="expression" dxfId="2766" priority="350">
      <formula>$L63=0</formula>
    </cfRule>
  </conditionalFormatting>
  <conditionalFormatting sqref="J62:K62">
    <cfRule type="expression" dxfId="2765" priority="354">
      <formula>$J62&gt;0</formula>
    </cfRule>
  </conditionalFormatting>
  <conditionalFormatting sqref="L62">
    <cfRule type="expression" dxfId="2764" priority="348">
      <formula>$L62&lt;0</formula>
    </cfRule>
    <cfRule type="expression" dxfId="2763" priority="349">
      <formula>$L62&gt;0</formula>
    </cfRule>
  </conditionalFormatting>
  <conditionalFormatting sqref="J62:K62">
    <cfRule type="expression" dxfId="2762" priority="353">
      <formula>$J62&lt;0</formula>
    </cfRule>
  </conditionalFormatting>
  <conditionalFormatting sqref="E61 I61">
    <cfRule type="expression" dxfId="2761" priority="340">
      <formula>$H61=0</formula>
    </cfRule>
  </conditionalFormatting>
  <conditionalFormatting sqref="J61:K61">
    <cfRule type="expression" dxfId="2760" priority="341">
      <formula>$J61=0</formula>
    </cfRule>
  </conditionalFormatting>
  <conditionalFormatting sqref="L61">
    <cfRule type="expression" dxfId="2759" priority="339">
      <formula>$L62=0</formula>
    </cfRule>
  </conditionalFormatting>
  <conditionalFormatting sqref="J61:K61">
    <cfRule type="expression" dxfId="2758" priority="343">
      <formula>$J61&gt;0</formula>
    </cfRule>
  </conditionalFormatting>
  <conditionalFormatting sqref="L61">
    <cfRule type="expression" dxfId="2757" priority="337">
      <formula>$L61&lt;0</formula>
    </cfRule>
    <cfRule type="expression" dxfId="2756" priority="338">
      <formula>$L61&gt;0</formula>
    </cfRule>
  </conditionalFormatting>
  <conditionalFormatting sqref="J61:K61">
    <cfRule type="expression" dxfId="2755" priority="342">
      <formula>$J61&lt;0</formula>
    </cfRule>
  </conditionalFormatting>
  <conditionalFormatting sqref="E8 I8">
    <cfRule type="expression" dxfId="2754" priority="325">
      <formula>$H8=0</formula>
    </cfRule>
  </conditionalFormatting>
  <conditionalFormatting sqref="J8:K8">
    <cfRule type="expression" dxfId="2753" priority="326">
      <formula>$J8=0</formula>
    </cfRule>
  </conditionalFormatting>
  <conditionalFormatting sqref="J8:K8">
    <cfRule type="expression" dxfId="2752" priority="328">
      <formula>$J8&gt;0</formula>
    </cfRule>
  </conditionalFormatting>
  <conditionalFormatting sqref="J8:K8">
    <cfRule type="expression" dxfId="2751" priority="327">
      <formula>$J8&lt;0</formula>
    </cfRule>
  </conditionalFormatting>
  <conditionalFormatting sqref="E63 I63">
    <cfRule type="expression" dxfId="2750" priority="315">
      <formula>$H63=0</formula>
    </cfRule>
  </conditionalFormatting>
  <conditionalFormatting sqref="J63:K63">
    <cfRule type="expression" dxfId="2749" priority="316">
      <formula>$J63=0</formula>
    </cfRule>
  </conditionalFormatting>
  <conditionalFormatting sqref="L63">
    <cfRule type="expression" dxfId="2748" priority="314">
      <formula>$L64=0</formula>
    </cfRule>
  </conditionalFormatting>
  <conditionalFormatting sqref="J63:K63">
    <cfRule type="expression" dxfId="2747" priority="318">
      <formula>$J63&gt;0</formula>
    </cfRule>
  </conditionalFormatting>
  <conditionalFormatting sqref="L63">
    <cfRule type="expression" dxfId="2746" priority="312">
      <formula>$L63&lt;0</formula>
    </cfRule>
    <cfRule type="expression" dxfId="2745" priority="313">
      <formula>$L63&gt;0</formula>
    </cfRule>
  </conditionalFormatting>
  <conditionalFormatting sqref="J63:K63">
    <cfRule type="expression" dxfId="2744" priority="317">
      <formula>$J63&lt;0</formula>
    </cfRule>
  </conditionalFormatting>
  <conditionalFormatting sqref="E20 I20">
    <cfRule type="expression" dxfId="2743" priority="305">
      <formula>$H20=0</formula>
    </cfRule>
  </conditionalFormatting>
  <conditionalFormatting sqref="J20:K20">
    <cfRule type="expression" dxfId="2742" priority="306">
      <formula>$J20=0</formula>
    </cfRule>
  </conditionalFormatting>
  <conditionalFormatting sqref="J20:K20">
    <cfRule type="expression" dxfId="2741" priority="308">
      <formula>$J20&gt;0</formula>
    </cfRule>
  </conditionalFormatting>
  <conditionalFormatting sqref="J20:K20">
    <cfRule type="expression" dxfId="2740" priority="307">
      <formula>$J20&lt;0</formula>
    </cfRule>
  </conditionalFormatting>
  <conditionalFormatting sqref="E64 I64">
    <cfRule type="expression" dxfId="2739" priority="296">
      <formula>$H64=0</formula>
    </cfRule>
  </conditionalFormatting>
  <conditionalFormatting sqref="J64:K64">
    <cfRule type="expression" dxfId="2738" priority="297">
      <formula>$J64=0</formula>
    </cfRule>
  </conditionalFormatting>
  <conditionalFormatting sqref="L64">
    <cfRule type="expression" dxfId="2737" priority="295">
      <formula>$L65=0</formula>
    </cfRule>
  </conditionalFormatting>
  <conditionalFormatting sqref="J64:K64">
    <cfRule type="expression" dxfId="2736" priority="299">
      <formula>$J64&gt;0</formula>
    </cfRule>
  </conditionalFormatting>
  <conditionalFormatting sqref="L64">
    <cfRule type="expression" dxfId="2735" priority="293">
      <formula>$L64&lt;0</formula>
    </cfRule>
    <cfRule type="expression" dxfId="2734" priority="294">
      <formula>$L64&gt;0</formula>
    </cfRule>
  </conditionalFormatting>
  <conditionalFormatting sqref="J64:K64">
    <cfRule type="expression" dxfId="2733" priority="298">
      <formula>$J64&lt;0</formula>
    </cfRule>
  </conditionalFormatting>
  <conditionalFormatting sqref="E65 I65">
    <cfRule type="expression" dxfId="2732" priority="289">
      <formula>$H65=0</formula>
    </cfRule>
  </conditionalFormatting>
  <conditionalFormatting sqref="J65:K65">
    <cfRule type="expression" dxfId="2731" priority="290">
      <formula>$J65=0</formula>
    </cfRule>
  </conditionalFormatting>
  <conditionalFormatting sqref="L65">
    <cfRule type="expression" dxfId="2730" priority="288">
      <formula>$L66=0</formula>
    </cfRule>
  </conditionalFormatting>
  <conditionalFormatting sqref="J65:K65">
    <cfRule type="expression" dxfId="2729" priority="292">
      <formula>$J65&gt;0</formula>
    </cfRule>
  </conditionalFormatting>
  <conditionalFormatting sqref="L65">
    <cfRule type="expression" dxfId="2728" priority="286">
      <formula>$L65&lt;0</formula>
    </cfRule>
    <cfRule type="expression" dxfId="2727" priority="287">
      <formula>$L65&gt;0</formula>
    </cfRule>
  </conditionalFormatting>
  <conditionalFormatting sqref="J65:K65">
    <cfRule type="expression" dxfId="2726" priority="291">
      <formula>$J65&lt;0</formula>
    </cfRule>
  </conditionalFormatting>
  <conditionalFormatting sqref="E11 I11">
    <cfRule type="expression" dxfId="2725" priority="280">
      <formula>$H11=0</formula>
    </cfRule>
  </conditionalFormatting>
  <conditionalFormatting sqref="J11:K11">
    <cfRule type="expression" dxfId="2724" priority="281">
      <formula>$J11=0</formula>
    </cfRule>
  </conditionalFormatting>
  <conditionalFormatting sqref="J11:K11">
    <cfRule type="expression" dxfId="2723" priority="283">
      <formula>$J11&gt;0</formula>
    </cfRule>
  </conditionalFormatting>
  <conditionalFormatting sqref="J11:K11">
    <cfRule type="expression" dxfId="2722" priority="282">
      <formula>$J11&lt;0</formula>
    </cfRule>
  </conditionalFormatting>
  <conditionalFormatting sqref="E9 I9">
    <cfRule type="expression" dxfId="2721" priority="273">
      <formula>$H9=0</formula>
    </cfRule>
  </conditionalFormatting>
  <conditionalFormatting sqref="J9:K9">
    <cfRule type="expression" dxfId="2720" priority="274">
      <formula>$J9=0</formula>
    </cfRule>
  </conditionalFormatting>
  <conditionalFormatting sqref="J9:K9">
    <cfRule type="expression" dxfId="2719" priority="276">
      <formula>$J9&gt;0</formula>
    </cfRule>
  </conditionalFormatting>
  <conditionalFormatting sqref="J9:K9">
    <cfRule type="expression" dxfId="2718" priority="275">
      <formula>$J9&lt;0</formula>
    </cfRule>
  </conditionalFormatting>
  <conditionalFormatting sqref="E66 I66">
    <cfRule type="expression" dxfId="2717" priority="264">
      <formula>$H66=0</formula>
    </cfRule>
  </conditionalFormatting>
  <conditionalFormatting sqref="J66:K66">
    <cfRule type="expression" dxfId="2716" priority="265">
      <formula>$J66=0</formula>
    </cfRule>
  </conditionalFormatting>
  <conditionalFormatting sqref="L66">
    <cfRule type="expression" dxfId="2715" priority="263">
      <formula>$L67=0</formula>
    </cfRule>
  </conditionalFormatting>
  <conditionalFormatting sqref="J66:K66">
    <cfRule type="expression" dxfId="2714" priority="267">
      <formula>$J66&gt;0</formula>
    </cfRule>
  </conditionalFormatting>
  <conditionalFormatting sqref="L66">
    <cfRule type="expression" dxfId="2713" priority="261">
      <formula>$L66&lt;0</formula>
    </cfRule>
    <cfRule type="expression" dxfId="2712" priority="262">
      <formula>$L66&gt;0</formula>
    </cfRule>
  </conditionalFormatting>
  <conditionalFormatting sqref="J66:K66">
    <cfRule type="expression" dxfId="2711" priority="266">
      <formula>$J66&lt;0</formula>
    </cfRule>
  </conditionalFormatting>
  <conditionalFormatting sqref="O2:O6 O8:O66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710" priority="255">
      <formula>$H10=0</formula>
    </cfRule>
  </conditionalFormatting>
  <conditionalFormatting sqref="J10:K10">
    <cfRule type="expression" dxfId="2709" priority="256">
      <formula>$J10=0</formula>
    </cfRule>
  </conditionalFormatting>
  <conditionalFormatting sqref="J10:K10">
    <cfRule type="expression" dxfId="2708" priority="258">
      <formula>$J10&gt;0</formula>
    </cfRule>
  </conditionalFormatting>
  <conditionalFormatting sqref="J10:K10">
    <cfRule type="expression" dxfId="2707" priority="257">
      <formula>$J10&lt;0</formula>
    </cfRule>
  </conditionalFormatting>
  <conditionalFormatting sqref="E26:E28 E30 E45:E49 E36:E43">
    <cfRule type="expression" dxfId="2706" priority="251">
      <formula>$H26=0</formula>
    </cfRule>
  </conditionalFormatting>
  <conditionalFormatting sqref="E29">
    <cfRule type="expression" dxfId="2705" priority="250">
      <formula>$H29=0</formula>
    </cfRule>
  </conditionalFormatting>
  <conditionalFormatting sqref="E31">
    <cfRule type="expression" dxfId="2704" priority="249">
      <formula>$H31=0</formula>
    </cfRule>
  </conditionalFormatting>
  <conditionalFormatting sqref="E32">
    <cfRule type="expression" dxfId="2703" priority="248">
      <formula>$H32=0</formula>
    </cfRule>
  </conditionalFormatting>
  <conditionalFormatting sqref="E44">
    <cfRule type="expression" dxfId="2702" priority="247">
      <formula>$H44=0</formula>
    </cfRule>
  </conditionalFormatting>
  <conditionalFormatting sqref="E35">
    <cfRule type="expression" dxfId="2701" priority="246">
      <formula>$H35=0</formula>
    </cfRule>
  </conditionalFormatting>
  <conditionalFormatting sqref="E33">
    <cfRule type="expression" dxfId="2700" priority="245">
      <formula>$H33=0</formula>
    </cfRule>
  </conditionalFormatting>
  <conditionalFormatting sqref="E34">
    <cfRule type="expression" dxfId="2699" priority="244">
      <formula>$H34=0</formula>
    </cfRule>
  </conditionalFormatting>
  <conditionalFormatting sqref="E67 I67">
    <cfRule type="expression" dxfId="2698" priority="240">
      <formula>$H67=0</formula>
    </cfRule>
  </conditionalFormatting>
  <conditionalFormatting sqref="J67:K67">
    <cfRule type="expression" dxfId="2697" priority="241">
      <formula>$J67=0</formula>
    </cfRule>
  </conditionalFormatting>
  <conditionalFormatting sqref="L67">
    <cfRule type="expression" dxfId="2696" priority="239">
      <formula>$L68=0</formula>
    </cfRule>
  </conditionalFormatting>
  <conditionalFormatting sqref="J67:K67">
    <cfRule type="expression" dxfId="2695" priority="243">
      <formula>$J67&gt;0</formula>
    </cfRule>
  </conditionalFormatting>
  <conditionalFormatting sqref="L67">
    <cfRule type="expression" dxfId="2694" priority="237">
      <formula>$L67&lt;0</formula>
    </cfRule>
    <cfRule type="expression" dxfId="2693" priority="238">
      <formula>$L67&gt;0</formula>
    </cfRule>
  </conditionalFormatting>
  <conditionalFormatting sqref="J67:K67">
    <cfRule type="expression" dxfId="2692" priority="242">
      <formula>$J67&lt;0</formula>
    </cfRule>
  </conditionalFormatting>
  <conditionalFormatting sqref="I69 E69:E70">
    <cfRule type="expression" dxfId="2691" priority="233">
      <formula>$H69=0</formula>
    </cfRule>
  </conditionalFormatting>
  <conditionalFormatting sqref="J69:K69">
    <cfRule type="expression" dxfId="2690" priority="234">
      <formula>$J69=0</formula>
    </cfRule>
  </conditionalFormatting>
  <conditionalFormatting sqref="L69">
    <cfRule type="expression" dxfId="2689" priority="232">
      <formula>$L70=0</formula>
    </cfRule>
  </conditionalFormatting>
  <conditionalFormatting sqref="J69:K69">
    <cfRule type="expression" dxfId="2688" priority="236">
      <formula>$J69&gt;0</formula>
    </cfRule>
  </conditionalFormatting>
  <conditionalFormatting sqref="L69">
    <cfRule type="expression" dxfId="2687" priority="230">
      <formula>$L69&lt;0</formula>
    </cfRule>
    <cfRule type="expression" dxfId="2686" priority="231">
      <formula>$L69&gt;0</formula>
    </cfRule>
  </conditionalFormatting>
  <conditionalFormatting sqref="J69:K69">
    <cfRule type="expression" dxfId="2685" priority="235">
      <formula>$J69&lt;0</formula>
    </cfRule>
  </conditionalFormatting>
  <conditionalFormatting sqref="E68 I68">
    <cfRule type="expression" dxfId="2684" priority="226">
      <formula>$H68=0</formula>
    </cfRule>
  </conditionalFormatting>
  <conditionalFormatting sqref="J68:K68">
    <cfRule type="expression" dxfId="2683" priority="227">
      <formula>$J68=0</formula>
    </cfRule>
  </conditionalFormatting>
  <conditionalFormatting sqref="L68">
    <cfRule type="expression" dxfId="2682" priority="225">
      <formula>$L69=0</formula>
    </cfRule>
  </conditionalFormatting>
  <conditionalFormatting sqref="J68:K68">
    <cfRule type="expression" dxfId="2681" priority="229">
      <formula>$J68&gt;0</formula>
    </cfRule>
  </conditionalFormatting>
  <conditionalFormatting sqref="L68">
    <cfRule type="expression" dxfId="2680" priority="223">
      <formula>$L68&lt;0</formula>
    </cfRule>
    <cfRule type="expression" dxfId="2679" priority="224">
      <formula>$L68&gt;0</formula>
    </cfRule>
  </conditionalFormatting>
  <conditionalFormatting sqref="J68:K68">
    <cfRule type="expression" dxfId="2678" priority="228">
      <formula>$J68&lt;0</formula>
    </cfRule>
  </conditionalFormatting>
  <conditionalFormatting sqref="O67:O71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I69 E69:E70">
    <cfRule type="expression" dxfId="2677" priority="218">
      <formula>$H69=0</formula>
    </cfRule>
  </conditionalFormatting>
  <conditionalFormatting sqref="J69:K69">
    <cfRule type="expression" dxfId="2676" priority="219">
      <formula>$J69=0</formula>
    </cfRule>
  </conditionalFormatting>
  <conditionalFormatting sqref="L69">
    <cfRule type="expression" dxfId="2675" priority="217">
      <formula>$L70=0</formula>
    </cfRule>
  </conditionalFormatting>
  <conditionalFormatting sqref="J69:K69">
    <cfRule type="expression" dxfId="2674" priority="221">
      <formula>$J69&gt;0</formula>
    </cfRule>
  </conditionalFormatting>
  <conditionalFormatting sqref="L69">
    <cfRule type="expression" dxfId="2673" priority="215">
      <formula>$L69&lt;0</formula>
    </cfRule>
    <cfRule type="expression" dxfId="2672" priority="216">
      <formula>$L69&gt;0</formula>
    </cfRule>
  </conditionalFormatting>
  <conditionalFormatting sqref="J69:K69">
    <cfRule type="expression" dxfId="2671" priority="220">
      <formula>$J69&lt;0</formula>
    </cfRule>
  </conditionalFormatting>
  <conditionalFormatting sqref="E71 I71">
    <cfRule type="expression" dxfId="2670" priority="211">
      <formula>$H71=0</formula>
    </cfRule>
  </conditionalFormatting>
  <conditionalFormatting sqref="J71:K71">
    <cfRule type="expression" dxfId="2669" priority="212">
      <formula>$J71=0</formula>
    </cfRule>
  </conditionalFormatting>
  <conditionalFormatting sqref="L71">
    <cfRule type="expression" dxfId="2668" priority="210">
      <formula>$L72=0</formula>
    </cfRule>
  </conditionalFormatting>
  <conditionalFormatting sqref="J71:K71">
    <cfRule type="expression" dxfId="2667" priority="214">
      <formula>$J71&gt;0</formula>
    </cfRule>
  </conditionalFormatting>
  <conditionalFormatting sqref="L71">
    <cfRule type="expression" dxfId="2666" priority="208">
      <formula>$L71&lt;0</formula>
    </cfRule>
    <cfRule type="expression" dxfId="2665" priority="209">
      <formula>$L71&gt;0</formula>
    </cfRule>
  </conditionalFormatting>
  <conditionalFormatting sqref="J71:K71">
    <cfRule type="expression" dxfId="2664" priority="213">
      <formula>$J71&lt;0</formula>
    </cfRule>
  </conditionalFormatting>
  <conditionalFormatting sqref="I70">
    <cfRule type="expression" dxfId="2663" priority="204">
      <formula>$H70=0</formula>
    </cfRule>
  </conditionalFormatting>
  <conditionalFormatting sqref="J70:K70">
    <cfRule type="expression" dxfId="2662" priority="205">
      <formula>$J70=0</formula>
    </cfRule>
  </conditionalFormatting>
  <conditionalFormatting sqref="L70">
    <cfRule type="expression" dxfId="2661" priority="203">
      <formula>$L71=0</formula>
    </cfRule>
  </conditionalFormatting>
  <conditionalFormatting sqref="J70:K70">
    <cfRule type="expression" dxfId="2660" priority="207">
      <formula>$J70&gt;0</formula>
    </cfRule>
  </conditionalFormatting>
  <conditionalFormatting sqref="L70">
    <cfRule type="expression" dxfId="2659" priority="201">
      <formula>$L70&lt;0</formula>
    </cfRule>
    <cfRule type="expression" dxfId="2658" priority="202">
      <formula>$L70&gt;0</formula>
    </cfRule>
  </conditionalFormatting>
  <conditionalFormatting sqref="J70:K70">
    <cfRule type="expression" dxfId="2657" priority="206">
      <formula>$J70&lt;0</formula>
    </cfRule>
  </conditionalFormatting>
  <conditionalFormatting sqref="O73:O74">
    <cfRule type="expression" dxfId="2656" priority="195">
      <formula>$O73=0</formula>
    </cfRule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55" priority="193">
      <formula>$J73=0</formula>
    </cfRule>
  </conditionalFormatting>
  <conditionalFormatting sqref="L73:L74">
    <cfRule type="expression" dxfId="2654" priority="192">
      <formula>$L74=0</formula>
    </cfRule>
  </conditionalFormatting>
  <conditionalFormatting sqref="J73:K74">
    <cfRule type="expression" dxfId="2653" priority="194">
      <formula>$J73&lt;0</formula>
    </cfRule>
  </conditionalFormatting>
  <conditionalFormatting sqref="E72 I72">
    <cfRule type="expression" dxfId="2652" priority="188">
      <formula>$H72=0</formula>
    </cfRule>
  </conditionalFormatting>
  <conditionalFormatting sqref="J72:K72">
    <cfRule type="expression" dxfId="2651" priority="189">
      <formula>$J72=0</formula>
    </cfRule>
  </conditionalFormatting>
  <conditionalFormatting sqref="L72">
    <cfRule type="expression" dxfId="2650" priority="187">
      <formula>$L73=0</formula>
    </cfRule>
  </conditionalFormatting>
  <conditionalFormatting sqref="J72:K72">
    <cfRule type="expression" dxfId="2649" priority="191">
      <formula>$J72&gt;0</formula>
    </cfRule>
  </conditionalFormatting>
  <conditionalFormatting sqref="L72">
    <cfRule type="expression" dxfId="2648" priority="185">
      <formula>$L72&lt;0</formula>
    </cfRule>
    <cfRule type="expression" dxfId="2647" priority="186">
      <formula>$L72&gt;0</formula>
    </cfRule>
  </conditionalFormatting>
  <conditionalFormatting sqref="J72:K72">
    <cfRule type="expression" dxfId="2646" priority="190">
      <formula>$J72&lt;0</formula>
    </cfRule>
  </conditionalFormatting>
  <conditionalFormatting sqref="O72:O74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645" priority="180">
      <formula>$H72=0</formula>
    </cfRule>
  </conditionalFormatting>
  <conditionalFormatting sqref="J72:K72">
    <cfRule type="expression" dxfId="2644" priority="181">
      <formula>$J72=0</formula>
    </cfRule>
  </conditionalFormatting>
  <conditionalFormatting sqref="L72">
    <cfRule type="expression" dxfId="2643" priority="179">
      <formula>$L73=0</formula>
    </cfRule>
  </conditionalFormatting>
  <conditionalFormatting sqref="J72:K72">
    <cfRule type="expression" dxfId="2642" priority="183">
      <formula>$J72&gt;0</formula>
    </cfRule>
  </conditionalFormatting>
  <conditionalFormatting sqref="L72">
    <cfRule type="expression" dxfId="2641" priority="177">
      <formula>$L72&lt;0</formula>
    </cfRule>
    <cfRule type="expression" dxfId="2640" priority="178">
      <formula>$L72&gt;0</formula>
    </cfRule>
  </conditionalFormatting>
  <conditionalFormatting sqref="J72:K72">
    <cfRule type="expression" dxfId="2639" priority="182">
      <formula>$J72&lt;0</formula>
    </cfRule>
  </conditionalFormatting>
  <conditionalFormatting sqref="E74 I74">
    <cfRule type="expression" dxfId="2638" priority="173">
      <formula>$H74=0</formula>
    </cfRule>
  </conditionalFormatting>
  <conditionalFormatting sqref="J74:K74">
    <cfRule type="expression" dxfId="2637" priority="174">
      <formula>$J74=0</formula>
    </cfRule>
  </conditionalFormatting>
  <conditionalFormatting sqref="L74">
    <cfRule type="expression" dxfId="2636" priority="172">
      <formula>$L75=0</formula>
    </cfRule>
  </conditionalFormatting>
  <conditionalFormatting sqref="J74:K74">
    <cfRule type="expression" dxfId="2635" priority="176">
      <formula>$J74&gt;0</formula>
    </cfRule>
  </conditionalFormatting>
  <conditionalFormatting sqref="L74">
    <cfRule type="expression" dxfId="2634" priority="170">
      <formula>$L74&lt;0</formula>
    </cfRule>
    <cfRule type="expression" dxfId="2633" priority="171">
      <formula>$L74&gt;0</formula>
    </cfRule>
  </conditionalFormatting>
  <conditionalFormatting sqref="J74:K74">
    <cfRule type="expression" dxfId="2632" priority="175">
      <formula>$J74&lt;0</formula>
    </cfRule>
  </conditionalFormatting>
  <conditionalFormatting sqref="E73 I73">
    <cfRule type="expression" dxfId="2631" priority="166">
      <formula>$H73=0</formula>
    </cfRule>
  </conditionalFormatting>
  <conditionalFormatting sqref="J73:K73">
    <cfRule type="expression" dxfId="2630" priority="167">
      <formula>$J73=0</formula>
    </cfRule>
  </conditionalFormatting>
  <conditionalFormatting sqref="L73">
    <cfRule type="expression" dxfId="2629" priority="165">
      <formula>$L74=0</formula>
    </cfRule>
  </conditionalFormatting>
  <conditionalFormatting sqref="J73:K73">
    <cfRule type="expression" dxfId="2628" priority="169">
      <formula>$J73&gt;0</formula>
    </cfRule>
  </conditionalFormatting>
  <conditionalFormatting sqref="L73">
    <cfRule type="expression" dxfId="2627" priority="163">
      <formula>$L73&lt;0</formula>
    </cfRule>
    <cfRule type="expression" dxfId="2626" priority="164">
      <formula>$L73&gt;0</formula>
    </cfRule>
  </conditionalFormatting>
  <conditionalFormatting sqref="J73:K73">
    <cfRule type="expression" dxfId="2625" priority="168">
      <formula>$J73&lt;0</formula>
    </cfRule>
  </conditionalFormatting>
  <conditionalFormatting sqref="O75">
    <cfRule type="expression" dxfId="2624" priority="157">
      <formula>$O75=0</formula>
    </cfRule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623" priority="155">
      <formula>$J75=0</formula>
    </cfRule>
  </conditionalFormatting>
  <conditionalFormatting sqref="L75">
    <cfRule type="expression" dxfId="2622" priority="154">
      <formula>$L76=0</formula>
    </cfRule>
  </conditionalFormatting>
  <conditionalFormatting sqref="J75:K75">
    <cfRule type="expression" dxfId="2621" priority="156">
      <formula>$J75&lt;0</formula>
    </cfRule>
  </conditionalFormatting>
  <conditionalFormatting sqref="O75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620" priority="149">
      <formula>$H75=0</formula>
    </cfRule>
  </conditionalFormatting>
  <conditionalFormatting sqref="J75:K75">
    <cfRule type="expression" dxfId="2619" priority="150">
      <formula>$J75=0</formula>
    </cfRule>
  </conditionalFormatting>
  <conditionalFormatting sqref="L75">
    <cfRule type="expression" dxfId="2618" priority="148">
      <formula>$L76=0</formula>
    </cfRule>
  </conditionalFormatting>
  <conditionalFormatting sqref="J75:K75">
    <cfRule type="expression" dxfId="2617" priority="152">
      <formula>$J75&gt;0</formula>
    </cfRule>
  </conditionalFormatting>
  <conditionalFormatting sqref="L75">
    <cfRule type="expression" dxfId="2616" priority="146">
      <formula>$L75&lt;0</formula>
    </cfRule>
    <cfRule type="expression" dxfId="2615" priority="147">
      <formula>$L75&gt;0</formula>
    </cfRule>
  </conditionalFormatting>
  <conditionalFormatting sqref="J75:K75">
    <cfRule type="expression" dxfId="2614" priority="151">
      <formula>$J75&lt;0</formula>
    </cfRule>
  </conditionalFormatting>
  <conditionalFormatting sqref="E7 I7">
    <cfRule type="expression" dxfId="2613" priority="141">
      <formula>$H7=0</formula>
    </cfRule>
  </conditionalFormatting>
  <conditionalFormatting sqref="J7:K7">
    <cfRule type="expression" dxfId="2612" priority="142">
      <formula>$J7=0</formula>
    </cfRule>
  </conditionalFormatting>
  <conditionalFormatting sqref="L7">
    <cfRule type="expression" dxfId="2611" priority="140">
      <formula>$L8=0</formula>
    </cfRule>
  </conditionalFormatting>
  <conditionalFormatting sqref="J7:K7">
    <cfRule type="expression" dxfId="2610" priority="144">
      <formula>$J7&gt;0</formula>
    </cfRule>
  </conditionalFormatting>
  <conditionalFormatting sqref="L7">
    <cfRule type="expression" dxfId="2609" priority="138">
      <formula>$L7&lt;0</formula>
    </cfRule>
    <cfRule type="expression" dxfId="2608" priority="139">
      <formula>$L7&gt;0</formula>
    </cfRule>
  </conditionalFormatting>
  <conditionalFormatting sqref="J7:K7">
    <cfRule type="expression" dxfId="2607" priority="143">
      <formula>$J7&lt;0</formula>
    </cfRule>
  </conditionalFormatting>
  <conditionalFormatting sqref="O7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606" priority="133">
      <formula>$O76=0</formula>
    </cfRule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605" priority="131">
      <formula>$J76=0</formula>
    </cfRule>
  </conditionalFormatting>
  <conditionalFormatting sqref="L76">
    <cfRule type="expression" dxfId="2604" priority="130">
      <formula>$L77=0</formula>
    </cfRule>
  </conditionalFormatting>
  <conditionalFormatting sqref="J76:K76">
    <cfRule type="expression" dxfId="2603" priority="132">
      <formula>$J76&lt;0</formula>
    </cfRule>
  </conditionalFormatting>
  <conditionalFormatting sqref="O7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602" priority="125">
      <formula>$H76=0</formula>
    </cfRule>
  </conditionalFormatting>
  <conditionalFormatting sqref="J76:K76">
    <cfRule type="expression" dxfId="2601" priority="126">
      <formula>$J76=0</formula>
    </cfRule>
  </conditionalFormatting>
  <conditionalFormatting sqref="L76">
    <cfRule type="expression" dxfId="2600" priority="124">
      <formula>$L77=0</formula>
    </cfRule>
  </conditionalFormatting>
  <conditionalFormatting sqref="J76:K76">
    <cfRule type="expression" dxfId="2599" priority="128">
      <formula>$J76&gt;0</formula>
    </cfRule>
  </conditionalFormatting>
  <conditionalFormatting sqref="L76">
    <cfRule type="expression" dxfId="2598" priority="122">
      <formula>$L76&lt;0</formula>
    </cfRule>
    <cfRule type="expression" dxfId="2597" priority="123">
      <formula>$L76&gt;0</formula>
    </cfRule>
  </conditionalFormatting>
  <conditionalFormatting sqref="J76:K76">
    <cfRule type="expression" dxfId="2596" priority="127">
      <formula>$J76&lt;0</formula>
    </cfRule>
  </conditionalFormatting>
  <conditionalFormatting sqref="O77">
    <cfRule type="expression" dxfId="2595" priority="120">
      <formula>$O77=0</formula>
    </cfRule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94" priority="118">
      <formula>$J77=0</formula>
    </cfRule>
  </conditionalFormatting>
  <conditionalFormatting sqref="L77">
    <cfRule type="expression" dxfId="2593" priority="117">
      <formula>$L78=0</formula>
    </cfRule>
  </conditionalFormatting>
  <conditionalFormatting sqref="J77:K77">
    <cfRule type="expression" dxfId="2592" priority="119">
      <formula>$J77&lt;0</formula>
    </cfRule>
  </conditionalFormatting>
  <conditionalFormatting sqref="O7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91" priority="112">
      <formula>$H77=0</formula>
    </cfRule>
  </conditionalFormatting>
  <conditionalFormatting sqref="J77:K77">
    <cfRule type="expression" dxfId="2590" priority="113">
      <formula>$J77=0</formula>
    </cfRule>
  </conditionalFormatting>
  <conditionalFormatting sqref="L77">
    <cfRule type="expression" dxfId="2589" priority="111">
      <formula>$L78=0</formula>
    </cfRule>
  </conditionalFormatting>
  <conditionalFormatting sqref="J77:K77">
    <cfRule type="expression" dxfId="2588" priority="115">
      <formula>$J77&gt;0</formula>
    </cfRule>
  </conditionalFormatting>
  <conditionalFormatting sqref="L77">
    <cfRule type="expression" dxfId="2587" priority="109">
      <formula>$L77&lt;0</formula>
    </cfRule>
    <cfRule type="expression" dxfId="2586" priority="110">
      <formula>$L77&gt;0</formula>
    </cfRule>
  </conditionalFormatting>
  <conditionalFormatting sqref="J77:K77">
    <cfRule type="expression" dxfId="2585" priority="114">
      <formula>$J77&lt;0</formula>
    </cfRule>
  </conditionalFormatting>
  <conditionalFormatting sqref="P78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84" priority="106">
      <formula>$O78=0</formula>
    </cfRule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83" priority="104">
      <formula>$J78=0</formula>
    </cfRule>
  </conditionalFormatting>
  <conditionalFormatting sqref="L78">
    <cfRule type="expression" dxfId="2582" priority="103">
      <formula>$L79=0</formula>
    </cfRule>
  </conditionalFormatting>
  <conditionalFormatting sqref="J78:K78">
    <cfRule type="expression" dxfId="2581" priority="105">
      <formula>$J78&lt;0</formula>
    </cfRule>
  </conditionalFormatting>
  <conditionalFormatting sqref="O78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80" priority="98">
      <formula>$H78=0</formula>
    </cfRule>
  </conditionalFormatting>
  <conditionalFormatting sqref="J78:K78">
    <cfRule type="expression" dxfId="2579" priority="99">
      <formula>$J78=0</formula>
    </cfRule>
  </conditionalFormatting>
  <conditionalFormatting sqref="L78">
    <cfRule type="expression" dxfId="2578" priority="97">
      <formula>$L79=0</formula>
    </cfRule>
  </conditionalFormatting>
  <conditionalFormatting sqref="J78:K78">
    <cfRule type="expression" dxfId="2577" priority="101">
      <formula>$J78&gt;0</formula>
    </cfRule>
  </conditionalFormatting>
  <conditionalFormatting sqref="L78">
    <cfRule type="expression" dxfId="2576" priority="95">
      <formula>$L78&lt;0</formula>
    </cfRule>
    <cfRule type="expression" dxfId="2575" priority="96">
      <formula>$L78&gt;0</formula>
    </cfRule>
  </conditionalFormatting>
  <conditionalFormatting sqref="J78:K78">
    <cfRule type="expression" dxfId="2574" priority="100">
      <formula>$J78&lt;0</formula>
    </cfRule>
  </conditionalFormatting>
  <conditionalFormatting sqref="P1:P1048576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73" priority="91">
      <formula>$J79=0</formula>
    </cfRule>
  </conditionalFormatting>
  <conditionalFormatting sqref="L79">
    <cfRule type="expression" dxfId="2572" priority="90">
      <formula>$L80=0</formula>
    </cfRule>
  </conditionalFormatting>
  <conditionalFormatting sqref="J79:K79">
    <cfRule type="expression" dxfId="2571" priority="92">
      <formula>$J79&lt;0</formula>
    </cfRule>
  </conditionalFormatting>
  <conditionalFormatting sqref="E79 I79">
    <cfRule type="expression" dxfId="2570" priority="86">
      <formula>$H79=0</formula>
    </cfRule>
  </conditionalFormatting>
  <conditionalFormatting sqref="J79:K79">
    <cfRule type="expression" dxfId="2569" priority="87">
      <formula>$J79=0</formula>
    </cfRule>
  </conditionalFormatting>
  <conditionalFormatting sqref="L79">
    <cfRule type="expression" dxfId="2568" priority="85">
      <formula>$L80=0</formula>
    </cfRule>
  </conditionalFormatting>
  <conditionalFormatting sqref="J79:K79">
    <cfRule type="expression" dxfId="2567" priority="89">
      <formula>$J79&gt;0</formula>
    </cfRule>
  </conditionalFormatting>
  <conditionalFormatting sqref="L79">
    <cfRule type="expression" dxfId="2566" priority="83">
      <formula>$L79&lt;0</formula>
    </cfRule>
    <cfRule type="expression" dxfId="2565" priority="84">
      <formula>$L79&gt;0</formula>
    </cfRule>
  </conditionalFormatting>
  <conditionalFormatting sqref="J79:K79">
    <cfRule type="expression" dxfId="2564" priority="88">
      <formula>$J79&lt;0</formula>
    </cfRule>
  </conditionalFormatting>
  <conditionalFormatting sqref="J80:K80">
    <cfRule type="expression" dxfId="2563" priority="81">
      <formula>$J80=0</formula>
    </cfRule>
  </conditionalFormatting>
  <conditionalFormatting sqref="L80">
    <cfRule type="expression" dxfId="2562" priority="80">
      <formula>$L81=0</formula>
    </cfRule>
  </conditionalFormatting>
  <conditionalFormatting sqref="J80:K80">
    <cfRule type="expression" dxfId="2561" priority="82">
      <formula>$J80&lt;0</formula>
    </cfRule>
  </conditionalFormatting>
  <conditionalFormatting sqref="E80 I80">
    <cfRule type="expression" dxfId="2560" priority="76">
      <formula>$H80=0</formula>
    </cfRule>
  </conditionalFormatting>
  <conditionalFormatting sqref="J80:K80">
    <cfRule type="expression" dxfId="2559" priority="77">
      <formula>$J80=0</formula>
    </cfRule>
  </conditionalFormatting>
  <conditionalFormatting sqref="L80">
    <cfRule type="expression" dxfId="2558" priority="75">
      <formula>$L81=0</formula>
    </cfRule>
  </conditionalFormatting>
  <conditionalFormatting sqref="J80:K80">
    <cfRule type="expression" dxfId="2557" priority="79">
      <formula>$J80&gt;0</formula>
    </cfRule>
  </conditionalFormatting>
  <conditionalFormatting sqref="L80">
    <cfRule type="expression" dxfId="2556" priority="73">
      <formula>$L80&lt;0</formula>
    </cfRule>
    <cfRule type="expression" dxfId="2555" priority="74">
      <formula>$L80&gt;0</formula>
    </cfRule>
  </conditionalFormatting>
  <conditionalFormatting sqref="J80:K80">
    <cfRule type="expression" dxfId="2554" priority="78">
      <formula>$J80&lt;0</formula>
    </cfRule>
  </conditionalFormatting>
  <conditionalFormatting sqref="J81:K81">
    <cfRule type="expression" dxfId="2553" priority="71">
      <formula>$J81=0</formula>
    </cfRule>
  </conditionalFormatting>
  <conditionalFormatting sqref="L81">
    <cfRule type="expression" dxfId="2552" priority="70">
      <formula>$L82=0</formula>
    </cfRule>
  </conditionalFormatting>
  <conditionalFormatting sqref="J81:K81">
    <cfRule type="expression" dxfId="2551" priority="72">
      <formula>$J81&lt;0</formula>
    </cfRule>
  </conditionalFormatting>
  <conditionalFormatting sqref="E81 I81">
    <cfRule type="expression" dxfId="2550" priority="66">
      <formula>$H81=0</formula>
    </cfRule>
  </conditionalFormatting>
  <conditionalFormatting sqref="J81:K81">
    <cfRule type="expression" dxfId="2549" priority="67">
      <formula>$J81=0</formula>
    </cfRule>
  </conditionalFormatting>
  <conditionalFormatting sqref="L81">
    <cfRule type="expression" dxfId="2548" priority="65">
      <formula>$L82=0</formula>
    </cfRule>
  </conditionalFormatting>
  <conditionalFormatting sqref="J81:K81">
    <cfRule type="expression" dxfId="2547" priority="69">
      <formula>$J81&gt;0</formula>
    </cfRule>
  </conditionalFormatting>
  <conditionalFormatting sqref="L81">
    <cfRule type="expression" dxfId="2546" priority="63">
      <formula>$L81&lt;0</formula>
    </cfRule>
    <cfRule type="expression" dxfId="2545" priority="64">
      <formula>$L81&gt;0</formula>
    </cfRule>
  </conditionalFormatting>
  <conditionalFormatting sqref="J81:K81">
    <cfRule type="expression" dxfId="2544" priority="68">
      <formula>$J81&lt;0</formula>
    </cfRule>
  </conditionalFormatting>
  <conditionalFormatting sqref="J82:K82">
    <cfRule type="expression" dxfId="2543" priority="61">
      <formula>$J82=0</formula>
    </cfRule>
  </conditionalFormatting>
  <conditionalFormatting sqref="L82">
    <cfRule type="expression" dxfId="2542" priority="60">
      <formula>$L83=0</formula>
    </cfRule>
  </conditionalFormatting>
  <conditionalFormatting sqref="J82:K82">
    <cfRule type="expression" dxfId="2541" priority="62">
      <formula>$J82&lt;0</formula>
    </cfRule>
  </conditionalFormatting>
  <conditionalFormatting sqref="E82 I82">
    <cfRule type="expression" dxfId="2540" priority="56">
      <formula>$H82=0</formula>
    </cfRule>
  </conditionalFormatting>
  <conditionalFormatting sqref="J82:K82">
    <cfRule type="expression" dxfId="2539" priority="57">
      <formula>$J82=0</formula>
    </cfRule>
  </conditionalFormatting>
  <conditionalFormatting sqref="L82">
    <cfRule type="expression" dxfId="2538" priority="55">
      <formula>$L83=0</formula>
    </cfRule>
  </conditionalFormatting>
  <conditionalFormatting sqref="J82:K82">
    <cfRule type="expression" dxfId="2537" priority="59">
      <formula>$J82&gt;0</formula>
    </cfRule>
  </conditionalFormatting>
  <conditionalFormatting sqref="L82">
    <cfRule type="expression" dxfId="2536" priority="53">
      <formula>$L82&lt;0</formula>
    </cfRule>
    <cfRule type="expression" dxfId="2535" priority="54">
      <formula>$L82&gt;0</formula>
    </cfRule>
  </conditionalFormatting>
  <conditionalFormatting sqref="J82:K82">
    <cfRule type="expression" dxfId="2534" priority="58">
      <formula>$J82&lt;0</formula>
    </cfRule>
  </conditionalFormatting>
  <conditionalFormatting sqref="J83:K83">
    <cfRule type="expression" dxfId="2533" priority="51">
      <formula>$J83=0</formula>
    </cfRule>
  </conditionalFormatting>
  <conditionalFormatting sqref="L83">
    <cfRule type="expression" dxfId="2532" priority="50">
      <formula>$L84=0</formula>
    </cfRule>
  </conditionalFormatting>
  <conditionalFormatting sqref="J83:K83">
    <cfRule type="expression" dxfId="2531" priority="52">
      <formula>$J83&lt;0</formula>
    </cfRule>
  </conditionalFormatting>
  <conditionalFormatting sqref="E83 I83">
    <cfRule type="expression" dxfId="2530" priority="46">
      <formula>$H83=0</formula>
    </cfRule>
  </conditionalFormatting>
  <conditionalFormatting sqref="J83:K83">
    <cfRule type="expression" dxfId="2529" priority="47">
      <formula>$J83=0</formula>
    </cfRule>
  </conditionalFormatting>
  <conditionalFormatting sqref="L83">
    <cfRule type="expression" dxfId="2528" priority="45">
      <formula>$L84=0</formula>
    </cfRule>
  </conditionalFormatting>
  <conditionalFormatting sqref="J83:K83">
    <cfRule type="expression" dxfId="2527" priority="49">
      <formula>$J83&gt;0</formula>
    </cfRule>
  </conditionalFormatting>
  <conditionalFormatting sqref="L83">
    <cfRule type="expression" dxfId="2526" priority="43">
      <formula>$L83&lt;0</formula>
    </cfRule>
    <cfRule type="expression" dxfId="2525" priority="44">
      <formula>$L83&gt;0</formula>
    </cfRule>
  </conditionalFormatting>
  <conditionalFormatting sqref="J83:K83">
    <cfRule type="expression" dxfId="2524" priority="48">
      <formula>$J83&lt;0</formula>
    </cfRule>
  </conditionalFormatting>
  <conditionalFormatting sqref="J84:K84">
    <cfRule type="expression" dxfId="2523" priority="41">
      <formula>$J84=0</formula>
    </cfRule>
  </conditionalFormatting>
  <conditionalFormatting sqref="L84">
    <cfRule type="expression" dxfId="2522" priority="40">
      <formula>$L85=0</formula>
    </cfRule>
  </conditionalFormatting>
  <conditionalFormatting sqref="J84:K84">
    <cfRule type="expression" dxfId="2521" priority="42">
      <formula>$J84&lt;0</formula>
    </cfRule>
  </conditionalFormatting>
  <conditionalFormatting sqref="E84 I84">
    <cfRule type="expression" dxfId="2520" priority="36">
      <formula>$H84=0</formula>
    </cfRule>
  </conditionalFormatting>
  <conditionalFormatting sqref="J84:K84">
    <cfRule type="expression" dxfId="2519" priority="37">
      <formula>$J84=0</formula>
    </cfRule>
  </conditionalFormatting>
  <conditionalFormatting sqref="L84">
    <cfRule type="expression" dxfId="2518" priority="35">
      <formula>$L85=0</formula>
    </cfRule>
  </conditionalFormatting>
  <conditionalFormatting sqref="J84:K84">
    <cfRule type="expression" dxfId="2517" priority="39">
      <formula>$J84&gt;0</formula>
    </cfRule>
  </conditionalFormatting>
  <conditionalFormatting sqref="L84">
    <cfRule type="expression" dxfId="2516" priority="33">
      <formula>$L84&lt;0</formula>
    </cfRule>
    <cfRule type="expression" dxfId="2515" priority="34">
      <formula>$L84&gt;0</formula>
    </cfRule>
  </conditionalFormatting>
  <conditionalFormatting sqref="J84:K84">
    <cfRule type="expression" dxfId="2514" priority="38">
      <formula>$J84&lt;0</formula>
    </cfRule>
  </conditionalFormatting>
  <conditionalFormatting sqref="Q1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513" priority="30">
      <formula>$J85=0</formula>
    </cfRule>
  </conditionalFormatting>
  <conditionalFormatting sqref="L85">
    <cfRule type="expression" dxfId="2512" priority="29">
      <formula>$L86=0</formula>
    </cfRule>
  </conditionalFormatting>
  <conditionalFormatting sqref="J85:K85">
    <cfRule type="expression" dxfId="2511" priority="31">
      <formula>$J85&lt;0</formula>
    </cfRule>
  </conditionalFormatting>
  <conditionalFormatting sqref="E85 I85">
    <cfRule type="expression" dxfId="2510" priority="25">
      <formula>$H85=0</formula>
    </cfRule>
  </conditionalFormatting>
  <conditionalFormatting sqref="J85:K85">
    <cfRule type="expression" dxfId="2509" priority="26">
      <formula>$J85=0</formula>
    </cfRule>
  </conditionalFormatting>
  <conditionalFormatting sqref="L85">
    <cfRule type="expression" dxfId="2508" priority="24">
      <formula>$L86=0</formula>
    </cfRule>
  </conditionalFormatting>
  <conditionalFormatting sqref="J85:K85">
    <cfRule type="expression" dxfId="2507" priority="28">
      <formula>$J85&gt;0</formula>
    </cfRule>
  </conditionalFormatting>
  <conditionalFormatting sqref="L85">
    <cfRule type="expression" dxfId="2506" priority="22">
      <formula>$L85&lt;0</formula>
    </cfRule>
    <cfRule type="expression" dxfId="2505" priority="23">
      <formula>$L85&gt;0</formula>
    </cfRule>
  </conditionalFormatting>
  <conditionalFormatting sqref="J85:K85">
    <cfRule type="expression" dxfId="2504" priority="27">
      <formula>$J85&lt;0</formula>
    </cfRule>
  </conditionalFormatting>
  <conditionalFormatting sqref="R2:R6 R8:R6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{5F951F11-9C46-4D67-9DC3-8C8EF4BBB7A9}</x14:id>
        </ext>
      </extLst>
    </cfRule>
  </conditionalFormatting>
  <conditionalFormatting sqref="R67:R7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{77FEA3DF-36D7-45B3-8375-D6DDCD9B8248}</x14:id>
        </ext>
      </extLst>
    </cfRule>
  </conditionalFormatting>
  <conditionalFormatting sqref="R73:R74">
    <cfRule type="expression" dxfId="2503" priority="15">
      <formula>$O73=0</formula>
    </cfRule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{E8DB2E3F-0A66-4109-BDD3-F1A35520A9F5}</x14:id>
        </ext>
      </extLst>
    </cfRule>
  </conditionalFormatting>
  <conditionalFormatting sqref="R72:R7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{BA584695-A06E-4B82-A3A7-2765FF01E4D3}</x14:id>
        </ext>
      </extLst>
    </cfRule>
  </conditionalFormatting>
  <conditionalFormatting sqref="R75">
    <cfRule type="expression" dxfId="2502" priority="12">
      <formula>$O75=0</formula>
    </cfRule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{C26BFD6B-819A-4905-BE03-C21D07D35A8C}</x14:id>
        </ext>
      </extLst>
    </cfRule>
  </conditionalFormatting>
  <conditionalFormatting sqref="R75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{A9490C10-6AA1-4911-B759-65FD65FA7764}</x14:id>
        </ext>
      </extLst>
    </cfRule>
  </conditionalFormatting>
  <conditionalFormatting sqref="R7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{3586F932-5FB1-4820-AE86-26D3CBC3D431}</x14:id>
        </ext>
      </extLst>
    </cfRule>
  </conditionalFormatting>
  <conditionalFormatting sqref="R76">
    <cfRule type="expression" dxfId="2501" priority="8">
      <formula>$O76=0</formula>
    </cfRule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{7240DE43-E884-4D09-8425-8F7C2F3A157D}</x14:id>
        </ext>
      </extLst>
    </cfRule>
  </conditionalFormatting>
  <conditionalFormatting sqref="R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{331935EB-53DA-48D5-9DB3-B1F45D76CD91}</x14:id>
        </ext>
      </extLst>
    </cfRule>
  </conditionalFormatting>
  <conditionalFormatting sqref="R77">
    <cfRule type="expression" dxfId="2500" priority="5">
      <formula>$O77=0</formula>
    </cfRule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{FBAC3545-E67E-416F-8CC7-02AA3989F11D}</x14:id>
        </ext>
      </extLst>
    </cfRule>
  </conditionalFormatting>
  <conditionalFormatting sqref="R77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{6D456DEA-C312-4A06-836D-4C42343D3622}</x14:id>
        </ext>
      </extLst>
    </cfRule>
  </conditionalFormatting>
  <conditionalFormatting sqref="R78">
    <cfRule type="expression" dxfId="2499" priority="2">
      <formula>$O78=0</formula>
    </cfRule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{2730FA69-ABFE-45A2-B489-B03DB6136749}</x14:id>
        </ext>
      </extLst>
    </cfRule>
  </conditionalFormatting>
  <conditionalFormatting sqref="R7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{95A2D9E3-225A-4C74-99D1-EE4667AF7D33}</x14:id>
        </ext>
      </extLst>
    </cfRule>
  </conditionalFormatting>
  <conditionalFormatting sqref="R70:R71 R79:R1048576">
    <cfRule type="expression" dxfId="2498" priority="857">
      <formula>$O70=0</formula>
    </cfRule>
    <cfRule type="dataBar" priority="8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hyperlinks>
    <hyperlink ref="E31" location="BIIB!A1" display="BIIB"/>
    <hyperlink ref="E32" location="MYL!A1" display="MYL"/>
    <hyperlink ref="E21" location="SIG!A1" display="SIG"/>
    <hyperlink ref="E33" location="AAPL!A1" display="AAPL"/>
    <hyperlink ref="E34" location="AXP!A1" display="AXP"/>
    <hyperlink ref="E35" location="DG!A1" display="DG"/>
    <hyperlink ref="E36" location="PINC!A1" display="PINC"/>
    <hyperlink ref="E37" location="FOXA!A1" display="FOXA"/>
    <hyperlink ref="E38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45" location="CVS!A1" display="CVS"/>
    <hyperlink ref="E46" location="ADBE!A1" display="ADBE"/>
    <hyperlink ref="E9" location="MRO!A1" display="MRO"/>
    <hyperlink ref="E23" location="GE!A1" display="GE"/>
    <hyperlink ref="E11" location="XRAY!A1" display="XRAY"/>
    <hyperlink ref="E22" location="XLP!A1" display="XLP"/>
    <hyperlink ref="E2" location="KR!A1" display="KR"/>
    <hyperlink ref="E47" location="F!A1" display="F"/>
    <hyperlink ref="E20" location="JNJ!A1" display="JNJ"/>
    <hyperlink ref="E14" location="ULTA!A1" display="ULTA"/>
    <hyperlink ref="E48" location="FRC!A1" display="FRC"/>
    <hyperlink ref="E49" location="AAP!A1" display="AAP"/>
    <hyperlink ref="E10" location="CMCSA!A1" display="CMCSA"/>
    <hyperlink ref="E50" location="XEC!A1" display="XEC"/>
    <hyperlink ref="E12" location="MO!A1" display="MO"/>
    <hyperlink ref="E17" location="T!A1" display="T"/>
    <hyperlink ref="E28" location="COST!A1" display="COST"/>
    <hyperlink ref="E51" location="CPN!A1" display="CPN"/>
    <hyperlink ref="E52" location="EW!A1" display="EW"/>
    <hyperlink ref="E53" location="TJX!A1" display="TJX"/>
    <hyperlink ref="E19" location="QQQ!A1" display="QQQ"/>
    <hyperlink ref="E3" location="WBA!A1" display="WBA"/>
    <hyperlink ref="E54" location="AZO!A1" display="AZO"/>
    <hyperlink ref="E30" location="FL!A1" display="FL"/>
    <hyperlink ref="E55" location="MLM!A1" display="MLM"/>
    <hyperlink ref="E18" location="KHC!A1" display="KHC"/>
    <hyperlink ref="E56" location="KBWY!A1" display="KBWY"/>
    <hyperlink ref="E5" location="AYI!A1" display="AYI"/>
    <hyperlink ref="E16" location="DIA!A1" display="DIA"/>
    <hyperlink ref="E25" location="ICE!A1" display="ICE"/>
    <hyperlink ref="E57" location="NKE!A1" display="NKE"/>
    <hyperlink ref="E29" location="MOS!A1" display="MOS"/>
    <hyperlink ref="E58" location="VGK!A1" display="VGK"/>
    <hyperlink ref="E59" location="CMG!A1" display="CMG"/>
    <hyperlink ref="E27" location="HAS!A1" display="HAS"/>
    <hyperlink ref="E15" location="HSIC!A1" display="HSIC"/>
    <hyperlink ref="E4" location="PDCO!A1" display="PDCO"/>
    <hyperlink ref="E60" location="MU!A1" display="MU"/>
    <hyperlink ref="E61" location="IP!A1" display="IP"/>
    <hyperlink ref="E62" location="INTC!A1" display="INTC"/>
    <hyperlink ref="E63" location="HES!A1" display="HES"/>
    <hyperlink ref="E64" location="UNP!A1" display="UNP"/>
    <hyperlink ref="E65" location="NCLH!A1" display="NCLH"/>
    <hyperlink ref="E7" location="SPY!A1" display="SPY"/>
    <hyperlink ref="E66" location="SWKS!A1" display="SWKS"/>
    <hyperlink ref="E67" location="CNI!A1" display="CNI"/>
    <hyperlink ref="E6" location="WFC!A1" display="WFC"/>
    <hyperlink ref="E68" location="AA!A1" display="AA"/>
    <hyperlink ref="E69" location="CF!A1" display="CF"/>
    <hyperlink ref="E70" location="TGT!A1" display="TGT"/>
    <hyperlink ref="E8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24" location="DAL!A1" display="DAL"/>
    <hyperlink ref="E77" location="TEVA!A1" display="TEVA"/>
    <hyperlink ref="E78" location="DIS!A1" display="DIS"/>
    <hyperlink ref="E79" location="FTR!A1" display="FTR"/>
    <hyperlink ref="E26" location="GILD!A1" display="GILD"/>
    <hyperlink ref="E80" location="WWD!A1" display="WWD"/>
    <hyperlink ref="E13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5F951F11-9C46-4D67-9DC3-8C8EF4BBB7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R2:R6 R8:R66</xm:sqref>
        </x14:conditionalFormatting>
        <x14:conditionalFormatting xmlns:xm="http://schemas.microsoft.com/office/excel/2006/main">
          <x14:cfRule type="dataBar" id="{77FEA3DF-36D7-45B3-8375-D6DDCD9B82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R67:R71</xm:sqref>
        </x14:conditionalFormatting>
        <x14:conditionalFormatting xmlns:xm="http://schemas.microsoft.com/office/excel/2006/main">
          <x14:cfRule type="dataBar" id="{E8DB2E3F-0A66-4109-BDD3-F1A35520A9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R73:R74</xm:sqref>
        </x14:conditionalFormatting>
        <x14:conditionalFormatting xmlns:xm="http://schemas.microsoft.com/office/excel/2006/main">
          <x14:cfRule type="dataBar" id="{BA584695-A06E-4B82-A3A7-2765FF01E4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R72:R74</xm:sqref>
        </x14:conditionalFormatting>
        <x14:conditionalFormatting xmlns:xm="http://schemas.microsoft.com/office/excel/2006/main">
          <x14:cfRule type="dataBar" id="{C26BFD6B-819A-4905-BE03-C21D07D35A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A9490C10-6AA1-4911-B759-65FD65FA77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3586F932-5FB1-4820-AE86-26D3CBC3D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</xm:sqref>
        </x14:conditionalFormatting>
        <x14:conditionalFormatting xmlns:xm="http://schemas.microsoft.com/office/excel/2006/main">
          <x14:cfRule type="dataBar" id="{7240DE43-E884-4D09-8425-8F7C2F3A15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331935EB-53DA-48D5-9DB3-B1F45D76CD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FBAC3545-E67E-416F-8CC7-02AA3989F1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6D456DEA-C312-4A06-836D-4C42343D36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2730FA69-ABFE-45A2-B489-B03DB61367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95A2D9E3-225A-4C74-99D1-EE4667AF7D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R70:R71 R79:R1048576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1" activePane="bottomLeft" state="frozen"/>
      <selection activeCell="E5" sqref="E5"/>
      <selection pane="bottomLeft" activeCell="C5" sqref="C5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49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49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49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49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382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49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49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222</v>
      </c>
      <c r="R251" s="429"/>
      <c r="S251" s="410" t="s">
        <v>217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1118.3600000000006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SUM(ACTIVE!L:L)</f>
        <v>83222.558166668256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82027.238166668321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82027.210000000021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2.8166668300400488E-2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/>
      <c r="T296" s="408"/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1118.3600000000006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497" priority="7">
      <formula>#REF!&gt;0</formula>
    </cfRule>
    <cfRule type="expression" dxfId="249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65"/>
  <sheetViews>
    <sheetView tabSelected="1" topLeftCell="X1" zoomScaleNormal="100" workbookViewId="0">
      <pane ySplit="1" topLeftCell="A125" activePane="bottomLeft" state="frozen"/>
      <selection pane="bottomLeft" activeCell="M670" sqref="M670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281</v>
      </c>
      <c r="H1" s="335" t="s">
        <v>280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776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215</v>
      </c>
      <c r="U1" s="337" t="s">
        <v>216</v>
      </c>
      <c r="V1" s="336" t="s">
        <v>220</v>
      </c>
      <c r="W1" s="336" t="s">
        <v>221</v>
      </c>
      <c r="X1" s="336" t="s">
        <v>954</v>
      </c>
      <c r="Y1" s="336" t="s">
        <v>953</v>
      </c>
      <c r="Z1" s="336" t="s">
        <v>930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 t="shared" ref="N2:N29" si="1"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5"/>
      <c r="AA2" s="328">
        <f>LOOKUP(2,1/(M:M&lt;&gt;""),M:M)</f>
        <v>82027.210000000021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2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3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si="1"/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5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2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3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1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5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2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3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1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5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2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3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1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5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2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3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1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6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2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3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1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6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2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3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1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6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2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3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1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6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2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3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1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6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2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3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1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5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2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3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1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5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2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3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1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5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2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3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1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5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2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3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1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5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2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3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1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6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2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3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1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6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2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3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1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6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2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3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1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6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2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3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1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5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2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3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1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5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2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3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1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5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2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3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1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5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2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3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1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5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2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3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1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7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2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3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1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7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2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3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1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7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2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1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7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2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7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2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7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2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7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2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7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2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7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2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7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2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7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2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7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2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7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2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7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2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7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2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7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2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7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2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7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2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7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2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7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2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7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2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7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2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7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2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7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2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7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2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7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2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7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2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7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2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7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2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7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2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7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2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7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2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7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2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7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2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7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2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7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2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7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2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7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2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7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2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7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2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7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7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7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7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7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7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7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7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7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7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7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7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7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7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7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7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7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7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7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7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7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7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7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7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7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7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7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7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7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7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7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7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7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7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7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7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7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7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7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7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7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7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7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7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7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7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7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7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7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7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7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7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7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7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7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7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7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7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7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7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7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7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7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7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7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7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7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7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7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7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7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7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7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7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7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7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7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7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7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7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7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7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7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7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7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7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7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7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7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7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7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7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7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7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7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7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7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7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7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7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7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7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7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7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7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7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7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7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7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7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7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7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7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7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7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7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7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7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7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7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7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7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7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7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7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7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7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7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7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7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7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7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7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7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7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7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7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7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7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7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7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7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7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7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7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7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7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7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7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7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7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7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7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7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7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7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7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7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7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7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7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7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7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7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7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7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7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7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7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7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7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7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7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7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7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7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7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7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7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7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7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7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7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7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7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7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7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7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7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7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7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7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7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7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7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7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7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7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7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7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7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7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7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7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7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7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7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7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7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7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7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7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7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7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7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7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7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7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7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7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7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7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7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7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7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7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7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7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7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7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7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7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7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7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7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7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7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7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7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7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7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7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7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7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7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7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7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7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7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7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7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7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7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7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7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7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7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7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7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7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7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7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7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7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7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7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7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7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7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7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7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7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7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7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7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7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7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7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7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7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7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7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7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7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7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7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7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7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7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7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7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7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7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7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7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7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7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7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7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7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7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7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7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7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7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7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7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7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7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7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7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7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7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7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7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7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7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7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7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7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7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7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7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7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7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7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7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7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7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7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7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7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7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7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7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7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7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7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7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7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7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7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7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7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7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7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7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7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7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7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7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7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7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7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7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7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7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7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7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7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7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7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7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7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7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7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7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7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7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7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7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7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7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7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7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7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7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7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7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7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7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7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7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7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7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7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7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7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7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7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7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7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7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7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7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7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7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7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7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7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7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7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7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7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7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7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7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7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7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7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7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7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7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7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7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7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7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7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7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7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7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7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7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7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7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7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7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7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7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7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7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7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7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7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7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7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7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7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7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7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7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7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7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7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7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7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7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7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7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7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7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7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7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7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7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7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7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7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7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7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7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7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7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7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7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7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7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7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7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7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7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7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7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7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7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7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7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7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7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7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7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7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7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7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7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7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7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7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7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7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7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7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7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7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7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7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7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7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7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7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7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7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7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7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7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7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7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7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7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7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7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7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7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7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7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7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7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7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7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7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7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7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7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7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7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7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7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7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7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7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7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7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7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7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7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7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7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7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7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7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7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7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7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7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7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7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7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7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7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7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7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7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7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7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7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7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7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7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7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7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7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7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7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7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7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7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7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7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7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7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7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9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7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9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7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9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7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9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7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9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7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9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7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9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7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9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7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9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7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9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7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9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7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9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7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9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7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9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7">
        <f t="shared" ref="Z650" si="3334">-(E650-N650)</f>
        <v>-6.0747931218330387E-2</v>
      </c>
    </row>
    <row r="651" spans="1:26" ht="20.100000000000001" customHeight="1" x14ac:dyDescent="0.25">
      <c r="A651" s="160">
        <f t="shared" ref="A651" si="3335">B651-$B$2</f>
        <v>1008</v>
      </c>
      <c r="B651" s="169">
        <v>43241</v>
      </c>
      <c r="C651" s="211">
        <v>2733.01</v>
      </c>
      <c r="D651" s="168">
        <f t="shared" ref="D651" si="3336">(C651-C650)/C650</f>
        <v>7.386738519040174E-3</v>
      </c>
      <c r="E651" s="205">
        <f t="shared" ref="E651" si="3337">(C651-$C$2)/$C$2</f>
        <v>0.29992294667148656</v>
      </c>
      <c r="F651" s="215">
        <v>7394.03</v>
      </c>
      <c r="G651" s="168">
        <f t="shared" ref="G651" si="3338">(F651-F650)/F650</f>
        <v>5.3981803916875936E-3</v>
      </c>
      <c r="H651" s="199">
        <f t="shared" ref="H651" si="3339">(F651-F$2)/F$2</f>
        <v>0.45217314452933205</v>
      </c>
      <c r="I651" s="829">
        <v>370544.71</v>
      </c>
      <c r="J651" s="170">
        <v>300000</v>
      </c>
      <c r="K651" s="170">
        <f t="shared" ref="K651" si="3340">I651-I650-J651+J650</f>
        <v>1651.7400000000489</v>
      </c>
      <c r="L651" s="168">
        <f t="shared" ref="L651" si="3341">K651/I650</f>
        <v>4.4775588973681151E-3</v>
      </c>
      <c r="M651" s="178">
        <f t="shared" ref="M651" si="3342">I651-J651</f>
        <v>70544.710000000021</v>
      </c>
      <c r="N651" s="180">
        <f t="shared" ref="N651" si="3343">M651/J651</f>
        <v>0.2351490333333334</v>
      </c>
      <c r="O651" s="179">
        <f t="shared" ref="O651" si="3344">N651/(A651/365.25)</f>
        <v>8.5206532167658749E-2</v>
      </c>
      <c r="P651" s="178" t="b">
        <f t="shared" ref="P651" si="3345">L651&gt;D651</f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ref="S651" si="3346">I651-R651</f>
        <v>59564.19</v>
      </c>
      <c r="T651" s="170">
        <v>-33411</v>
      </c>
      <c r="U651" s="170">
        <f t="shared" ref="U651" si="3347">M651-T651</f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ref="X651" si="3348">E651/(A651/365.25)/V651</f>
        <v>0.76381476965862527</v>
      </c>
      <c r="Y651" s="171">
        <f t="shared" ref="Y651" si="3349">O651/W651</f>
        <v>0.31003985732553174</v>
      </c>
      <c r="Z651" s="787">
        <f t="shared" ref="Z651" si="3350">-(E651-N651)</f>
        <v>-6.4773913338153161E-2</v>
      </c>
    </row>
    <row r="652" spans="1:26" ht="20.100000000000001" customHeight="1" x14ac:dyDescent="0.25">
      <c r="A652" s="160">
        <f t="shared" ref="A652" si="3351">B652-$B$2</f>
        <v>1009</v>
      </c>
      <c r="B652" s="169">
        <v>43242</v>
      </c>
      <c r="C652" s="211">
        <v>2724.44</v>
      </c>
      <c r="D652" s="168">
        <f t="shared" ref="D652" si="3352">(C652-C651)/C651</f>
        <v>-3.1357367883762454E-3</v>
      </c>
      <c r="E652" s="205">
        <f t="shared" ref="E652" si="3353">(C652-$C$2)/$C$2</f>
        <v>0.29584673046555432</v>
      </c>
      <c r="F652" s="215">
        <v>7378.45</v>
      </c>
      <c r="G652" s="168">
        <f t="shared" ref="G652" si="3354">(F652-F651)/F651</f>
        <v>-2.1071053268650422E-3</v>
      </c>
      <c r="H652" s="199">
        <f t="shared" ref="H652" si="3355">(F652-F$2)/F$2</f>
        <v>0.44911326276096392</v>
      </c>
      <c r="I652" s="829">
        <v>369224.1</v>
      </c>
      <c r="J652" s="170">
        <v>300000</v>
      </c>
      <c r="K652" s="170">
        <f t="shared" ref="K652" si="3356">I652-I651-J652+J651</f>
        <v>-1320.6100000000442</v>
      </c>
      <c r="L652" s="168">
        <f t="shared" ref="L652" si="3357">K652/I651</f>
        <v>-3.5639693790259323E-3</v>
      </c>
      <c r="M652" s="178">
        <f t="shared" ref="M652" si="3358">I652-J652</f>
        <v>69224.099999999977</v>
      </c>
      <c r="N652" s="180">
        <f t="shared" ref="N652" si="3359">M652/J652</f>
        <v>0.23074699999999992</v>
      </c>
      <c r="O652" s="179">
        <f t="shared" ref="O652" si="3360">N652/(A652/365.25)</f>
        <v>8.3528584489593632E-2</v>
      </c>
      <c r="P652" s="178" t="b">
        <f t="shared" ref="P652" si="3361">L652&gt;D652</f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ref="S652" si="3362">I652-R652</f>
        <v>59581.109999999986</v>
      </c>
      <c r="T652" s="170">
        <v>-33552</v>
      </c>
      <c r="U652" s="170">
        <f t="shared" ref="U652" si="3363">M652-T652</f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ref="X652" si="3364">E652/(A652/365.25)/V652</f>
        <v>0.75317512290461208</v>
      </c>
      <c r="Y652" s="171">
        <f t="shared" ref="Y652" si="3365">O652/W652</f>
        <v>0.30415528360616906</v>
      </c>
      <c r="Z652" s="787">
        <f t="shared" ref="Z652" si="3366">-(E652-N652)</f>
        <v>-6.5099730465554395E-2</v>
      </c>
    </row>
    <row r="653" spans="1:26" ht="20.100000000000001" customHeight="1" x14ac:dyDescent="0.25">
      <c r="A653" s="160">
        <f t="shared" ref="A653" si="3367">B653-$B$2</f>
        <v>1010</v>
      </c>
      <c r="B653" s="169">
        <v>43243</v>
      </c>
      <c r="C653" s="211">
        <v>2733.29</v>
      </c>
      <c r="D653" s="168">
        <f t="shared" ref="D653" si="3368">(C653-C652)/C652</f>
        <v>3.2483739777715453E-3</v>
      </c>
      <c r="E653" s="205">
        <f t="shared" ref="E653" si="3369">(C653-$C$2)/$C$2</f>
        <v>0.30005612526397896</v>
      </c>
      <c r="F653" s="215">
        <v>7425.95</v>
      </c>
      <c r="G653" s="168">
        <f t="shared" ref="G653" si="3370">(F653-F652)/F652</f>
        <v>6.4376664475601243E-3</v>
      </c>
      <c r="H653" s="199">
        <f t="shared" ref="H653" si="3371">(F653-F$2)/F$2</f>
        <v>0.45844217059135456</v>
      </c>
      <c r="I653" s="829">
        <v>369307.32</v>
      </c>
      <c r="J653" s="170">
        <v>300000</v>
      </c>
      <c r="K653" s="170">
        <f t="shared" ref="K653" si="3372">I653-I652-J653+J652</f>
        <v>83.220000000030268</v>
      </c>
      <c r="L653" s="168">
        <f t="shared" ref="L653" si="3373">K653/I652</f>
        <v>2.2539157113533561E-4</v>
      </c>
      <c r="M653" s="178">
        <f t="shared" ref="M653" si="3374">I653-J653</f>
        <v>69307.320000000007</v>
      </c>
      <c r="N653" s="180">
        <f t="shared" ref="N653" si="3375">M653/J653</f>
        <v>0.23102440000000002</v>
      </c>
      <c r="O653" s="179">
        <f t="shared" ref="O653" si="3376">N653/(A653/365.25)</f>
        <v>8.3546200099009912E-2</v>
      </c>
      <c r="P653" s="178" t="b">
        <f t="shared" ref="P653" si="3377">L653&gt;D653</f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ref="S653" si="3378">I653-R653</f>
        <v>64765.340000000026</v>
      </c>
      <c r="T653" s="170">
        <v>-33811</v>
      </c>
      <c r="U653" s="170">
        <f t="shared" ref="U653" si="3379">M653-T653</f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ref="X653" si="3380">E653/(A653/365.25)/V653</f>
        <v>0.76366510643891128</v>
      </c>
      <c r="Y653" s="171">
        <f t="shared" ref="Y653" si="3381">O653/W653</f>
        <v>0.30445361411090577</v>
      </c>
      <c r="Z653" s="787">
        <f t="shared" ref="Z653" si="3382">-(E653-N653)</f>
        <v>-6.9031725263978938E-2</v>
      </c>
    </row>
    <row r="654" spans="1:26" ht="20.100000000000001" customHeight="1" x14ac:dyDescent="0.25">
      <c r="A654" s="160">
        <f t="shared" ref="A654" si="3383">B654-$B$2</f>
        <v>1011</v>
      </c>
      <c r="B654" s="169">
        <v>43244</v>
      </c>
      <c r="C654" s="211">
        <v>2727.76</v>
      </c>
      <c r="D654" s="168">
        <f t="shared" ref="D654" si="3384">(C654-C653)/C653</f>
        <v>-2.0232028068736742E-3</v>
      </c>
      <c r="E654" s="205">
        <f t="shared" ref="E654" si="3385">(C654-$C$2)/$C$2</f>
        <v>0.29742584806225153</v>
      </c>
      <c r="F654" s="215">
        <v>7424.42</v>
      </c>
      <c r="G654" s="168">
        <f t="shared" ref="G654" si="3386">(F654-F653)/F653</f>
        <v>-2.0603424477672828E-4</v>
      </c>
      <c r="H654" s="199">
        <f t="shared" ref="H654" si="3387">(F654-F$2)/F$2</f>
        <v>0.45814168156018625</v>
      </c>
      <c r="I654" s="829">
        <v>369717.91</v>
      </c>
      <c r="J654" s="170">
        <v>300000</v>
      </c>
      <c r="K654" s="170">
        <f t="shared" ref="K654" si="3388">I654-I653-J654+J653</f>
        <v>410.5899999999674</v>
      </c>
      <c r="L654" s="168">
        <f t="shared" ref="L654" si="3389">K654/I653</f>
        <v>1.1117840826982996E-3</v>
      </c>
      <c r="M654" s="178">
        <f t="shared" ref="M654" si="3390">I654-J654</f>
        <v>69717.909999999974</v>
      </c>
      <c r="N654" s="180">
        <f t="shared" ref="N654" si="3391">M654/J654</f>
        <v>0.23239303333333325</v>
      </c>
      <c r="O654" s="179">
        <f t="shared" ref="O654" si="3392">N654/(A654/365.25)</f>
        <v>8.3958017235410451E-2</v>
      </c>
      <c r="P654" s="178" t="b">
        <f t="shared" ref="P654" si="3393">L654&gt;D654</f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ref="S654" si="3394">I654-R654</f>
        <v>62735.909999999974</v>
      </c>
      <c r="T654" s="170">
        <v>-33834</v>
      </c>
      <c r="U654" s="170">
        <f t="shared" ref="U654" si="3395">M654-T654</f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ref="X654" si="3396">E654/(A654/365.25)/V654</f>
        <v>0.75675947832872026</v>
      </c>
      <c r="Y654" s="171">
        <f t="shared" ref="Y654" si="3397">O654/W654</f>
        <v>0.30618936830962717</v>
      </c>
      <c r="Z654" s="787">
        <f t="shared" ref="Z654" si="3398">-(E654-N654)</f>
        <v>-6.5032814728918281E-2</v>
      </c>
    </row>
    <row r="655" spans="1:26" ht="20.100000000000001" customHeight="1" x14ac:dyDescent="0.25">
      <c r="A655" s="160">
        <f t="shared" ref="A655" si="3399">B655-$B$2</f>
        <v>1012</v>
      </c>
      <c r="B655" s="169">
        <v>43245</v>
      </c>
      <c r="C655" s="211">
        <v>2721.33</v>
      </c>
      <c r="D655" s="168">
        <f t="shared" ref="D655" si="3400">(C655-C654)/C654</f>
        <v>-2.3572455054697958E-3</v>
      </c>
      <c r="E655" s="205">
        <f t="shared" ref="E655" si="3401">(C655-$C$2)/$C$2</f>
        <v>0.29436749681322649</v>
      </c>
      <c r="F655" s="215">
        <v>7433.85</v>
      </c>
      <c r="G655" s="168">
        <f t="shared" ref="G655" si="3402">(F655-F654)/F654</f>
        <v>1.2701328858012197E-3</v>
      </c>
      <c r="H655" s="199">
        <f t="shared" ref="H655" si="3403">(F655-F$2)/F$2</f>
        <v>0.45999371526209332</v>
      </c>
      <c r="I655" s="829">
        <v>370226.78</v>
      </c>
      <c r="J655" s="170">
        <v>300000</v>
      </c>
      <c r="K655" s="170">
        <f t="shared" ref="K655" si="3404">I655-I654-J655+J654</f>
        <v>508.87000000005355</v>
      </c>
      <c r="L655" s="168">
        <f t="shared" ref="L655" si="3405">K655/I654</f>
        <v>1.3763736790572401E-3</v>
      </c>
      <c r="M655" s="178">
        <f t="shared" ref="M655" si="3406">I655-J655</f>
        <v>70226.780000000028</v>
      </c>
      <c r="N655" s="180">
        <f t="shared" ref="N655" si="3407">M655/J655</f>
        <v>0.23408926666666677</v>
      </c>
      <c r="O655" s="179">
        <f t="shared" ref="O655" si="3408">N655/(A655/365.25)</f>
        <v>8.448725755928857E-2</v>
      </c>
      <c r="P655" s="178" t="b">
        <f t="shared" ref="P655" si="3409">L655&gt;D655</f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ref="S655" si="3410">I655-R655</f>
        <v>45347.460000000021</v>
      </c>
      <c r="T655" s="170">
        <v>-33723</v>
      </c>
      <c r="U655" s="170">
        <f t="shared" ref="U655" si="3411">M655-T655</f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ref="X655" si="3412">E655/(A655/365.25)/V655</f>
        <v>0.74875615636297466</v>
      </c>
      <c r="Y655" s="171">
        <f t="shared" ref="Y655" si="3413">O655/W655</f>
        <v>0.3083555322940939</v>
      </c>
      <c r="Z655" s="787">
        <f t="shared" ref="Z655" si="3414">-(E655-N655)</f>
        <v>-6.0278230146559725E-2</v>
      </c>
    </row>
    <row r="656" spans="1:26" ht="20.100000000000001" customHeight="1" x14ac:dyDescent="0.25">
      <c r="A656" s="160">
        <f t="shared" ref="A656" si="3415">B656-$B$2</f>
        <v>1015</v>
      </c>
      <c r="B656" s="169">
        <v>43248</v>
      </c>
      <c r="C656" s="211">
        <v>2689.86</v>
      </c>
      <c r="D656" s="168">
        <f t="shared" ref="D656" si="3416">(C656-C655)/C655</f>
        <v>-1.1564198388288007E-2</v>
      </c>
      <c r="E656" s="205">
        <f t="shared" ref="E656" si="3417">(C656-$C$2)/$C$2</f>
        <v>0.27939917429272659</v>
      </c>
      <c r="F656" s="215">
        <v>7396.59</v>
      </c>
      <c r="G656" s="168">
        <f t="shared" ref="G656" si="3418">(F656-F655)/F655</f>
        <v>-5.0122076716641066E-3</v>
      </c>
      <c r="H656" s="199">
        <f t="shared" ref="H656" si="3419">(F656-F$2)/F$2</f>
        <v>0.4526759235618753</v>
      </c>
      <c r="I656" s="829">
        <v>367527</v>
      </c>
      <c r="J656" s="170">
        <v>300000</v>
      </c>
      <c r="K656" s="170">
        <f t="shared" ref="K656" si="3420">I656-I655-J656+J655</f>
        <v>-2699.7800000000279</v>
      </c>
      <c r="L656" s="168">
        <f t="shared" ref="L656" si="3421">K656/I655</f>
        <v>-7.292233155040885E-3</v>
      </c>
      <c r="M656" s="178">
        <f t="shared" ref="M656" si="3422">I656-J656</f>
        <v>67527</v>
      </c>
      <c r="N656" s="180">
        <f t="shared" ref="N656" si="3423">M656/J656</f>
        <v>0.22509000000000001</v>
      </c>
      <c r="O656" s="179">
        <f t="shared" ref="O656" si="3424">N656/(A656/365.25)</f>
        <v>8.0999135467980307E-2</v>
      </c>
      <c r="P656" s="178" t="b">
        <f t="shared" ref="P656" si="3425">L656&gt;D656</f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ref="S656" si="3426">I656-R656</f>
        <v>33390.219999999972</v>
      </c>
      <c r="T656" s="170">
        <v>-33965</v>
      </c>
      <c r="U656" s="170">
        <f t="shared" ref="U656" si="3427">M656-T656</f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ref="X656" si="3428">E656/(A656/365.25)/V656</f>
        <v>0.70814871028331094</v>
      </c>
      <c r="Y656" s="171">
        <f t="shared" ref="Y656" si="3429">O656/W656</f>
        <v>0.29580430787787965</v>
      </c>
      <c r="Z656" s="787">
        <f t="shared" ref="Z656" si="3430">-(E656-N656)</f>
        <v>-5.4309174292726581E-2</v>
      </c>
    </row>
    <row r="657" spans="1:26" ht="20.100000000000001" customHeight="1" x14ac:dyDescent="0.25">
      <c r="A657" s="160">
        <f t="shared" ref="A657" si="3431">B657-$B$2</f>
        <v>1016</v>
      </c>
      <c r="B657" s="169">
        <v>43249</v>
      </c>
      <c r="C657" s="211">
        <v>2724.01</v>
      </c>
      <c r="D657" s="168">
        <f t="shared" ref="D657" si="3432">(C657-C656)/C656</f>
        <v>1.2695828035659882E-2</v>
      </c>
      <c r="E657" s="205">
        <f t="shared" ref="E657" si="3433">(C657-$C$2)/$C$2</f>
        <v>0.29564220619851228</v>
      </c>
      <c r="F657" s="215">
        <v>7462.45</v>
      </c>
      <c r="G657" s="168">
        <f t="shared" ref="G657" si="3434">(F657-F656)/F656</f>
        <v>8.9041031069722228E-3</v>
      </c>
      <c r="H657" s="199">
        <f t="shared" ref="H657" si="3435">(F657-F$2)/F$2</f>
        <v>0.46561069976628633</v>
      </c>
      <c r="I657" s="829">
        <v>372747.09</v>
      </c>
      <c r="J657" s="170">
        <v>300000</v>
      </c>
      <c r="K657" s="170">
        <f t="shared" ref="K657" si="3436">I657-I656-J657+J656</f>
        <v>5220.0900000000256</v>
      </c>
      <c r="L657" s="168">
        <f t="shared" ref="L657" si="3437">K657/I656</f>
        <v>1.420328302410442E-2</v>
      </c>
      <c r="M657" s="178">
        <f t="shared" ref="M657" si="3438">I657-J657</f>
        <v>72747.090000000026</v>
      </c>
      <c r="N657" s="180">
        <f t="shared" ref="N657" si="3439">M657/J657</f>
        <v>0.24249030000000008</v>
      </c>
      <c r="O657" s="179">
        <f t="shared" ref="O657" si="3440">N657/(A657/365.25)</f>
        <v>8.7174785506889799E-2</v>
      </c>
      <c r="P657" s="178" t="b">
        <f t="shared" ref="P657" si="3441">L657&gt;D657</f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ref="S657" si="3442">I657-R657</f>
        <v>39789.100000000035</v>
      </c>
      <c r="T657" s="170">
        <v>-33334</v>
      </c>
      <c r="U657" s="170">
        <f t="shared" ref="U657" si="3443">M657-T657</f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ref="X657" si="3444">E657/(A657/365.25)/V657</f>
        <v>0.74807556410732035</v>
      </c>
      <c r="Y657" s="171">
        <f t="shared" ref="Y657" si="3445">O657/W657</f>
        <v>0.31844907547564094</v>
      </c>
      <c r="Z657" s="787">
        <f t="shared" ref="Z657" si="3446">-(E657-N657)</f>
        <v>-5.3151906198512205E-2</v>
      </c>
    </row>
    <row r="658" spans="1:26" ht="20.100000000000001" customHeight="1" x14ac:dyDescent="0.25">
      <c r="A658" s="160">
        <f t="shared" ref="A658" si="3447">B658-$B$2</f>
        <v>1017</v>
      </c>
      <c r="B658" s="169">
        <v>43250</v>
      </c>
      <c r="C658" s="211">
        <v>2705.27</v>
      </c>
      <c r="D658" s="168">
        <f t="shared" ref="D658:D659" si="3448">(C658-C657)/C657</f>
        <v>-6.8795635845684249E-3</v>
      </c>
      <c r="E658" s="205">
        <f t="shared" ref="E658" si="3449">(C658-$C$2)/$C$2</f>
        <v>0.28672875325811908</v>
      </c>
      <c r="F658" s="215">
        <v>7442.11</v>
      </c>
      <c r="G658" s="168">
        <f t="shared" ref="G658:G659" si="3450">(F658-F657)/F657</f>
        <v>-2.7256464029909943E-3</v>
      </c>
      <c r="H658" s="199">
        <f t="shared" ref="H658" si="3451">(F658-F$2)/F$2</f>
        <v>0.46161596323428322</v>
      </c>
      <c r="I658" s="847">
        <v>367531.04</v>
      </c>
      <c r="J658" s="170">
        <v>300000</v>
      </c>
      <c r="K658" s="170">
        <f t="shared" ref="K658" si="3452">I658-I657-J658+J657</f>
        <v>-5216.0500000000466</v>
      </c>
      <c r="L658" s="168">
        <f t="shared" ref="L658" si="3453">K658/I657</f>
        <v>-1.3993536475362011E-2</v>
      </c>
      <c r="M658" s="462">
        <f t="shared" ref="M658" si="3454">I658-J658</f>
        <v>67531.039999999979</v>
      </c>
      <c r="N658" s="180">
        <f t="shared" ref="N658" si="3455">M658/J658</f>
        <v>0.22510346666666659</v>
      </c>
      <c r="O658" s="179">
        <f t="shared" ref="O658" si="3456">N658/(A658/365.25)</f>
        <v>8.0844681612585997E-2</v>
      </c>
      <c r="P658" s="178" t="b">
        <f t="shared" ref="P658" si="3457">L658&gt;D658</f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ref="S658" si="3458">I658-R658</f>
        <v>32870.959999999963</v>
      </c>
      <c r="T658" s="170">
        <v>-34339</v>
      </c>
      <c r="U658" s="170">
        <f t="shared" ref="U658" si="3459">M658-T658</f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ref="X658" si="3460">E658/(A658/365.25)/V658</f>
        <v>0.72499239889895384</v>
      </c>
      <c r="Y658" s="171">
        <f t="shared" ref="Y658" si="3461">O658/W658</f>
        <v>0.29538967651932285</v>
      </c>
      <c r="Z658" s="787">
        <f t="shared" ref="Z658" si="3462">-(E658-N658)</f>
        <v>-6.1625286591452499E-2</v>
      </c>
    </row>
    <row r="659" spans="1:26" ht="20.100000000000001" customHeight="1" x14ac:dyDescent="0.25">
      <c r="A659" s="160">
        <f t="shared" ref="A659" si="3463">B659-$B$2</f>
        <v>1019</v>
      </c>
      <c r="B659" s="169">
        <v>43252</v>
      </c>
      <c r="C659" s="211">
        <v>2734.62</v>
      </c>
      <c r="D659" s="168">
        <f t="shared" si="3448"/>
        <v>1.0849194350286629E-2</v>
      </c>
      <c r="E659" s="205">
        <f t="shared" ref="E659" si="3464">(C659-$C$2)/$C$2</f>
        <v>0.30068872357831844</v>
      </c>
      <c r="F659" s="215">
        <v>7555.33</v>
      </c>
      <c r="G659" s="168">
        <f t="shared" si="3450"/>
        <v>1.5213427374763375E-2</v>
      </c>
      <c r="H659" s="199">
        <f t="shared" ref="H659" si="3465">(F659-F$2)/F$2</f>
        <v>0.48385215154074279</v>
      </c>
      <c r="I659" s="829">
        <v>369254.27</v>
      </c>
      <c r="J659" s="170">
        <v>300000</v>
      </c>
      <c r="K659" s="170">
        <f t="shared" ref="K659" si="3466">I659-I658-J659+J658</f>
        <v>1723.2300000000396</v>
      </c>
      <c r="L659" s="168">
        <f t="shared" ref="L659" si="3467">K659/I658</f>
        <v>4.6886652077061022E-3</v>
      </c>
      <c r="M659" s="178">
        <f t="shared" ref="M659" si="3468">I659-J659</f>
        <v>69254.270000000019</v>
      </c>
      <c r="N659" s="180">
        <f t="shared" ref="N659" si="3469">M659/J659</f>
        <v>0.23084756666666673</v>
      </c>
      <c r="O659" s="179">
        <f t="shared" ref="O659" si="3470">N659/(A659/365.25)</f>
        <v>8.2744920240431813E-2</v>
      </c>
      <c r="P659" s="178" t="b">
        <f t="shared" ref="P659" si="3471">L659&gt;D659</f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ref="S659:S660" si="3472">I659-R659</f>
        <v>37626.960000000021</v>
      </c>
      <c r="T659" s="170">
        <v>-34339</v>
      </c>
      <c r="U659" s="170">
        <f t="shared" ref="U659" si="3473">M659-T659</f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ref="X659" si="3474">E659/(A659/365.25)/V659</f>
        <v>0.75859243948823241</v>
      </c>
      <c r="Y659" s="171">
        <f t="shared" ref="Y659" si="3475">O659/W659</f>
        <v>0.30255028933084693</v>
      </c>
      <c r="Z659" s="787">
        <f t="shared" ref="Z659" si="3476">-(E659-N659)</f>
        <v>-6.9841156911651714E-2</v>
      </c>
    </row>
    <row r="660" spans="1:26" ht="20.100000000000001" customHeight="1" x14ac:dyDescent="0.25">
      <c r="A660" s="160">
        <f t="shared" ref="A660" si="3477">B660-$B$2</f>
        <v>1022</v>
      </c>
      <c r="B660" s="169">
        <v>43255</v>
      </c>
      <c r="C660" s="211">
        <v>2746.87</v>
      </c>
      <c r="D660" s="168">
        <f t="shared" ref="D660" si="3478">(C660-C659)/C659</f>
        <v>4.4795986279629347E-3</v>
      </c>
      <c r="E660" s="205">
        <f t="shared" ref="E660" si="3479">(C660-$C$2)/$C$2</f>
        <v>0.30651528699986674</v>
      </c>
      <c r="F660" s="215">
        <v>7606.46</v>
      </c>
      <c r="G660" s="168">
        <f t="shared" ref="G660" si="3480">(F660-F659)/F659</f>
        <v>6.7674079093831916E-3</v>
      </c>
      <c r="H660" s="199">
        <f t="shared" ref="H660" si="3481">(F660-F$2)/F$2</f>
        <v>0.49389398432743492</v>
      </c>
      <c r="I660" s="829">
        <v>371020.96</v>
      </c>
      <c r="J660" s="170">
        <v>300000</v>
      </c>
      <c r="K660" s="170">
        <f t="shared" ref="K660" si="3482">I660-I659-J660+J659</f>
        <v>1766.6900000000023</v>
      </c>
      <c r="L660" s="168">
        <f t="shared" ref="L660" si="3483">K660/I659</f>
        <v>4.7844808944254111E-3</v>
      </c>
      <c r="M660" s="178">
        <f t="shared" ref="M660" si="3484">I660-J660</f>
        <v>71020.960000000021</v>
      </c>
      <c r="N660" s="180">
        <f t="shared" ref="N660" si="3485">M660/J660</f>
        <v>0.23673653333333342</v>
      </c>
      <c r="O660" s="179">
        <f t="shared" ref="O660" si="3486">N660/(A660/365.25)</f>
        <v>8.460667201565561E-2</v>
      </c>
      <c r="P660" s="178" t="b">
        <f t="shared" ref="P660" si="3487">L660&gt;D660</f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472"/>
        <v>37627.550000000047</v>
      </c>
      <c r="T660" s="170">
        <v>-33454</v>
      </c>
      <c r="U660" s="170">
        <f t="shared" ref="U660" si="3488">M660-T660</f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ref="X660" si="3489">E660/(A660/365.25)/V660</f>
        <v>0.7714899047863113</v>
      </c>
      <c r="Y660" s="171">
        <f t="shared" ref="Y660" si="3490">O660/W660</f>
        <v>0.30957927780322791</v>
      </c>
      <c r="Z660" s="787">
        <f t="shared" ref="Z660" si="3491">-(E660-N660)</f>
        <v>-6.9778753666533327E-2</v>
      </c>
    </row>
    <row r="661" spans="1:26" ht="20.100000000000001" customHeight="1" x14ac:dyDescent="0.25">
      <c r="A661" s="160">
        <f t="shared" ref="A661" si="3492">B661-$B$2</f>
        <v>1023</v>
      </c>
      <c r="B661" s="169">
        <v>43256</v>
      </c>
      <c r="C661" s="211">
        <v>2748.8</v>
      </c>
      <c r="D661" s="168">
        <f>(C661-C660)/C660</f>
        <v>7.0261788872436309E-4</v>
      </c>
      <c r="E661" s="205">
        <f t="shared" ref="E661" si="3493">(C661-$C$2)/$C$2</f>
        <v>0.30743326801240467</v>
      </c>
      <c r="F661" s="215">
        <v>7637.86</v>
      </c>
      <c r="G661" s="168">
        <f t="shared" ref="G661" si="3494">(F661-F660)/F660</f>
        <v>4.1280700877937481E-3</v>
      </c>
      <c r="H661" s="199">
        <f t="shared" ref="H661" si="3495">(F661-F$2)/F$2</f>
        <v>0.50006088339847199</v>
      </c>
      <c r="I661" s="829">
        <v>370163.04</v>
      </c>
      <c r="J661" s="170">
        <v>300000</v>
      </c>
      <c r="K661" s="170">
        <f t="shared" ref="K661" si="3496">I661-I660-J661+J660</f>
        <v>-857.92000000004191</v>
      </c>
      <c r="L661" s="168">
        <f t="shared" ref="L661" si="3497">K661/I660</f>
        <v>-2.3123221933338805E-3</v>
      </c>
      <c r="M661" s="178">
        <f t="shared" ref="M661" si="3498">I661-J661</f>
        <v>70163.039999999979</v>
      </c>
      <c r="N661" s="180">
        <f t="shared" ref="N661" si="3499">M661/J661</f>
        <v>0.23387679999999994</v>
      </c>
      <c r="O661" s="179">
        <f t="shared" ref="O661" si="3500">N661/(A661/365.25)</f>
        <v>8.3502933724340159E-2</v>
      </c>
      <c r="P661" s="178" t="b">
        <f t="shared" ref="P661" si="3501">L661&gt;D661</f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ref="S661" si="3502">I661-R661</f>
        <v>40547.099999999977</v>
      </c>
      <c r="T661" s="170">
        <v>-33418</v>
      </c>
      <c r="U661" s="170">
        <f t="shared" ref="U661" si="3503">M661-T661</f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ref="X661" si="3504">E661/(A661/365.25)/V661</f>
        <v>0.77363164003842477</v>
      </c>
      <c r="Y661" s="171">
        <f t="shared" ref="Y661" si="3505">O661/W661</f>
        <v>0.30576652642177288</v>
      </c>
      <c r="Z661" s="787">
        <f t="shared" ref="Z661" si="3506">-(E661-N661)</f>
        <v>-7.355646801240473E-2</v>
      </c>
    </row>
    <row r="662" spans="1:26" ht="20.100000000000001" customHeight="1" x14ac:dyDescent="0.25">
      <c r="A662" s="160">
        <f t="shared" ref="A662" si="3507">B662-$B$2</f>
        <v>1024</v>
      </c>
      <c r="B662" s="169">
        <v>43257</v>
      </c>
      <c r="C662" s="211">
        <v>2772.35</v>
      </c>
      <c r="D662" s="168">
        <f>(C662-C661)/C661</f>
        <v>8.5673748544818559E-3</v>
      </c>
      <c r="E662" s="205">
        <f t="shared" ref="E662" si="3508">(C662-$C$2)/$C$2</f>
        <v>0.31863453891668719</v>
      </c>
      <c r="F662" s="215">
        <v>7689.24</v>
      </c>
      <c r="G662" s="168">
        <f t="shared" ref="G662" si="3509">(F662-F661)/F661</f>
        <v>6.7270151586962985E-3</v>
      </c>
      <c r="H662" s="199">
        <f t="shared" ref="H662" si="3510">(F662-F$2)/F$2</f>
        <v>0.51015181570006085</v>
      </c>
      <c r="I662" s="829">
        <v>374822.41</v>
      </c>
      <c r="J662" s="170">
        <v>300000</v>
      </c>
      <c r="K662" s="170">
        <f t="shared" ref="K662" si="3511">I662-I661-J662+J661</f>
        <v>4659.3699999999953</v>
      </c>
      <c r="L662" s="168">
        <f t="shared" ref="L662" si="3512">K662/I661</f>
        <v>1.2587345295197477E-2</v>
      </c>
      <c r="M662" s="178">
        <f t="shared" ref="M662" si="3513">I662-J662</f>
        <v>74822.409999999974</v>
      </c>
      <c r="N662" s="180">
        <f t="shared" ref="N662" si="3514">M662/J662</f>
        <v>0.24940803333333325</v>
      </c>
      <c r="O662" s="179">
        <f t="shared" ref="O662" si="3515">N662/(A662/365.25)</f>
        <v>8.8961215014648404E-2</v>
      </c>
      <c r="P662" s="178" t="b">
        <f t="shared" ref="P662" si="3516">L662&gt;D662</f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ref="S662" si="3517">I662-R662</f>
        <v>48953.02999999997</v>
      </c>
      <c r="T662" s="170">
        <v>-33319</v>
      </c>
      <c r="U662" s="170">
        <f t="shared" ref="U662:U664" si="3518">M662-T662</f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ref="X662" si="3519">E662/(A662/365.25)/V662</f>
        <v>0.80114256841576503</v>
      </c>
      <c r="Y662" s="171">
        <f t="shared" ref="Y662" si="3520">O662/W662</f>
        <v>0.32588032498540725</v>
      </c>
      <c r="Z662" s="787">
        <f t="shared" ref="Z662" si="3521">-(E662-N662)</f>
        <v>-6.9226505583353942E-2</v>
      </c>
    </row>
    <row r="663" spans="1:26" ht="20.100000000000001" customHeight="1" x14ac:dyDescent="0.25">
      <c r="A663" s="160">
        <f t="shared" ref="A663" si="3522">B663-$B$2</f>
        <v>1025</v>
      </c>
      <c r="B663" s="169">
        <v>43258</v>
      </c>
      <c r="C663" s="211">
        <v>2770.37</v>
      </c>
      <c r="D663" s="168">
        <f>(C663-C662)/C662</f>
        <v>-7.1419553808141768E-4</v>
      </c>
      <c r="E663" s="205">
        <f t="shared" ref="E663" si="3523">(C663-$C$2)/$C$2</f>
        <v>0.31769277601263285</v>
      </c>
      <c r="F663" s="215">
        <v>7635.07</v>
      </c>
      <c r="G663" s="168">
        <f t="shared" ref="G663" si="3524">(F663-F662)/F662</f>
        <v>-7.0449095099125629E-3</v>
      </c>
      <c r="H663" s="199">
        <f t="shared" ref="H663" si="3525">(F663-F$2)/F$2</f>
        <v>0.49951293281222381</v>
      </c>
      <c r="I663" s="829">
        <v>377198.67</v>
      </c>
      <c r="J663" s="170">
        <v>300000</v>
      </c>
      <c r="K663" s="170">
        <f t="shared" ref="K663" si="3526">I663-I662-J663+J662</f>
        <v>2376.2600000000093</v>
      </c>
      <c r="L663" s="168">
        <f t="shared" ref="L663" si="3527">K663/I662</f>
        <v>6.3396956441318687E-3</v>
      </c>
      <c r="M663" s="178">
        <f t="shared" ref="M663" si="3528">I663-J663</f>
        <v>77198.669999999984</v>
      </c>
      <c r="N663" s="180">
        <f t="shared" ref="N663" si="3529">M663/J663</f>
        <v>0.25732889999999997</v>
      </c>
      <c r="O663" s="179">
        <f t="shared" ref="O663" si="3530">N663/(A663/365.25)</f>
        <v>9.1696956804878035E-2</v>
      </c>
      <c r="P663" s="178" t="b">
        <f t="shared" ref="P663" si="3531">L663&gt;D663</f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ref="S663" si="3532">I663-R663</f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ref="X663" si="3533">E663/(A663/365.25)/V663</f>
        <v>0.79859020450645668</v>
      </c>
      <c r="Y663" s="171">
        <f t="shared" ref="Y663" si="3534">O663/W663</f>
        <v>0.3361281722895389</v>
      </c>
      <c r="Z663" s="787">
        <f t="shared" ref="Z663" si="3535">-(E663-N663)</f>
        <v>-6.0363876012632878E-2</v>
      </c>
    </row>
    <row r="664" spans="1:26" ht="20.100000000000001" customHeight="1" x14ac:dyDescent="0.25">
      <c r="A664" s="160">
        <f t="shared" ref="A664" si="3536">B664-$B$2</f>
        <v>1026</v>
      </c>
      <c r="B664" s="169">
        <v>43259</v>
      </c>
      <c r="C664" s="211">
        <v>2779.03</v>
      </c>
      <c r="D664" s="168">
        <f>(C664-C663)/C663</f>
        <v>3.1259362467830325E-3</v>
      </c>
      <c r="E664" s="205">
        <f t="shared" ref="E664" si="3537">(C664-$C$2)/$C$2</f>
        <v>0.32181179962329493</v>
      </c>
      <c r="F664" s="215">
        <v>7645.51</v>
      </c>
      <c r="G664" s="168">
        <f t="shared" ref="G664" si="3538">(F664-F663)/F663</f>
        <v>1.3673744968940049E-3</v>
      </c>
      <c r="H664" s="199">
        <f t="shared" ref="H664" si="3539">(F664-F$2)/F$2</f>
        <v>0.50156332855431396</v>
      </c>
      <c r="I664" s="829">
        <v>379330.1</v>
      </c>
      <c r="J664" s="170">
        <v>300000</v>
      </c>
      <c r="K664" s="170">
        <f t="shared" ref="K664" si="3540">I664-I663-J664+J663</f>
        <v>2131.429999999993</v>
      </c>
      <c r="L664" s="168">
        <f t="shared" ref="L664" si="3541">K664/I663</f>
        <v>5.6506827025662445E-3</v>
      </c>
      <c r="M664" s="178">
        <f t="shared" ref="M664" si="3542">I664-J664</f>
        <v>79330.099999999977</v>
      </c>
      <c r="N664" s="180">
        <f t="shared" ref="N664" si="3543">M664/J664</f>
        <v>0.26443366666666657</v>
      </c>
      <c r="O664" s="179">
        <f t="shared" ref="O664" si="3544">N664/(A664/365.25)</f>
        <v>9.41368389376218E-2</v>
      </c>
      <c r="P664" s="178" t="b">
        <f t="shared" ref="P664" si="3545">L664&gt;D664</f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ref="S664" si="3546">I664-R664</f>
        <v>72014.859999999986</v>
      </c>
      <c r="T664" s="170">
        <v>-33130</v>
      </c>
      <c r="U664" s="170">
        <f t="shared" si="3518"/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ref="X664" si="3547">E664/(A664/365.25)/V664</f>
        <v>0.80871320264291569</v>
      </c>
      <c r="Y664" s="171">
        <f>O664/W664</f>
        <v>0.3453107026752707</v>
      </c>
      <c r="Z664" s="787">
        <f t="shared" ref="Z664" si="3548">-(E664-N664)</f>
        <v>-5.7378132956628358E-2</v>
      </c>
    </row>
    <row r="665" spans="1:26" ht="20.100000000000001" customHeight="1" x14ac:dyDescent="0.25">
      <c r="A665" s="160">
        <f t="shared" ref="A665" si="3549">B665-$B$2</f>
        <v>1029</v>
      </c>
      <c r="B665" s="169">
        <v>43262</v>
      </c>
      <c r="C665" s="211">
        <v>2782</v>
      </c>
      <c r="D665" s="168">
        <f>(C665-C664)/C664</f>
        <v>1.0687182218255291E-3</v>
      </c>
      <c r="E665" s="205">
        <f t="shared" ref="E665" si="3550">(C665-$C$2)/$C$2</f>
        <v>0.32322444397937633</v>
      </c>
      <c r="F665" s="215">
        <v>7659.92</v>
      </c>
      <c r="G665" s="168">
        <f t="shared" ref="G665" si="3551">(F665-F664)/F664</f>
        <v>1.8847663530621049E-3</v>
      </c>
      <c r="H665" s="199">
        <f t="shared" ref="H665" si="3552">(F665-F$2)/F$2</f>
        <v>0.5043934245929651</v>
      </c>
      <c r="I665" s="829">
        <v>382027.21</v>
      </c>
      <c r="J665" s="170">
        <v>300000</v>
      </c>
      <c r="K665" s="170">
        <f t="shared" ref="K665" si="3553">I665-I664-J665+J664</f>
        <v>2697.1100000000442</v>
      </c>
      <c r="L665" s="168">
        <f t="shared" ref="L665" si="3554">K665/I664</f>
        <v>7.1101924155242214E-3</v>
      </c>
      <c r="M665" s="178">
        <f t="shared" ref="M665" si="3555">I665-J665</f>
        <v>82027.210000000021</v>
      </c>
      <c r="N665" s="180">
        <f t="shared" ref="N665" si="3556">M665/J665</f>
        <v>0.27342403333333343</v>
      </c>
      <c r="O665" s="179">
        <f t="shared" ref="O665" si="3557">N665/(A665/365.25)</f>
        <v>9.7053574514091398E-2</v>
      </c>
      <c r="P665" s="178" t="b">
        <f t="shared" ref="P665" si="3558">L665&gt;D665</f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ref="S665" si="3559">I665-R665</f>
        <v>81541.25</v>
      </c>
      <c r="T665" s="170">
        <v>-32866</v>
      </c>
      <c r="U665" s="170">
        <f t="shared" ref="U665" si="3560">M665-T665</f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ref="X665" si="3561">E665/(A665/365.25)/V665</f>
        <v>0.81050462534007905</v>
      </c>
      <c r="Y665" s="171">
        <f>O665/W665</f>
        <v>0.35624048064714403</v>
      </c>
      <c r="Z665" s="787">
        <f t="shared" ref="Z665" si="3562">-(E665-N665)</f>
        <v>-4.9800410646042903E-2</v>
      </c>
    </row>
  </sheetData>
  <conditionalFormatting sqref="L666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65">
    <cfRule type="colorScale" priority="85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65">
    <cfRule type="colorScale" priority="8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65">
    <cfRule type="colorScale" priority="863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303.29000000000002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303.29000000000002</v>
      </c>
      <c r="R4" s="490">
        <v>-3.3E-3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50" t="s">
        <v>78</v>
      </c>
      <c r="P42" s="850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333.61900000000003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330.58610000000004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327.55320000000006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324.52030000000002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321.48740000000004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318.45450000000005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315.42160000000001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312.38870000000003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309.35580000000004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306.3229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303.29000000000002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300.25710000000004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297.2242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294.19130000000001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291.15840000000003</v>
      </c>
      <c r="U57" s="470"/>
    </row>
    <row r="58" spans="1:21" x14ac:dyDescent="0.25">
      <c r="O58" s="81">
        <v>0.95</v>
      </c>
      <c r="P58" s="81">
        <f t="shared" si="3"/>
        <v>288.12549999999999</v>
      </c>
      <c r="U58" s="470"/>
    </row>
    <row r="59" spans="1:21" x14ac:dyDescent="0.25">
      <c r="O59" s="81">
        <v>0.94</v>
      </c>
      <c r="P59" s="81">
        <f t="shared" si="3"/>
        <v>285.0926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282.05970000000002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279.02680000000004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275.99390000000005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272.96100000000001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495" priority="58">
      <formula>F19&gt;0</formula>
    </cfRule>
    <cfRule type="expression" dxfId="249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93" priority="47">
      <formula>H25&gt;0</formula>
    </cfRule>
    <cfRule type="expression" dxfId="2492" priority="48">
      <formula>H25&lt;0</formula>
    </cfRule>
  </conditionalFormatting>
  <conditionalFormatting sqref="M39">
    <cfRule type="expression" dxfId="2491" priority="45">
      <formula>M39&gt;0</formula>
    </cfRule>
    <cfRule type="expression" dxfId="2490" priority="46">
      <formula>M39&lt;0</formula>
    </cfRule>
  </conditionalFormatting>
  <conditionalFormatting sqref="F61:F67">
    <cfRule type="expression" dxfId="2489" priority="43">
      <formula>F61&gt;0</formula>
    </cfRule>
    <cfRule type="expression" dxfId="2488" priority="44">
      <formula>F61&lt;0</formula>
    </cfRule>
  </conditionalFormatting>
  <conditionalFormatting sqref="H61:H67">
    <cfRule type="expression" dxfId="2487" priority="41">
      <formula>H61&gt;0</formula>
    </cfRule>
    <cfRule type="expression" dxfId="2486" priority="42">
      <formula>H61&lt;0</formula>
    </cfRule>
  </conditionalFormatting>
  <conditionalFormatting sqref="F21:F24">
    <cfRule type="expression" dxfId="2485" priority="39">
      <formula>F21&gt;0</formula>
    </cfRule>
    <cfRule type="expression" dxfId="2484" priority="40">
      <formula>F21&lt;0</formula>
    </cfRule>
  </conditionalFormatting>
  <conditionalFormatting sqref="H21:H24">
    <cfRule type="expression" dxfId="2483" priority="37">
      <formula>H21&gt;0</formula>
    </cfRule>
    <cfRule type="expression" dxfId="2482" priority="38">
      <formula>H21&lt;0</formula>
    </cfRule>
  </conditionalFormatting>
  <conditionalFormatting sqref="I25:I28">
    <cfRule type="expression" dxfId="2481" priority="31">
      <formula>I25&gt;0</formula>
    </cfRule>
    <cfRule type="expression" dxfId="2480" priority="32">
      <formula>I25&lt;0</formula>
    </cfRule>
  </conditionalFormatting>
  <conditionalFormatting sqref="I21:I24">
    <cfRule type="expression" dxfId="2479" priority="29">
      <formula>I21&gt;0</formula>
    </cfRule>
    <cfRule type="expression" dxfId="2478" priority="30">
      <formula>I21&lt;0</formula>
    </cfRule>
  </conditionalFormatting>
  <conditionalFormatting sqref="H29">
    <cfRule type="expression" dxfId="2477" priority="27">
      <formula>H29&gt;0</formula>
    </cfRule>
    <cfRule type="expression" dxfId="2476" priority="28">
      <formula>H29&lt;0</formula>
    </cfRule>
  </conditionalFormatting>
  <conditionalFormatting sqref="H30">
    <cfRule type="expression" dxfId="2475" priority="25">
      <formula>H30&gt;0</formula>
    </cfRule>
    <cfRule type="expression" dxfId="2474" priority="26">
      <formula>H30&lt;0</formula>
    </cfRule>
  </conditionalFormatting>
  <conditionalFormatting sqref="H31">
    <cfRule type="expression" dxfId="2473" priority="23">
      <formula>H31&gt;0</formula>
    </cfRule>
    <cfRule type="expression" dxfId="2472" priority="24">
      <formula>H31&lt;0</formula>
    </cfRule>
  </conditionalFormatting>
  <conditionalFormatting sqref="Q7">
    <cfRule type="expression" dxfId="2471" priority="21">
      <formula>Q7&gt;0</formula>
    </cfRule>
    <cfRule type="expression" dxfId="2470" priority="22">
      <formula>Q7&lt;0</formula>
    </cfRule>
  </conditionalFormatting>
  <conditionalFormatting sqref="Q8">
    <cfRule type="expression" dxfId="2469" priority="19">
      <formula>Q8&gt;0</formula>
    </cfRule>
    <cfRule type="expression" dxfId="2468" priority="20">
      <formula>Q8&lt;0</formula>
    </cfRule>
  </conditionalFormatting>
  <conditionalFormatting sqref="F73:F82">
    <cfRule type="expression" dxfId="2467" priority="17">
      <formula>F73&gt;0</formula>
    </cfRule>
    <cfRule type="expression" dxfId="2466" priority="18">
      <formula>F73&lt;0</formula>
    </cfRule>
  </conditionalFormatting>
  <conditionalFormatting sqref="H73:H76">
    <cfRule type="expression" dxfId="2465" priority="15">
      <formula>H73&gt;0</formula>
    </cfRule>
    <cfRule type="expression" dxfId="2464" priority="16">
      <formula>H73&lt;0</formula>
    </cfRule>
  </conditionalFormatting>
  <conditionalFormatting sqref="F69:F72">
    <cfRule type="expression" dxfId="2463" priority="13">
      <formula>F69&gt;0</formula>
    </cfRule>
    <cfRule type="expression" dxfId="2462" priority="14">
      <formula>F69&lt;0</formula>
    </cfRule>
  </conditionalFormatting>
  <conditionalFormatting sqref="H69:H72">
    <cfRule type="expression" dxfId="2461" priority="11">
      <formula>H69&gt;0</formula>
    </cfRule>
    <cfRule type="expression" dxfId="2460" priority="12">
      <formula>H69&lt;0</formula>
    </cfRule>
  </conditionalFormatting>
  <conditionalFormatting sqref="I73:I76">
    <cfRule type="expression" dxfId="2459" priority="9">
      <formula>I73&gt;0</formula>
    </cfRule>
    <cfRule type="expression" dxfId="2458" priority="10">
      <formula>I73&lt;0</formula>
    </cfRule>
  </conditionalFormatting>
  <conditionalFormatting sqref="I69:I72">
    <cfRule type="expression" dxfId="2457" priority="7">
      <formula>I69&gt;0</formula>
    </cfRule>
    <cfRule type="expression" dxfId="2456" priority="8">
      <formula>I69&lt;0</formula>
    </cfRule>
  </conditionalFormatting>
  <conditionalFormatting sqref="H77">
    <cfRule type="expression" dxfId="2455" priority="5">
      <formula>H77&gt;0</formula>
    </cfRule>
    <cfRule type="expression" dxfId="2454" priority="6">
      <formula>H77&lt;0</formula>
    </cfRule>
  </conditionalFormatting>
  <conditionalFormatting sqref="H78">
    <cfRule type="expression" dxfId="2453" priority="3">
      <formula>H78&gt;0</formula>
    </cfRule>
    <cfRule type="expression" dxfId="2452" priority="4">
      <formula>H78&lt;0</formula>
    </cfRule>
  </conditionalFormatting>
  <conditionalFormatting sqref="H79">
    <cfRule type="expression" dxfId="2451" priority="1">
      <formula>H79&gt;0</formula>
    </cfRule>
    <cfRule type="expression" dxfId="245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41.36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41.36</v>
      </c>
      <c r="R4" s="490">
        <v>2.3E-2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50" t="s">
        <v>78</v>
      </c>
      <c r="P42" s="85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45.496000000000002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45.0824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44.668800000000005</v>
      </c>
      <c r="Q45" s="2"/>
      <c r="T45" s="106" t="s">
        <v>99</v>
      </c>
      <c r="U45" s="352" t="s">
        <v>559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44.255200000000002</v>
      </c>
      <c r="Q46" s="2"/>
      <c r="T46" s="106" t="s">
        <v>100</v>
      </c>
      <c r="U46" s="352" t="s">
        <v>560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43.8416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43.428000000000004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43.014400000000002</v>
      </c>
      <c r="Q49" s="2"/>
      <c r="T49" s="106" t="s">
        <v>121</v>
      </c>
      <c r="U49" s="352" t="s">
        <v>422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42.6008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42.187199999999997</v>
      </c>
      <c r="Q51" s="2"/>
      <c r="T51" s="106" t="s">
        <v>104</v>
      </c>
      <c r="U51" s="352" t="s">
        <v>561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41.773600000000002</v>
      </c>
      <c r="Q52" s="2"/>
      <c r="T52" s="106" t="s">
        <v>105</v>
      </c>
      <c r="U52" s="352" t="s">
        <v>412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41.36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40.946399999999997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40.532800000000002</v>
      </c>
      <c r="Q55" s="2"/>
      <c r="T55" s="106" t="s">
        <v>107</v>
      </c>
      <c r="U55" s="352" t="s">
        <v>562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40.119199999999999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39.705599999999997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39.291999999999994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38.878399999999999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38.464800000000004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38.051200000000001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37.637599999999999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37.224000000000004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49" priority="29">
      <formula>N19&gt;0</formula>
    </cfRule>
    <cfRule type="expression" dxfId="244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47" priority="23">
      <formula>F22&gt;0</formula>
    </cfRule>
    <cfRule type="expression" dxfId="2446" priority="24">
      <formula>F22&lt;0</formula>
    </cfRule>
  </conditionalFormatting>
  <conditionalFormatting sqref="H22:H31">
    <cfRule type="expression" dxfId="2445" priority="21">
      <formula>H22&gt;0</formula>
    </cfRule>
    <cfRule type="expression" dxfId="2444" priority="22">
      <formula>H22&lt;0</formula>
    </cfRule>
  </conditionalFormatting>
  <conditionalFormatting sqref="I21:J31">
    <cfRule type="expression" dxfId="2443" priority="19">
      <formula>I21&gt;0</formula>
    </cfRule>
    <cfRule type="expression" dxfId="2442" priority="20">
      <formula>I21&lt;0</formula>
    </cfRule>
  </conditionalFormatting>
  <conditionalFormatting sqref="Q8">
    <cfRule type="expression" dxfId="2441" priority="11">
      <formula>Q8&gt;0</formula>
    </cfRule>
    <cfRule type="expression" dxfId="2440" priority="12">
      <formula>Q8&lt;0</formula>
    </cfRule>
  </conditionalFormatting>
  <conditionalFormatting sqref="Q7">
    <cfRule type="expression" dxfId="2439" priority="13">
      <formula>Q7&gt;0</formula>
    </cfRule>
    <cfRule type="expression" dxfId="2438" priority="14">
      <formula>Q7&lt;0</formula>
    </cfRule>
  </conditionalFormatting>
  <conditionalFormatting sqref="F56:F66">
    <cfRule type="expression" dxfId="2437" priority="9">
      <formula>F56&gt;0</formula>
    </cfRule>
    <cfRule type="expression" dxfId="2436" priority="10">
      <formula>F56&lt;0</formula>
    </cfRule>
  </conditionalFormatting>
  <conditionalFormatting sqref="H56:H66">
    <cfRule type="expression" dxfId="2435" priority="7">
      <formula>H56&gt;0</formula>
    </cfRule>
    <cfRule type="expression" dxfId="2434" priority="8">
      <formula>H56&lt;0</formula>
    </cfRule>
  </conditionalFormatting>
  <conditionalFormatting sqref="I56:I66">
    <cfRule type="expression" dxfId="2433" priority="5">
      <formula>I56&gt;0</formula>
    </cfRule>
    <cfRule type="expression" dxfId="2432" priority="6">
      <formula>I56&lt;0</formula>
    </cfRule>
  </conditionalFormatting>
  <conditionalFormatting sqref="F21">
    <cfRule type="expression" dxfId="2431" priority="3">
      <formula>F21&gt;0</formula>
    </cfRule>
    <cfRule type="expression" dxfId="2430" priority="4">
      <formula>F21&lt;0</formula>
    </cfRule>
  </conditionalFormatting>
  <conditionalFormatting sqref="H21">
    <cfRule type="expression" dxfId="2429" priority="1">
      <formula>H21&gt;0</formula>
    </cfRule>
    <cfRule type="expression" dxfId="242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0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100</v>
      </c>
      <c r="T2" s="1">
        <v>42568</v>
      </c>
      <c r="U2" t="s">
        <v>240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49.200899999999962</v>
      </c>
      <c r="T3" s="1">
        <v>43112</v>
      </c>
      <c r="U3" t="s">
        <v>883</v>
      </c>
      <c r="X3" s="1"/>
      <c r="AB3" s="225"/>
      <c r="AE3" s="225"/>
    </row>
    <row r="4" spans="1:31" x14ac:dyDescent="0.25">
      <c r="B4" s="43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56.529899999999998</v>
      </c>
      <c r="R4" s="222">
        <v>2.0199999999999999E-2</v>
      </c>
      <c r="T4" s="1">
        <v>43114</v>
      </c>
      <c r="U4" t="s">
        <v>882</v>
      </c>
      <c r="AB4" s="225"/>
      <c r="AE4" s="225"/>
    </row>
    <row r="5" spans="1:31" x14ac:dyDescent="0.25">
      <c r="B5" s="43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5652.99</v>
      </c>
      <c r="T5" s="1">
        <v>43117</v>
      </c>
      <c r="U5" t="s">
        <v>894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4920.0899999999965</v>
      </c>
      <c r="AB6" s="225"/>
      <c r="AE6" s="225"/>
    </row>
    <row r="7" spans="1:31" x14ac:dyDescent="0.25">
      <c r="A7" t="s">
        <v>783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1890.7699999999986</v>
      </c>
      <c r="R7">
        <v>100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732.90000000000327</v>
      </c>
      <c r="T8" s="772">
        <v>43173</v>
      </c>
      <c r="U8" t="s">
        <v>958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209</v>
      </c>
      <c r="Q9" s="222">
        <f>IF(Q2=0, 0, Q8/Q6)</f>
        <v>0.14896068974348106</v>
      </c>
      <c r="T9" s="151"/>
      <c r="U9" t="s">
        <v>983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208</v>
      </c>
      <c r="P10" s="33"/>
      <c r="Q10" s="2">
        <f>M177</f>
        <v>1157.8699999999953</v>
      </c>
      <c r="U10" t="s">
        <v>981</v>
      </c>
    </row>
    <row r="11" spans="1:31" x14ac:dyDescent="0.25">
      <c r="B11" s="434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6"/>
      <c r="I11" s="4"/>
      <c r="J11" s="4"/>
      <c r="K11" s="3"/>
      <c r="L11" s="4"/>
      <c r="M11" s="4"/>
      <c r="O11" s="11" t="s">
        <v>176</v>
      </c>
      <c r="P11" s="33"/>
      <c r="Q11" s="134">
        <f>R11*4/Q4</f>
        <v>2.6180835274783789E-2</v>
      </c>
      <c r="R11" s="33">
        <f>1.48/4</f>
        <v>0.37</v>
      </c>
      <c r="U11" t="s">
        <v>982</v>
      </c>
    </row>
    <row r="12" spans="1:31" x14ac:dyDescent="0.25">
      <c r="B12" s="434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6"/>
      <c r="I12" s="4"/>
      <c r="J12" s="4"/>
      <c r="K12" s="3"/>
      <c r="L12" s="4"/>
      <c r="M12" s="4"/>
      <c r="O12" s="11" t="s">
        <v>948</v>
      </c>
      <c r="Q12" s="1"/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975</v>
      </c>
      <c r="Q13">
        <f>Q4/4</f>
        <v>14.132474999999999</v>
      </c>
      <c r="T13" s="1">
        <v>43212</v>
      </c>
      <c r="U13" t="s">
        <v>1026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1101</v>
      </c>
      <c r="V15" s="412"/>
      <c r="W15" s="765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6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7"/>
      <c r="P17" s="4"/>
      <c r="Q17" s="4"/>
      <c r="R17" s="231"/>
      <c r="S17" s="4"/>
      <c r="T17" s="117">
        <v>43257</v>
      </c>
      <c r="U17" s="17" t="s">
        <v>1125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1129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550</v>
      </c>
      <c r="I22" s="14"/>
      <c r="J22" s="14"/>
      <c r="K22" s="14">
        <f>SUM(K2:K14)</f>
        <v>28988.410000000003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450</v>
      </c>
      <c r="D23" s="343"/>
      <c r="E23" s="343"/>
      <c r="F23" s="344">
        <f>SumByColor($A$23,F2:F21)</f>
        <v>22746</v>
      </c>
      <c r="G23" s="343"/>
      <c r="H23" s="343">
        <f>SumByColor($A$23,H2:H21)</f>
        <v>550</v>
      </c>
      <c r="I23" s="343"/>
      <c r="J23" s="343"/>
      <c r="K23" s="344">
        <f>SumByColor($A$23,K2:K21)</f>
        <v>28989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975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754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756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768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62.18289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61.617591000000004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61.052292000000001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60.486992999999998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59.921694000000002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59.356394999999999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58.791096000000003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58.225797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57.660497999999997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57.095199000000001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56.529899999999998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55.964600999999995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55.399301999999999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54.834002999999996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54.268703999999993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53.703404999999997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53.138105999999993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52.572806999999997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:F61" si="30">C58*(E58-D58)</f>
        <v>-3143.4999999999995</v>
      </c>
      <c r="G58" s="39">
        <f t="shared" ref="G58:G61" si="31">D58*C58</f>
        <v>13188.5</v>
      </c>
      <c r="H58" s="222">
        <f t="shared" ref="H58:H61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52.007508000000001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30"/>
        <v>-2425.0000000000009</v>
      </c>
      <c r="G59" s="39">
        <f t="shared" si="31"/>
        <v>13187.5</v>
      </c>
      <c r="H59" s="222">
        <f t="shared" si="32"/>
        <v>-0.18388625592417068</v>
      </c>
      <c r="I59" s="39"/>
      <c r="J59" s="39">
        <v>-1268</v>
      </c>
      <c r="K59" s="39"/>
      <c r="O59" s="81">
        <v>0.91</v>
      </c>
      <c r="P59" s="81">
        <f t="shared" si="20"/>
        <v>51.442208999999998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30"/>
        <v>-2443.5</v>
      </c>
      <c r="G60" s="39">
        <f t="shared" si="31"/>
        <v>13096</v>
      </c>
      <c r="H60" s="222">
        <f t="shared" si="32"/>
        <v>-0.18658368967623704</v>
      </c>
      <c r="I60" s="10"/>
      <c r="J60" s="39">
        <v>-1286</v>
      </c>
      <c r="K60" s="39"/>
      <c r="O60" s="81">
        <v>0.9</v>
      </c>
      <c r="P60" s="81">
        <f t="shared" si="20"/>
        <v>50.876910000000002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30"/>
        <v>7.9599999999999227</v>
      </c>
      <c r="G61" s="39">
        <f t="shared" si="31"/>
        <v>10446.02</v>
      </c>
      <c r="H61" s="222">
        <f t="shared" si="32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ref="F62" si="33">C62*(E62-D62)</f>
        <v>620.99999999999932</v>
      </c>
      <c r="G62" s="39">
        <f t="shared" ref="G62" si="34">D62*C62</f>
        <v>4920</v>
      </c>
      <c r="H62" s="222">
        <f t="shared" ref="H62" si="35">(E62-D62)/D62</f>
        <v>0.12621951219512181</v>
      </c>
      <c r="I62" s="10"/>
      <c r="J62" s="39">
        <v>1779</v>
      </c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6">C75*(E75-D75)</f>
        <v>15.999999999999943</v>
      </c>
      <c r="G75" s="363">
        <f t="shared" ref="G75:G83" si="37">D75*C75</f>
        <v>1924</v>
      </c>
      <c r="H75" s="364">
        <f t="shared" ref="H75:H83" si="38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6"/>
        <v>50.600000000000023</v>
      </c>
      <c r="G76" s="363">
        <f t="shared" si="37"/>
        <v>1924</v>
      </c>
      <c r="H76" s="364">
        <f t="shared" si="38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6"/>
        <v>-176.20199999999988</v>
      </c>
      <c r="G77" s="363">
        <f t="shared" si="37"/>
        <v>4063.752</v>
      </c>
      <c r="H77" s="364">
        <f t="shared" si="38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6"/>
        <v>-51.239999999999952</v>
      </c>
      <c r="G78" s="363">
        <f t="shared" si="37"/>
        <v>2283.9899999999998</v>
      </c>
      <c r="H78" s="364">
        <f t="shared" si="38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6"/>
        <v>-146.2399999999999</v>
      </c>
      <c r="G79" s="363">
        <f t="shared" si="37"/>
        <v>2283.9899999999998</v>
      </c>
      <c r="H79" s="364">
        <f t="shared" si="38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6"/>
        <v>-159.23999999999978</v>
      </c>
      <c r="G80" s="363">
        <f t="shared" si="37"/>
        <v>4352.74</v>
      </c>
      <c r="H80" s="364">
        <f t="shared" si="38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6"/>
        <v>-37.790000000000035</v>
      </c>
      <c r="G81" s="363">
        <f t="shared" si="37"/>
        <v>2188.04</v>
      </c>
      <c r="H81" s="364">
        <f t="shared" si="38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6"/>
        <v>-137.54000000000025</v>
      </c>
      <c r="G82" s="363">
        <f t="shared" si="37"/>
        <v>2188.04</v>
      </c>
      <c r="H82" s="364">
        <f t="shared" si="38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6"/>
        <v>-167.54249999999934</v>
      </c>
      <c r="G83" s="363">
        <f t="shared" si="37"/>
        <v>6112.0424999999996</v>
      </c>
      <c r="H83" s="364">
        <f t="shared" si="38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39">C84*(E84-D84)</f>
        <v>-58.042499999999819</v>
      </c>
      <c r="G84" s="363">
        <f t="shared" ref="G84:G96" si="40">D84*C84</f>
        <v>6112.0424999999996</v>
      </c>
      <c r="H84" s="364">
        <f t="shared" ref="H84:H96" si="41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39"/>
        <v>195.77249999999998</v>
      </c>
      <c r="G85" s="363">
        <f t="shared" si="40"/>
        <v>4432.4775</v>
      </c>
      <c r="H85" s="364">
        <f t="shared" si="41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39"/>
        <v>38.472500000000025</v>
      </c>
      <c r="G86" s="363">
        <f t="shared" si="40"/>
        <v>4432.4775</v>
      </c>
      <c r="H86" s="364">
        <f t="shared" si="41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39"/>
        <v>466.37249999999932</v>
      </c>
      <c r="G87" s="363">
        <f t="shared" si="40"/>
        <v>4432.4775</v>
      </c>
      <c r="H87" s="364">
        <f t="shared" si="41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39"/>
        <v>536.22249999999985</v>
      </c>
      <c r="G88" s="363">
        <f t="shared" si="40"/>
        <v>4432.4775</v>
      </c>
      <c r="H88" s="364">
        <f t="shared" si="41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39"/>
        <v>640.51000000000045</v>
      </c>
      <c r="G89" s="363">
        <f t="shared" si="40"/>
        <v>3972.49</v>
      </c>
      <c r="H89" s="364">
        <f t="shared" si="41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39"/>
        <v>547.01000000000022</v>
      </c>
      <c r="G90" s="363">
        <f t="shared" si="40"/>
        <v>3972.49</v>
      </c>
      <c r="H90" s="364">
        <f t="shared" si="41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39"/>
        <v>505.01000000000005</v>
      </c>
      <c r="G91" s="363">
        <f t="shared" si="40"/>
        <v>3972.49</v>
      </c>
      <c r="H91" s="364">
        <f t="shared" si="41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39"/>
        <v>400.50999999999988</v>
      </c>
      <c r="G92" s="363">
        <f t="shared" si="40"/>
        <v>3972.49</v>
      </c>
      <c r="H92" s="364">
        <f t="shared" si="41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39"/>
        <v>504.01000000000022</v>
      </c>
      <c r="G93" s="363">
        <f t="shared" si="40"/>
        <v>3972.49</v>
      </c>
      <c r="H93" s="364">
        <f t="shared" si="41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39"/>
        <v>470.51000000000016</v>
      </c>
      <c r="G94" s="363">
        <f t="shared" si="40"/>
        <v>3972.49</v>
      </c>
      <c r="H94" s="364">
        <f t="shared" si="41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39"/>
        <v>500.50999999999988</v>
      </c>
      <c r="G95" s="363">
        <f t="shared" si="40"/>
        <v>3972.49</v>
      </c>
      <c r="H95" s="364">
        <f t="shared" si="41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39"/>
        <v>413.46899999999977</v>
      </c>
      <c r="G96" s="363">
        <f t="shared" si="40"/>
        <v>2218.1310000000003</v>
      </c>
      <c r="H96" s="364">
        <f t="shared" si="41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42">C100*(E100-D100)</f>
        <v>42.500000000000071</v>
      </c>
      <c r="G100" s="363">
        <f t="shared" ref="G100:G116" si="43">D100*C100</f>
        <v>1973.75</v>
      </c>
      <c r="H100" s="364">
        <f t="shared" ref="H100:H116" si="44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42"/>
        <v>30.750000000000099</v>
      </c>
      <c r="G101" s="363">
        <f t="shared" si="43"/>
        <v>1973.75</v>
      </c>
      <c r="H101" s="364">
        <f t="shared" si="44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42"/>
        <v>75.750000000000028</v>
      </c>
      <c r="G102" s="363">
        <f t="shared" si="43"/>
        <v>1973.75</v>
      </c>
      <c r="H102" s="364">
        <f t="shared" si="44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42"/>
        <v>53.749999999999787</v>
      </c>
      <c r="G103" s="363">
        <f t="shared" si="43"/>
        <v>1973.75</v>
      </c>
      <c r="H103" s="364">
        <f t="shared" si="44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42"/>
        <v>88.250000000000028</v>
      </c>
      <c r="G104" s="363">
        <f t="shared" si="43"/>
        <v>1973.75</v>
      </c>
      <c r="H104" s="364">
        <f t="shared" si="44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42"/>
        <v>70.499999999999829</v>
      </c>
      <c r="G105" s="363">
        <f t="shared" si="43"/>
        <v>1973.75</v>
      </c>
      <c r="H105" s="364">
        <f t="shared" si="44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42"/>
        <v>-51.249999999999929</v>
      </c>
      <c r="G106" s="363">
        <f t="shared" si="43"/>
        <v>1973.75</v>
      </c>
      <c r="H106" s="364">
        <f t="shared" si="44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42"/>
        <v>-29.500000000000171</v>
      </c>
      <c r="G107" s="363">
        <f t="shared" si="43"/>
        <v>1973.75</v>
      </c>
      <c r="H107" s="364">
        <f t="shared" si="44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42"/>
        <v>-85.750000000000171</v>
      </c>
      <c r="G108" s="363">
        <f t="shared" si="43"/>
        <v>1973.75</v>
      </c>
      <c r="H108" s="364">
        <f t="shared" si="44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42"/>
        <v>-42.000000000000171</v>
      </c>
      <c r="G109" s="363">
        <f t="shared" si="43"/>
        <v>1973.75</v>
      </c>
      <c r="H109" s="364">
        <f t="shared" si="44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42"/>
        <v>0.49999999999990052</v>
      </c>
      <c r="G110" s="363">
        <f t="shared" si="43"/>
        <v>1973.75</v>
      </c>
      <c r="H110" s="364">
        <f t="shared" si="44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42"/>
        <v>-4.9500000000001876</v>
      </c>
      <c r="G111" s="363">
        <f t="shared" si="43"/>
        <v>4202</v>
      </c>
      <c r="H111" s="364">
        <f t="shared" si="44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42"/>
        <v>-102.99849999999971</v>
      </c>
      <c r="G112" s="363">
        <f t="shared" si="43"/>
        <v>4202.1484999999993</v>
      </c>
      <c r="H112" s="364">
        <f t="shared" si="44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42"/>
        <v>-37.548499999999834</v>
      </c>
      <c r="G113" s="363">
        <f t="shared" si="43"/>
        <v>4202.1484999999993</v>
      </c>
      <c r="H113" s="364">
        <f t="shared" si="44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42"/>
        <v>77.951499999999854</v>
      </c>
      <c r="G114" s="363">
        <f t="shared" si="43"/>
        <v>4202.1484999999993</v>
      </c>
      <c r="H114" s="364">
        <f t="shared" si="44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42"/>
        <v>214.71000000000032</v>
      </c>
      <c r="G115" s="363">
        <f t="shared" si="43"/>
        <v>2228.19</v>
      </c>
      <c r="H115" s="364">
        <f t="shared" si="44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42"/>
        <v>173.90999999999991</v>
      </c>
      <c r="G116" s="363">
        <f t="shared" si="43"/>
        <v>2228.19</v>
      </c>
      <c r="H116" s="364">
        <f t="shared" si="44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5">C120*(E120-D120)</f>
        <v>86.700000000000017</v>
      </c>
      <c r="G120" s="39">
        <f t="shared" ref="G120:G150" si="46">D120*C120</f>
        <v>2454.3000000000002</v>
      </c>
      <c r="H120" s="222">
        <f t="shared" ref="H120:H150" si="47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5"/>
        <v>-15.500000000000114</v>
      </c>
      <c r="G121" s="39">
        <f t="shared" si="46"/>
        <v>4054.5</v>
      </c>
      <c r="H121" s="222">
        <f t="shared" si="47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5"/>
        <v>25.449999999999875</v>
      </c>
      <c r="G122" s="39">
        <f t="shared" si="46"/>
        <v>1606.55</v>
      </c>
      <c r="H122" s="222">
        <f t="shared" si="47"/>
        <v>1.5841399271731272E-2</v>
      </c>
      <c r="I122" s="10"/>
      <c r="J122" s="10"/>
    </row>
    <row r="123" spans="1:10" x14ac:dyDescent="0.25">
      <c r="A123" t="s">
        <v>343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5"/>
        <v>5.5499999999994998</v>
      </c>
      <c r="G123" s="39">
        <f t="shared" si="46"/>
        <v>4032.9500000000003</v>
      </c>
      <c r="H123" s="222">
        <f t="shared" si="47"/>
        <v>1.3761638502831674E-3</v>
      </c>
      <c r="I123" s="10"/>
      <c r="J123" s="10"/>
    </row>
    <row r="124" spans="1:10" x14ac:dyDescent="0.25">
      <c r="A124" t="s">
        <v>343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5"/>
        <v>116.0499999999999</v>
      </c>
      <c r="G124" s="39">
        <f t="shared" si="46"/>
        <v>4032.9500000000003</v>
      </c>
      <c r="H124" s="222">
        <f t="shared" si="47"/>
        <v>2.8775462130698346E-2</v>
      </c>
      <c r="I124" s="10"/>
      <c r="J124" s="10"/>
    </row>
    <row r="125" spans="1:10" x14ac:dyDescent="0.25">
      <c r="A125" t="s">
        <v>380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5"/>
        <v>-132.6975000000001</v>
      </c>
      <c r="G125" s="39">
        <f t="shared" si="46"/>
        <v>5957.9475000000002</v>
      </c>
      <c r="H125" s="222">
        <f t="shared" si="47"/>
        <v>-2.2272351342471561E-2</v>
      </c>
      <c r="I125" s="10"/>
      <c r="J125" s="10"/>
    </row>
    <row r="126" spans="1:10" x14ac:dyDescent="0.25">
      <c r="A126" t="s">
        <v>339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5"/>
        <v>-433.19999999999936</v>
      </c>
      <c r="G126" s="39">
        <f t="shared" si="46"/>
        <v>7839.2</v>
      </c>
      <c r="H126" s="222">
        <f t="shared" si="47"/>
        <v>-5.5260740891927666E-2</v>
      </c>
      <c r="I126" s="10"/>
      <c r="J126" s="10"/>
    </row>
    <row r="127" spans="1:10" x14ac:dyDescent="0.25">
      <c r="A127" t="s">
        <v>403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5"/>
        <v>-672.44999999999959</v>
      </c>
      <c r="G127" s="39">
        <f t="shared" si="46"/>
        <v>9666.2000000000007</v>
      </c>
      <c r="H127" s="222">
        <f t="shared" si="47"/>
        <v>-6.9567151517659423E-2</v>
      </c>
      <c r="I127" s="10"/>
      <c r="J127" s="10"/>
    </row>
    <row r="128" spans="1:10" x14ac:dyDescent="0.25">
      <c r="A128" t="s">
        <v>444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5"/>
        <v>-464.95</v>
      </c>
      <c r="G128" s="39">
        <f t="shared" si="46"/>
        <v>9666.2000000000007</v>
      </c>
      <c r="H128" s="222">
        <f t="shared" si="47"/>
        <v>-4.8100597959901507E-2</v>
      </c>
      <c r="I128" s="10"/>
      <c r="J128" s="10"/>
    </row>
    <row r="129" spans="1:10" x14ac:dyDescent="0.25">
      <c r="A129" t="s">
        <v>465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5"/>
        <v>-2331.2099999999973</v>
      </c>
      <c r="G129" s="39">
        <f t="shared" si="46"/>
        <v>21408.21</v>
      </c>
      <c r="H129" s="222">
        <f t="shared" si="47"/>
        <v>-0.1088932703855202</v>
      </c>
      <c r="I129" s="10"/>
      <c r="J129" s="39"/>
    </row>
    <row r="130" spans="1:10" x14ac:dyDescent="0.25">
      <c r="A130" t="s">
        <v>465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5"/>
        <v>-1931.1900000000023</v>
      </c>
      <c r="G130" s="39">
        <f t="shared" si="46"/>
        <v>21395.190000000002</v>
      </c>
      <c r="H130" s="222">
        <f t="shared" si="47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5"/>
        <v>-1715.1900000000026</v>
      </c>
      <c r="G131" s="39">
        <f t="shared" si="46"/>
        <v>21395.190000000002</v>
      </c>
      <c r="H131" s="222">
        <f t="shared" si="47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5"/>
        <v>-433.36000000000183</v>
      </c>
      <c r="G132" s="39">
        <f t="shared" si="46"/>
        <v>14437.36</v>
      </c>
      <c r="H132" s="222">
        <f t="shared" si="47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5"/>
        <v>-406.13999999999851</v>
      </c>
      <c r="G133" s="39">
        <f t="shared" si="46"/>
        <v>12622.89</v>
      </c>
      <c r="H133" s="222">
        <f t="shared" si="47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5"/>
        <v>-753.90000000000157</v>
      </c>
      <c r="G134" s="39">
        <f t="shared" si="46"/>
        <v>14319.900000000001</v>
      </c>
      <c r="H134" s="222">
        <f t="shared" si="47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5"/>
        <v>-647.90000000000134</v>
      </c>
      <c r="G135" s="39">
        <f t="shared" si="46"/>
        <v>14319.900000000001</v>
      </c>
      <c r="H135" s="222">
        <f t="shared" si="47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5"/>
        <v>-387.90000000000191</v>
      </c>
      <c r="G136" s="39">
        <f t="shared" si="46"/>
        <v>14319.900000000001</v>
      </c>
      <c r="H136" s="222">
        <f t="shared" si="47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5"/>
        <v>-1317.9999999999977</v>
      </c>
      <c r="G137" s="39">
        <f t="shared" si="46"/>
        <v>14319.999999999998</v>
      </c>
      <c r="H137" s="222">
        <f t="shared" si="47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5"/>
        <v>-1793.9999999999991</v>
      </c>
      <c r="G138" s="39">
        <f t="shared" si="46"/>
        <v>20706</v>
      </c>
      <c r="H138" s="222">
        <f t="shared" si="47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5"/>
        <v>-2171.6799999999994</v>
      </c>
      <c r="G139" s="39">
        <f t="shared" si="46"/>
        <v>23759.68</v>
      </c>
      <c r="H139" s="222">
        <f t="shared" si="47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5"/>
        <v>-5398.6800000000021</v>
      </c>
      <c r="G140" s="39">
        <f t="shared" si="46"/>
        <v>26362.68</v>
      </c>
      <c r="H140" s="222">
        <f t="shared" si="47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5"/>
        <v>-3573.2549999999997</v>
      </c>
      <c r="G141" s="39">
        <f t="shared" si="46"/>
        <v>23512.755000000001</v>
      </c>
      <c r="H141" s="222">
        <f t="shared" si="47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5"/>
        <v>-1277.4999999999982</v>
      </c>
      <c r="G142" s="39">
        <f t="shared" si="46"/>
        <v>17087.5</v>
      </c>
      <c r="H142" s="222">
        <f t="shared" si="47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5"/>
        <v>-2386.8899999999976</v>
      </c>
      <c r="G143" s="39">
        <f t="shared" si="46"/>
        <v>20050.89</v>
      </c>
      <c r="H143" s="222">
        <f t="shared" si="47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5"/>
        <v>-3362.4150000000009</v>
      </c>
      <c r="G144" s="39">
        <f t="shared" si="46"/>
        <v>22839.915000000001</v>
      </c>
      <c r="H144" s="222">
        <f t="shared" si="47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5"/>
        <v>-790.99999999999932</v>
      </c>
      <c r="G145" s="39">
        <f t="shared" si="46"/>
        <v>22729</v>
      </c>
      <c r="H145" s="222">
        <f t="shared" si="47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5"/>
        <v>-712.59999999999798</v>
      </c>
      <c r="G146" s="39">
        <f t="shared" si="46"/>
        <v>22650.6</v>
      </c>
      <c r="H146" s="222">
        <f t="shared" si="47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5"/>
        <v>-124.59999999999809</v>
      </c>
      <c r="G147" s="39">
        <f t="shared" si="46"/>
        <v>22650.6</v>
      </c>
      <c r="H147" s="222">
        <f t="shared" si="47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5"/>
        <v>196.21999999999957</v>
      </c>
      <c r="G148" s="39">
        <f t="shared" si="46"/>
        <v>12843.78</v>
      </c>
      <c r="H148" s="222">
        <f t="shared" si="47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5"/>
        <v>457.99999999999983</v>
      </c>
      <c r="G149" s="39">
        <f t="shared" si="46"/>
        <v>6166</v>
      </c>
      <c r="H149" s="222">
        <f t="shared" si="47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5"/>
        <v>283.05999999999898</v>
      </c>
      <c r="G150" s="39">
        <f t="shared" si="46"/>
        <v>12698.94</v>
      </c>
      <c r="H150" s="222">
        <f t="shared" si="47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214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48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49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48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49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48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49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48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49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48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49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48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49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50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51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50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51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50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51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50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51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50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51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50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51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50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51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50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51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50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51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50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50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50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50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50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50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50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427" priority="64">
      <formula>N23&gt;0</formula>
    </cfRule>
    <cfRule type="expression" dxfId="2426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25" priority="58">
      <formula>F79&gt;0</formula>
    </cfRule>
    <cfRule type="expression" dxfId="2424" priority="59">
      <formula>F79&lt;0</formula>
    </cfRule>
  </conditionalFormatting>
  <conditionalFormatting sqref="H79:H97 H101:H118">
    <cfRule type="expression" dxfId="2423" priority="56">
      <formula>H79&gt;0</formula>
    </cfRule>
    <cfRule type="expression" dxfId="2422" priority="57">
      <formula>H79&lt;0</formula>
    </cfRule>
  </conditionalFormatting>
  <conditionalFormatting sqref="I75:I97 I100:I118">
    <cfRule type="expression" dxfId="2421" priority="54">
      <formula>I75&gt;0</formula>
    </cfRule>
    <cfRule type="expression" dxfId="2420" priority="55">
      <formula>I75&lt;0</formula>
    </cfRule>
  </conditionalFormatting>
  <conditionalFormatting sqref="Q7">
    <cfRule type="expression" dxfId="2419" priority="52">
      <formula>Q7&gt;0</formula>
    </cfRule>
    <cfRule type="expression" dxfId="2418" priority="53">
      <formula>Q7&lt;0</formula>
    </cfRule>
  </conditionalFormatting>
  <conditionalFormatting sqref="Q8">
    <cfRule type="expression" dxfId="2417" priority="50">
      <formula>Q8&gt;0</formula>
    </cfRule>
    <cfRule type="expression" dxfId="2416" priority="51">
      <formula>Q8&lt;0</formula>
    </cfRule>
  </conditionalFormatting>
  <conditionalFormatting sqref="F75:F78">
    <cfRule type="expression" dxfId="2415" priority="48">
      <formula>F75&gt;0</formula>
    </cfRule>
    <cfRule type="expression" dxfId="2414" priority="49">
      <formula>F75&lt;0</formula>
    </cfRule>
  </conditionalFormatting>
  <conditionalFormatting sqref="H75:H78">
    <cfRule type="expression" dxfId="2413" priority="46">
      <formula>H75&gt;0</formula>
    </cfRule>
    <cfRule type="expression" dxfId="2412" priority="47">
      <formula>H75&lt;0</formula>
    </cfRule>
  </conditionalFormatting>
  <conditionalFormatting sqref="F100:F114">
    <cfRule type="expression" dxfId="2411" priority="40">
      <formula>F100&gt;0</formula>
    </cfRule>
    <cfRule type="expression" dxfId="2410" priority="41">
      <formula>F100&lt;0</formula>
    </cfRule>
  </conditionalFormatting>
  <conditionalFormatting sqref="H100:H114">
    <cfRule type="expression" dxfId="2409" priority="38">
      <formula>H100&gt;0</formula>
    </cfRule>
    <cfRule type="expression" dxfId="2408" priority="39">
      <formula>H100&lt;0</formula>
    </cfRule>
  </conditionalFormatting>
  <conditionalFormatting sqref="F29:F62">
    <cfRule type="expression" dxfId="2407" priority="36">
      <formula>F29&gt;0</formula>
    </cfRule>
    <cfRule type="expression" dxfId="2406" priority="37">
      <formula>F29&lt;0</formula>
    </cfRule>
  </conditionalFormatting>
  <conditionalFormatting sqref="H29:H62">
    <cfRule type="expression" dxfId="2405" priority="34">
      <formula>H29&gt;0</formula>
    </cfRule>
    <cfRule type="expression" dxfId="2404" priority="35">
      <formula>H29&lt;0</formula>
    </cfRule>
  </conditionalFormatting>
  <conditionalFormatting sqref="J38:J68">
    <cfRule type="expression" dxfId="2403" priority="32">
      <formula>J38&gt;0</formula>
    </cfRule>
    <cfRule type="expression" dxfId="2402" priority="33">
      <formula>J38&lt;0</formula>
    </cfRule>
  </conditionalFormatting>
  <conditionalFormatting sqref="J43">
    <cfRule type="expression" dxfId="2401" priority="30">
      <formula>J43&gt;0</formula>
    </cfRule>
    <cfRule type="expression" dxfId="2400" priority="31">
      <formula>J43&lt;0</formula>
    </cfRule>
  </conditionalFormatting>
  <conditionalFormatting sqref="Q9">
    <cfRule type="expression" dxfId="2399" priority="24">
      <formula>Q9&gt;0</formula>
    </cfRule>
    <cfRule type="expression" dxfId="2398" priority="25">
      <formula>Q9&lt;0</formula>
    </cfRule>
  </conditionalFormatting>
  <conditionalFormatting sqref="R4">
    <cfRule type="expression" dxfId="2397" priority="26">
      <formula>R4&gt;0</formula>
    </cfRule>
    <cfRule type="expression" dxfId="2396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95" priority="21">
      <formula>F120&gt;0</formula>
    </cfRule>
    <cfRule type="expression" dxfId="2394" priority="22">
      <formula>F120&lt;0</formula>
    </cfRule>
  </conditionalFormatting>
  <conditionalFormatting sqref="H120:H160">
    <cfRule type="expression" dxfId="2393" priority="19">
      <formula>H120&gt;0</formula>
    </cfRule>
    <cfRule type="expression" dxfId="2392" priority="20">
      <formula>H120&lt;0</formula>
    </cfRule>
  </conditionalFormatting>
  <conditionalFormatting sqref="J129:J160">
    <cfRule type="expression" dxfId="2391" priority="17">
      <formula>J129&gt;0</formula>
    </cfRule>
    <cfRule type="expression" dxfId="2390" priority="18">
      <formula>J129&lt;0</formula>
    </cfRule>
  </conditionalFormatting>
  <conditionalFormatting sqref="J134">
    <cfRule type="expression" dxfId="2389" priority="15">
      <formula>J134&gt;0</formula>
    </cfRule>
    <cfRule type="expression" dxfId="2388" priority="16">
      <formula>J134&lt;0</formula>
    </cfRule>
  </conditionalFormatting>
  <conditionalFormatting sqref="J31:J40">
    <cfRule type="expression" dxfId="2387" priority="13">
      <formula>J31&gt;0</formula>
    </cfRule>
    <cfRule type="expression" dxfId="2386" priority="14">
      <formula>J31&lt;0</formula>
    </cfRule>
  </conditionalFormatting>
  <conditionalFormatting sqref="J36:J37">
    <cfRule type="expression" dxfId="2385" priority="11">
      <formula>J36&gt;0</formula>
    </cfRule>
    <cfRule type="expression" dxfId="2384" priority="12">
      <formula>J36&lt;0</formula>
    </cfRule>
  </conditionalFormatting>
  <conditionalFormatting sqref="Q10">
    <cfRule type="expression" dxfId="2383" priority="9">
      <formula>Q10&gt;0</formula>
    </cfRule>
    <cfRule type="expression" dxfId="2382" priority="10">
      <formula>Q10&lt;0</formula>
    </cfRule>
  </conditionalFormatting>
  <conditionalFormatting sqref="K38:K55 K57:K68">
    <cfRule type="expression" dxfId="2381" priority="7">
      <formula>K38&gt;0</formula>
    </cfRule>
    <cfRule type="expression" dxfId="2380" priority="8">
      <formula>K38&lt;0</formula>
    </cfRule>
  </conditionalFormatting>
  <conditionalFormatting sqref="K43">
    <cfRule type="expression" dxfId="2379" priority="5">
      <formula>K43&gt;0</formula>
    </cfRule>
    <cfRule type="expression" dxfId="2378" priority="6">
      <formula>K43&lt;0</formula>
    </cfRule>
  </conditionalFormatting>
  <conditionalFormatting sqref="K31:K40">
    <cfRule type="expression" dxfId="2377" priority="3">
      <formula>K31&gt;0</formula>
    </cfRule>
    <cfRule type="expression" dxfId="2376" priority="4">
      <formula>K31&lt;0</formula>
    </cfRule>
  </conditionalFormatting>
  <conditionalFormatting sqref="K36:K37">
    <cfRule type="expression" dxfId="2375" priority="1">
      <formula>K36&gt;0</formula>
    </cfRule>
    <cfRule type="expression" dxfId="2374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191.7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191.7</v>
      </c>
      <c r="R4" s="490">
        <v>-6.3E-3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250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50" t="s">
        <v>78</v>
      </c>
      <c r="P42" s="850"/>
      <c r="T42" s="106" t="s">
        <v>99</v>
      </c>
      <c r="U42" s="352" t="s">
        <v>563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210.87</v>
      </c>
      <c r="Q43" s="2"/>
      <c r="T43" s="106" t="s">
        <v>100</v>
      </c>
      <c r="U43" s="352" t="s">
        <v>564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208.953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207.036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205.119</v>
      </c>
      <c r="Q46" s="2"/>
      <c r="T46" s="106" t="s">
        <v>121</v>
      </c>
      <c r="U46" s="352" t="s">
        <v>387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203.202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201.285</v>
      </c>
      <c r="Q48" s="2"/>
      <c r="T48" s="106" t="s">
        <v>104</v>
      </c>
      <c r="U48" s="352" t="s">
        <v>565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199.36799999999999</v>
      </c>
      <c r="Q49" s="2"/>
      <c r="T49" s="106" t="s">
        <v>105</v>
      </c>
      <c r="U49" s="352" t="s">
        <v>566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197.45099999999999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195.53399999999999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193.61699999999999</v>
      </c>
      <c r="Q52" s="2"/>
      <c r="T52" s="106" t="s">
        <v>107</v>
      </c>
      <c r="U52" s="352" t="s">
        <v>567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191.7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189.78299999999999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187.86599999999999</v>
      </c>
      <c r="Q55" s="2"/>
      <c r="T55" s="106" t="s">
        <v>108</v>
      </c>
      <c r="U55" s="352" t="s">
        <v>529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185.94899999999998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184.03199999999998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182.11499999999998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180.19799999999998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178.28100000000001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176.364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174.447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172.53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373" priority="35">
      <formula>N19&gt;0</formula>
    </cfRule>
    <cfRule type="expression" dxfId="237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71" priority="21">
      <formula>F25&gt;0</formula>
    </cfRule>
    <cfRule type="expression" dxfId="2370" priority="22">
      <formula>F25&lt;0</formula>
    </cfRule>
  </conditionalFormatting>
  <conditionalFormatting sqref="H25:H47">
    <cfRule type="expression" dxfId="2369" priority="19">
      <formula>H25&gt;0</formula>
    </cfRule>
    <cfRule type="expression" dxfId="2368" priority="20">
      <formula>H25&lt;0</formula>
    </cfRule>
  </conditionalFormatting>
  <conditionalFormatting sqref="I25:I27">
    <cfRule type="expression" dxfId="2367" priority="15">
      <formula>I25&gt;0</formula>
    </cfRule>
    <cfRule type="expression" dxfId="2366" priority="16">
      <formula>I25&lt;0</formula>
    </cfRule>
  </conditionalFormatting>
  <conditionalFormatting sqref="Q7">
    <cfRule type="expression" dxfId="2365" priority="5">
      <formula>Q7&gt;0</formula>
    </cfRule>
    <cfRule type="expression" dxfId="2364" priority="6">
      <formula>Q7&lt;0</formula>
    </cfRule>
  </conditionalFormatting>
  <conditionalFormatting sqref="Q8">
    <cfRule type="expression" dxfId="2363" priority="3">
      <formula>Q8&gt;0</formula>
    </cfRule>
    <cfRule type="expression" dxfId="236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101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101</v>
      </c>
      <c r="R4" s="475">
        <v>6.3E-3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111.10000000000001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110.09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109.08000000000001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108.07000000000001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107.06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106.05000000000001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105.04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104.03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103.02</v>
      </c>
      <c r="Q49" s="2"/>
      <c r="T49" s="91" t="s">
        <v>103</v>
      </c>
      <c r="U49" s="127" t="s">
        <v>512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225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102.01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101</v>
      </c>
      <c r="Q51" s="2"/>
      <c r="T51" s="91" t="s">
        <v>104</v>
      </c>
      <c r="U51" s="127" t="s">
        <v>568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99.99</v>
      </c>
      <c r="Q52" s="2"/>
      <c r="T52" s="91" t="s">
        <v>105</v>
      </c>
      <c r="U52" s="127" t="s">
        <v>470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98.98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97.97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96.96</v>
      </c>
      <c r="T55" s="91" t="s">
        <v>107</v>
      </c>
      <c r="U55" s="127" t="s">
        <v>569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95.949999999999989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94.94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93.93</v>
      </c>
      <c r="T58" s="91" t="s">
        <v>108</v>
      </c>
      <c r="U58" s="127" t="s">
        <v>536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92.92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91.91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90.9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61" priority="9">
      <formula>F36&gt;0</formula>
    </cfRule>
    <cfRule type="expression" dxfId="2360" priority="10">
      <formula>F36&lt;0</formula>
    </cfRule>
  </conditionalFormatting>
  <conditionalFormatting sqref="F25:F35">
    <cfRule type="expression" dxfId="2359" priority="7">
      <formula>F25&gt;0</formula>
    </cfRule>
    <cfRule type="expression" dxfId="2358" priority="8">
      <formula>F25&lt;0</formula>
    </cfRule>
  </conditionalFormatting>
  <conditionalFormatting sqref="H25:H35">
    <cfRule type="expression" dxfId="2357" priority="5">
      <formula>H25&gt;0</formula>
    </cfRule>
    <cfRule type="expression" dxfId="2356" priority="6">
      <formula>H25&lt;0</formula>
    </cfRule>
  </conditionalFormatting>
  <conditionalFormatting sqref="Q7">
    <cfRule type="expression" dxfId="2355" priority="3">
      <formula>Q7&gt;0</formula>
    </cfRule>
    <cfRule type="expression" dxfId="2354" priority="4">
      <formula>Q7&lt;0</formula>
    </cfRule>
  </conditionalFormatting>
  <conditionalFormatting sqref="Q8">
    <cfRule type="expression" dxfId="2353" priority="1">
      <formula>Q8&gt;0</formula>
    </cfRule>
    <cfRule type="expression" dxfId="235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94.9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94.9</v>
      </c>
      <c r="R4" s="495">
        <v>4.8999999999999998E-3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697</v>
      </c>
      <c r="P20" s="7" t="s">
        <v>698</v>
      </c>
      <c r="Q20" s="7" t="s">
        <v>699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700</v>
      </c>
      <c r="P21" s="7">
        <v>1.095</v>
      </c>
      <c r="Q21" s="683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701</v>
      </c>
      <c r="P22" s="7">
        <v>1.0920000000000001</v>
      </c>
      <c r="Q22" s="683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702</v>
      </c>
      <c r="P23" s="7" t="s">
        <v>703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7" t="s">
        <v>685</v>
      </c>
      <c r="P24" s="7" t="s">
        <v>704</v>
      </c>
      <c r="Q24" s="7" t="s">
        <v>704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702</v>
      </c>
      <c r="P25" s="7" t="s">
        <v>705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706</v>
      </c>
      <c r="P26" s="7" t="s">
        <v>698</v>
      </c>
      <c r="Q26" s="7" t="s">
        <v>699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701</v>
      </c>
      <c r="P28" s="7">
        <v>0.92200000000000004</v>
      </c>
      <c r="Q28" s="683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685</v>
      </c>
      <c r="P29" s="7" t="s">
        <v>704</v>
      </c>
      <c r="Q29" s="7" t="s">
        <v>704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707</v>
      </c>
      <c r="P30" s="7" t="s">
        <v>698</v>
      </c>
      <c r="Q30" s="7" t="s">
        <v>699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700</v>
      </c>
      <c r="P32" s="7">
        <v>1.026</v>
      </c>
      <c r="Q32" s="683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104.39000000000001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103.44100000000002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102.49200000000002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101.54300000000001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100.59400000000001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99.64500000000001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98.696000000000012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97.747000000000014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96.798000000000002</v>
      </c>
      <c r="Q49" s="2"/>
      <c r="T49" s="91" t="s">
        <v>121</v>
      </c>
      <c r="U49" s="127" t="s">
        <v>505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95.849000000000004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94.9</v>
      </c>
      <c r="Q51" s="2"/>
      <c r="T51" s="91" t="s">
        <v>104</v>
      </c>
      <c r="U51" s="127" t="s">
        <v>570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93.951000000000008</v>
      </c>
      <c r="Q52" s="2"/>
      <c r="T52" s="91" t="s">
        <v>105</v>
      </c>
      <c r="U52" s="127" t="s">
        <v>310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93.00200000000001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92.052999999999997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91.103999999999999</v>
      </c>
      <c r="T55" s="91" t="s">
        <v>107</v>
      </c>
      <c r="U55" s="127" t="s">
        <v>571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90.155000000000001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89.206000000000003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88.257000000000005</v>
      </c>
      <c r="T58" s="91" t="s">
        <v>108</v>
      </c>
      <c r="U58" s="127" t="s">
        <v>537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87.308000000000007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86.359000000000009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85.410000000000011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266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AD69" s="2"/>
      <c r="AE69" s="134"/>
    </row>
    <row r="70" spans="1:31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51" priority="37">
      <formula>F25&gt;0</formula>
    </cfRule>
    <cfRule type="expression" dxfId="2350" priority="38">
      <formula>F25&lt;0</formula>
    </cfRule>
  </conditionalFormatting>
  <conditionalFormatting sqref="Q7">
    <cfRule type="expression" dxfId="2349" priority="35">
      <formula>Q7&gt;0</formula>
    </cfRule>
    <cfRule type="expression" dxfId="2348" priority="36">
      <formula>Q7&lt;0</formula>
    </cfRule>
  </conditionalFormatting>
  <conditionalFormatting sqref="Q8">
    <cfRule type="expression" dxfId="2347" priority="33">
      <formula>Q8&gt;0</formula>
    </cfRule>
    <cfRule type="expression" dxfId="2346" priority="34">
      <formula>Q8&lt;0</formula>
    </cfRule>
  </conditionalFormatting>
  <conditionalFormatting sqref="F44:F46">
    <cfRule type="expression" dxfId="2345" priority="31">
      <formula>F44&gt;0</formula>
    </cfRule>
    <cfRule type="expression" dxfId="2344" priority="32">
      <formula>F44&lt;0</formula>
    </cfRule>
  </conditionalFormatting>
  <conditionalFormatting sqref="H44:H46">
    <cfRule type="expression" dxfId="2343" priority="29">
      <formula>H44&gt;0</formula>
    </cfRule>
    <cfRule type="expression" dxfId="2342" priority="30">
      <formula>H44&lt;0</formula>
    </cfRule>
  </conditionalFormatting>
  <conditionalFormatting sqref="F89:F110">
    <cfRule type="expression" dxfId="2341" priority="27">
      <formula>F89&gt;0</formula>
    </cfRule>
    <cfRule type="expression" dxfId="2340" priority="28">
      <formula>F89&lt;0</formula>
    </cfRule>
  </conditionalFormatting>
  <conditionalFormatting sqref="H89:H110">
    <cfRule type="expression" dxfId="2339" priority="25">
      <formula>H89&gt;0</formula>
    </cfRule>
    <cfRule type="expression" dxfId="2338" priority="26">
      <formula>H89&lt;0</formula>
    </cfRule>
  </conditionalFormatting>
  <conditionalFormatting sqref="Q10">
    <cfRule type="expression" dxfId="2337" priority="23">
      <formula>Q10&gt;0</formula>
    </cfRule>
    <cfRule type="expression" dxfId="2336" priority="24">
      <formula>Q10&lt;0</formula>
    </cfRule>
  </conditionalFormatting>
  <conditionalFormatting sqref="J25:J38">
    <cfRule type="expression" dxfId="2335" priority="21">
      <formula>J25&gt;0</formula>
    </cfRule>
    <cfRule type="expression" dxfId="2334" priority="22">
      <formula>J25&lt;0</formula>
    </cfRule>
  </conditionalFormatting>
  <conditionalFormatting sqref="K25:K38">
    <cfRule type="expression" dxfId="2333" priority="19">
      <formula>K25&gt;0</formula>
    </cfRule>
    <cfRule type="expression" dxfId="2332" priority="20">
      <formula>K25&lt;0</formula>
    </cfRule>
  </conditionalFormatting>
  <conditionalFormatting sqref="L25:L38">
    <cfRule type="expression" dxfId="2331" priority="17">
      <formula>L25&gt;0</formula>
    </cfRule>
    <cfRule type="expression" dxfId="2330" priority="18">
      <formula>L25&lt;0</formula>
    </cfRule>
  </conditionalFormatting>
  <conditionalFormatting sqref="J40">
    <cfRule type="expression" dxfId="2329" priority="15">
      <formula>J40&gt;0</formula>
    </cfRule>
    <cfRule type="expression" dxfId="2328" priority="16">
      <formula>J40&lt;0</formula>
    </cfRule>
  </conditionalFormatting>
  <conditionalFormatting sqref="L39">
    <cfRule type="expression" dxfId="2327" priority="11">
      <formula>L39&gt;0</formula>
    </cfRule>
    <cfRule type="expression" dxfId="2326" priority="12">
      <formula>L39&lt;0</formula>
    </cfRule>
  </conditionalFormatting>
  <conditionalFormatting sqref="F39">
    <cfRule type="expression" dxfId="2325" priority="9">
      <formula>F39&gt;0</formula>
    </cfRule>
    <cfRule type="expression" dxfId="2324" priority="10">
      <formula>F39&lt;0</formula>
    </cfRule>
  </conditionalFormatting>
  <conditionalFormatting sqref="H39">
    <cfRule type="expression" dxfId="2323" priority="7">
      <formula>H39&gt;0</formula>
    </cfRule>
    <cfRule type="expression" dxfId="2322" priority="8">
      <formula>H39&lt;0</formula>
    </cfRule>
  </conditionalFormatting>
  <conditionalFormatting sqref="J41">
    <cfRule type="expression" dxfId="2321" priority="5">
      <formula>J41&gt;0</formula>
    </cfRule>
    <cfRule type="expression" dxfId="2320" priority="6">
      <formula>J41&lt;0</formula>
    </cfRule>
  </conditionalFormatting>
  <conditionalFormatting sqref="J43">
    <cfRule type="expression" dxfId="2319" priority="3">
      <formula>J43&gt;0</formula>
    </cfRule>
    <cfRule type="expression" dxfId="2318" priority="4">
      <formula>J43&lt;0</formula>
    </cfRule>
  </conditionalFormatting>
  <conditionalFormatting sqref="J44">
    <cfRule type="expression" dxfId="2317" priority="1">
      <formula>J44&gt;0</formula>
    </cfRule>
    <cfRule type="expression" dxfId="2316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34.51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34.51</v>
      </c>
      <c r="R4" s="475">
        <v>8.8000000000000005E-3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50" t="s">
        <v>78</v>
      </c>
      <c r="Q39" s="850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37.960999999999999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37.615900000000003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37.270800000000001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36.925699999999999</v>
      </c>
      <c r="R43" s="81"/>
      <c r="T43" s="85" t="s">
        <v>100</v>
      </c>
      <c r="U43" s="127" t="s">
        <v>525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36.580599999999997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36.235500000000002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35.8904</v>
      </c>
      <c r="R46" s="81"/>
      <c r="T46" s="85" t="s">
        <v>121</v>
      </c>
      <c r="U46" s="223" t="s">
        <v>421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35.545299999999997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35.200199999999995</v>
      </c>
      <c r="R48" s="81"/>
      <c r="T48" s="85" t="s">
        <v>104</v>
      </c>
      <c r="U48" s="127" t="s">
        <v>572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34.8551</v>
      </c>
      <c r="R49" s="81"/>
      <c r="T49" s="85" t="s">
        <v>105</v>
      </c>
      <c r="U49" s="127" t="s">
        <v>329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34.51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34.164899999999996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33.819800000000001</v>
      </c>
      <c r="R52" s="81"/>
      <c r="T52" s="85" t="s">
        <v>107</v>
      </c>
      <c r="U52" s="127" t="s">
        <v>573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33.474699999999999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33.129599999999996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32.784499999999994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32.439399999999999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32.094299999999997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31.749199999999998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31.4041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31.058999999999997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15" priority="31">
      <formula>F29&gt;0</formula>
    </cfRule>
    <cfRule type="expression" dxfId="2314" priority="32">
      <formula>F29&lt;0</formula>
    </cfRule>
  </conditionalFormatting>
  <conditionalFormatting sqref="F29 F31:F35">
    <cfRule type="expression" dxfId="2313" priority="33">
      <formula>F29&gt;0</formula>
    </cfRule>
    <cfRule type="expression" dxfId="2312" priority="34">
      <formula>F29&lt;0</formula>
    </cfRule>
  </conditionalFormatting>
  <conditionalFormatting sqref="H29 H31:H35">
    <cfRule type="expression" dxfId="2311" priority="29">
      <formula>H29&gt;0</formula>
    </cfRule>
    <cfRule type="expression" dxfId="2310" priority="30">
      <formula>H29&lt;0</formula>
    </cfRule>
  </conditionalFormatting>
  <conditionalFormatting sqref="F21:F28">
    <cfRule type="expression" dxfId="2309" priority="27">
      <formula>F21&gt;0</formula>
    </cfRule>
    <cfRule type="expression" dxfId="2308" priority="28">
      <formula>F21&lt;0</formula>
    </cfRule>
  </conditionalFormatting>
  <conditionalFormatting sqref="H21:H28">
    <cfRule type="expression" dxfId="2307" priority="25">
      <formula>H21&gt;0</formula>
    </cfRule>
    <cfRule type="expression" dxfId="2306" priority="26">
      <formula>H21&lt;0</formula>
    </cfRule>
  </conditionalFormatting>
  <conditionalFormatting sqref="Q8">
    <cfRule type="expression" dxfId="2305" priority="21">
      <formula>Q8&gt;0</formula>
    </cfRule>
    <cfRule type="expression" dxfId="2304" priority="22">
      <formula>Q8&lt;0</formula>
    </cfRule>
  </conditionalFormatting>
  <conditionalFormatting sqref="Q7">
    <cfRule type="expression" dxfId="2303" priority="23">
      <formula>Q7&gt;0</formula>
    </cfRule>
    <cfRule type="expression" dxfId="2302" priority="24">
      <formula>Q7&lt;0</formula>
    </cfRule>
  </conditionalFormatting>
  <conditionalFormatting sqref="F30">
    <cfRule type="expression" dxfId="2301" priority="19">
      <formula>F30&gt;0</formula>
    </cfRule>
    <cfRule type="expression" dxfId="2300" priority="20">
      <formula>F30&lt;0</formula>
    </cfRule>
  </conditionalFormatting>
  <conditionalFormatting sqref="H30">
    <cfRule type="expression" dxfId="2299" priority="17">
      <formula>H30&gt;0</formula>
    </cfRule>
    <cfRule type="expression" dxfId="2298" priority="18">
      <formula>H30&lt;0</formula>
    </cfRule>
  </conditionalFormatting>
  <conditionalFormatting sqref="F68 F70:F74">
    <cfRule type="expression" dxfId="2297" priority="13">
      <formula>F68&gt;0</formula>
    </cfRule>
    <cfRule type="expression" dxfId="2296" priority="14">
      <formula>F68&lt;0</formula>
    </cfRule>
  </conditionalFormatting>
  <conditionalFormatting sqref="F68 F70:F74">
    <cfRule type="expression" dxfId="2295" priority="15">
      <formula>F68&gt;0</formula>
    </cfRule>
    <cfRule type="expression" dxfId="2294" priority="16">
      <formula>F68&lt;0</formula>
    </cfRule>
  </conditionalFormatting>
  <conditionalFormatting sqref="H68 H70:H74">
    <cfRule type="expression" dxfId="2293" priority="11">
      <formula>H68&gt;0</formula>
    </cfRule>
    <cfRule type="expression" dxfId="2292" priority="12">
      <formula>H68&lt;0</formula>
    </cfRule>
  </conditionalFormatting>
  <conditionalFormatting sqref="F60:F67">
    <cfRule type="expression" dxfId="2291" priority="9">
      <formula>F60&gt;0</formula>
    </cfRule>
    <cfRule type="expression" dxfId="2290" priority="10">
      <formula>F60&lt;0</formula>
    </cfRule>
  </conditionalFormatting>
  <conditionalFormatting sqref="H60:H67">
    <cfRule type="expression" dxfId="2289" priority="7">
      <formula>H60&gt;0</formula>
    </cfRule>
    <cfRule type="expression" dxfId="2288" priority="8">
      <formula>H60&lt;0</formula>
    </cfRule>
  </conditionalFormatting>
  <conditionalFormatting sqref="F69">
    <cfRule type="expression" dxfId="2287" priority="5">
      <formula>F69&gt;0</formula>
    </cfRule>
    <cfRule type="expression" dxfId="2286" priority="6">
      <formula>F69&lt;0</formula>
    </cfRule>
  </conditionalFormatting>
  <conditionalFormatting sqref="H69">
    <cfRule type="expression" dxfId="2285" priority="3">
      <formula>H69&gt;0</formula>
    </cfRule>
    <cfRule type="expression" dxfId="2284" priority="4">
      <formula>H69&lt;0</formula>
    </cfRule>
  </conditionalFormatting>
  <conditionalFormatting sqref="Q10">
    <cfRule type="expression" dxfId="2283" priority="1">
      <formula>Q10&gt;0</formula>
    </cfRule>
    <cfRule type="expression" dxfId="228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39.99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39.99</v>
      </c>
      <c r="R4" s="475">
        <v>-1.0200000000000001E-2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50" t="s">
        <v>78</v>
      </c>
      <c r="P40" s="85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43.989000000000004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43.589100000000002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43.189200000000007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42.789300000000004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42.389400000000002</v>
      </c>
      <c r="Q45" s="2"/>
      <c r="T45" s="91" t="s">
        <v>99</v>
      </c>
      <c r="U45" s="127" t="s">
        <v>574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267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41.989500000000007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41.589600000000004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41.189700000000002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40.7898</v>
      </c>
      <c r="Q49" s="2"/>
      <c r="T49" s="91" t="s">
        <v>121</v>
      </c>
      <c r="U49" s="127" t="s">
        <v>422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40.389900000000004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39.99</v>
      </c>
      <c r="Q51" s="2"/>
      <c r="T51" s="91" t="s">
        <v>104</v>
      </c>
      <c r="U51" s="127" t="s">
        <v>575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39.5901</v>
      </c>
      <c r="Q52" s="2"/>
      <c r="T52" s="91" t="s">
        <v>105</v>
      </c>
      <c r="U52" s="127" t="s">
        <v>530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39.190200000000004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38.790300000000002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38.3904</v>
      </c>
      <c r="T55" s="91" t="s">
        <v>107</v>
      </c>
      <c r="U55" s="127" t="s">
        <v>576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37.990499999999997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37.590600000000002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37.190700000000007</v>
      </c>
      <c r="T58" s="91" t="s">
        <v>108</v>
      </c>
      <c r="U58" s="127" t="s">
        <v>531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36.790800000000004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36.390900000000002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35.991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81" priority="11">
      <formula>F33&gt;0</formula>
    </cfRule>
    <cfRule type="expression" dxfId="2280" priority="12">
      <formula>F33&lt;0</formula>
    </cfRule>
  </conditionalFormatting>
  <conditionalFormatting sqref="Q7">
    <cfRule type="expression" dxfId="2279" priority="9">
      <formula>Q7&gt;0</formula>
    </cfRule>
    <cfRule type="expression" dxfId="2278" priority="10">
      <formula>Q7&lt;0</formula>
    </cfRule>
  </conditionalFormatting>
  <conditionalFormatting sqref="Q8">
    <cfRule type="expression" dxfId="2277" priority="7">
      <formula>Q8&gt;0</formula>
    </cfRule>
    <cfRule type="expression" dxfId="2276" priority="8">
      <formula>Q8&lt;0</formula>
    </cfRule>
  </conditionalFormatting>
  <conditionalFormatting sqref="F25:F32">
    <cfRule type="expression" dxfId="2275" priority="5">
      <formula>F25&gt;0</formula>
    </cfRule>
    <cfRule type="expression" dxfId="2274" priority="6">
      <formula>F25&lt;0</formula>
    </cfRule>
  </conditionalFormatting>
  <conditionalFormatting sqref="H25:H32">
    <cfRule type="expression" dxfId="2273" priority="3">
      <formula>H25&gt;0</formula>
    </cfRule>
    <cfRule type="expression" dxfId="2272" priority="4">
      <formula>H25&lt;0</formula>
    </cfRule>
  </conditionalFormatting>
  <conditionalFormatting sqref="Q10">
    <cfRule type="expression" dxfId="2271" priority="1">
      <formula>Q10&gt;0</formula>
    </cfRule>
    <cfRule type="expression" dxfId="227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326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452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12.78</v>
      </c>
      <c r="T3" s="567" t="s">
        <v>475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12.78</v>
      </c>
      <c r="R4" s="475">
        <v>7.1999999999999998E-3</v>
      </c>
      <c r="T4" s="156" t="s">
        <v>476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477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839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2">
        <f>IF(Q2=0, 0, Q8/Q6)</f>
        <v>0</v>
      </c>
      <c r="T9" s="29">
        <v>43103</v>
      </c>
      <c r="U9" t="s">
        <v>831</v>
      </c>
      <c r="AA9" s="2"/>
      <c r="AD9" s="2"/>
      <c r="AG9" s="2"/>
      <c r="AI9" s="2"/>
    </row>
    <row r="10" spans="1:39" x14ac:dyDescent="0.25">
      <c r="A10" t="s">
        <v>783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208</v>
      </c>
      <c r="P10" s="33"/>
      <c r="Q10" s="2">
        <f>M58</f>
        <v>1283.4199999999946</v>
      </c>
      <c r="U10" t="s">
        <v>832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833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997</v>
      </c>
      <c r="Q12" s="1" t="s">
        <v>1066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975</v>
      </c>
      <c r="Q13">
        <f>Q4/0.32</f>
        <v>39.9375</v>
      </c>
      <c r="U13" t="s">
        <v>840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50" t="s">
        <v>78</v>
      </c>
      <c r="P15" s="850"/>
      <c r="T15" s="1">
        <v>43114</v>
      </c>
      <c r="U15" t="s">
        <v>871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18" si="4">O16*$Q$4</f>
        <v>14.696999999999997</v>
      </c>
      <c r="U16" s="475" t="s">
        <v>872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4"/>
        <v>14.569199999999999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4"/>
        <v>14.441399999999998</v>
      </c>
      <c r="T18" s="1">
        <v>43140</v>
      </c>
      <c r="U18" t="s">
        <v>927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14.313600000000001</v>
      </c>
      <c r="X19" s="134"/>
    </row>
    <row r="20" spans="1:39" x14ac:dyDescent="0.25">
      <c r="O20" s="81">
        <v>1.1100000000000001</v>
      </c>
      <c r="P20" s="81">
        <f t="shared" si="5"/>
        <v>14.1858</v>
      </c>
      <c r="T20" s="1">
        <v>43152</v>
      </c>
      <c r="U20" t="s">
        <v>931</v>
      </c>
      <c r="X20" s="134"/>
    </row>
    <row r="21" spans="1:39" x14ac:dyDescent="0.25">
      <c r="O21" s="81">
        <v>1.1000000000000001</v>
      </c>
      <c r="P21" s="81">
        <f t="shared" si="5"/>
        <v>14.058</v>
      </c>
      <c r="X21" s="134"/>
    </row>
    <row r="22" spans="1:39" x14ac:dyDescent="0.25">
      <c r="O22" s="81">
        <v>1.0900000000000001</v>
      </c>
      <c r="P22" s="81">
        <f t="shared" si="5"/>
        <v>13.930200000000001</v>
      </c>
      <c r="T22" s="1">
        <v>43160</v>
      </c>
      <c r="U22" t="s">
        <v>878</v>
      </c>
      <c r="X22" s="134"/>
    </row>
    <row r="23" spans="1:39" x14ac:dyDescent="0.25">
      <c r="O23" s="81">
        <v>1.08</v>
      </c>
      <c r="P23" s="81">
        <f t="shared" si="5"/>
        <v>13.8024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O24" s="81">
        <v>1.07</v>
      </c>
      <c r="P24" s="81">
        <f t="shared" ref="P24:P26" si="6">O24*$Q$4</f>
        <v>13.6746</v>
      </c>
      <c r="T24" s="1">
        <v>43191</v>
      </c>
      <c r="U24" t="s">
        <v>995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13.546799999999999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13.419</v>
      </c>
      <c r="T26" s="1">
        <v>43237</v>
      </c>
      <c r="U26" t="s">
        <v>1093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13.2912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13.163399999999999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13.035599999999999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12.9078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12.78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12.652199999999999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12.5244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12.396599999999999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12.268799999999999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12.140999999999998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12.013199999999999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910</v>
      </c>
      <c r="J38" s="39">
        <v>880</v>
      </c>
      <c r="K38" s="39"/>
      <c r="L38" s="4"/>
      <c r="O38" s="81">
        <v>0.93</v>
      </c>
      <c r="P38" s="81">
        <f t="shared" si="19"/>
        <v>11.885400000000001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11.7576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11.629799999999999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11.501999999999999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911</v>
      </c>
      <c r="J42" s="39">
        <v>736</v>
      </c>
      <c r="K42" s="39"/>
      <c r="L42" s="4"/>
      <c r="O42" s="81">
        <v>0.89</v>
      </c>
      <c r="P42" s="81">
        <f t="shared" ref="P42:P44" si="26">O42*$Q$4</f>
        <v>11.3742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11.2464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11.118599999999999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482</v>
      </c>
      <c r="T47" s="567" t="s">
        <v>475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486</v>
      </c>
      <c r="T48" s="22" t="s">
        <v>485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487</v>
      </c>
      <c r="T49" s="22" t="s">
        <v>488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489</v>
      </c>
      <c r="T50" s="22" t="s">
        <v>490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493</v>
      </c>
      <c r="T53" s="22" t="s">
        <v>483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492</v>
      </c>
      <c r="T54" s="22" t="s">
        <v>484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491</v>
      </c>
      <c r="T55" s="22" t="s">
        <v>494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282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670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338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332</v>
      </c>
      <c r="J103" s="39"/>
      <c r="K103" s="39"/>
    </row>
    <row r="104" spans="1:11" x14ac:dyDescent="0.25">
      <c r="A104" t="s">
        <v>338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368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378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386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406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338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338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434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69" priority="75">
      <formula>F32&gt;0</formula>
    </cfRule>
    <cfRule type="expression" dxfId="2268" priority="76">
      <formula>F32&lt;0</formula>
    </cfRule>
  </conditionalFormatting>
  <conditionalFormatting sqref="Q7">
    <cfRule type="expression" dxfId="2267" priority="73">
      <formula>Q7&gt;0</formula>
    </cfRule>
    <cfRule type="expression" dxfId="2266" priority="74">
      <formula>Q7&lt;0</formula>
    </cfRule>
  </conditionalFormatting>
  <conditionalFormatting sqref="Q8">
    <cfRule type="expression" dxfId="2265" priority="71">
      <formula>Q8&gt;0</formula>
    </cfRule>
    <cfRule type="expression" dxfId="2264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63" priority="63">
      <formula>M58&gt;0</formula>
    </cfRule>
    <cfRule type="expression" dxfId="2262" priority="64">
      <formula>M58&lt;0</formula>
    </cfRule>
  </conditionalFormatting>
  <conditionalFormatting sqref="Q10">
    <cfRule type="expression" dxfId="2261" priority="61">
      <formula>Q10&gt;0</formula>
    </cfRule>
    <cfRule type="expression" dxfId="2260" priority="62">
      <formula>Q10&lt;0</formula>
    </cfRule>
  </conditionalFormatting>
  <conditionalFormatting sqref="F29:F31">
    <cfRule type="expression" dxfId="2259" priority="59">
      <formula>F29&gt;0</formula>
    </cfRule>
    <cfRule type="expression" dxfId="2258" priority="60">
      <formula>F29&lt;0</formula>
    </cfRule>
  </conditionalFormatting>
  <conditionalFormatting sqref="H29:H31">
    <cfRule type="expression" dxfId="2257" priority="57">
      <formula>H29&gt;0</formula>
    </cfRule>
    <cfRule type="expression" dxfId="2256" priority="58">
      <formula>H29&lt;0</formula>
    </cfRule>
  </conditionalFormatting>
  <conditionalFormatting sqref="F83:F94">
    <cfRule type="expression" dxfId="2255" priority="55">
      <formula>F83&gt;0</formula>
    </cfRule>
    <cfRule type="expression" dxfId="2254" priority="56">
      <formula>F83&lt;0</formula>
    </cfRule>
  </conditionalFormatting>
  <conditionalFormatting sqref="H83:H94">
    <cfRule type="expression" dxfId="2253" priority="53">
      <formula>H83&gt;0</formula>
    </cfRule>
    <cfRule type="expression" dxfId="2252" priority="54">
      <formula>H83&lt;0</formula>
    </cfRule>
  </conditionalFormatting>
  <conditionalFormatting sqref="J41">
    <cfRule type="expression" dxfId="2251" priority="51">
      <formula>J41&gt;0</formula>
    </cfRule>
    <cfRule type="expression" dxfId="2250" priority="52">
      <formula>J41&lt;0</formula>
    </cfRule>
  </conditionalFormatting>
  <conditionalFormatting sqref="J39:J47">
    <cfRule type="expression" dxfId="2249" priority="49">
      <formula>J39&gt;0</formula>
    </cfRule>
    <cfRule type="expression" dxfId="2248" priority="50">
      <formula>J39&lt;0</formula>
    </cfRule>
  </conditionalFormatting>
  <conditionalFormatting sqref="F48:F51 H48:H51">
    <cfRule type="expression" dxfId="2247" priority="47">
      <formula>F48&gt;0</formula>
    </cfRule>
    <cfRule type="expression" dxfId="2246" priority="48">
      <formula>F48&lt;0</formula>
    </cfRule>
  </conditionalFormatting>
  <conditionalFormatting sqref="J48:J57">
    <cfRule type="expression" dxfId="2245" priority="45">
      <formula>J48&gt;0</formula>
    </cfRule>
    <cfRule type="expression" dxfId="2244" priority="46">
      <formula>J48&lt;0</formula>
    </cfRule>
  </conditionalFormatting>
  <conditionalFormatting sqref="K45:K52">
    <cfRule type="expression" dxfId="2243" priority="43">
      <formula>K45&gt;0</formula>
    </cfRule>
    <cfRule type="expression" dxfId="2242" priority="44">
      <formula>K45&lt;0</formula>
    </cfRule>
  </conditionalFormatting>
  <conditionalFormatting sqref="K45:K52">
    <cfRule type="expression" dxfId="2241" priority="41">
      <formula>K45&gt;0</formula>
    </cfRule>
    <cfRule type="expression" dxfId="2240" priority="42">
      <formula>K45&lt;0</formula>
    </cfRule>
  </conditionalFormatting>
  <conditionalFormatting sqref="F102:F118 H102:H118 H120:H128 F120:F128">
    <cfRule type="expression" dxfId="2239" priority="37">
      <formula>F102&gt;0</formula>
    </cfRule>
    <cfRule type="expression" dxfId="2238" priority="38">
      <formula>F102&lt;0</formula>
    </cfRule>
  </conditionalFormatting>
  <conditionalFormatting sqref="F96:F101">
    <cfRule type="expression" dxfId="2237" priority="35">
      <formula>F96&gt;0</formula>
    </cfRule>
    <cfRule type="expression" dxfId="2236" priority="36">
      <formula>F96&lt;0</formula>
    </cfRule>
  </conditionalFormatting>
  <conditionalFormatting sqref="H96:H101">
    <cfRule type="expression" dxfId="2235" priority="33">
      <formula>H96&gt;0</formula>
    </cfRule>
    <cfRule type="expression" dxfId="2234" priority="34">
      <formula>H96&lt;0</formula>
    </cfRule>
  </conditionalFormatting>
  <conditionalFormatting sqref="J112">
    <cfRule type="expression" dxfId="2233" priority="31">
      <formula>J112&gt;0</formula>
    </cfRule>
    <cfRule type="expression" dxfId="2232" priority="32">
      <formula>J112&lt;0</formula>
    </cfRule>
  </conditionalFormatting>
  <conditionalFormatting sqref="J110:J118 J120">
    <cfRule type="expression" dxfId="2231" priority="29">
      <formula>J110&gt;0</formula>
    </cfRule>
    <cfRule type="expression" dxfId="2230" priority="30">
      <formula>J110&lt;0</formula>
    </cfRule>
  </conditionalFormatting>
  <conditionalFormatting sqref="F119 H119">
    <cfRule type="expression" dxfId="2229" priority="27">
      <formula>F119&gt;0</formula>
    </cfRule>
    <cfRule type="expression" dxfId="2228" priority="28">
      <formula>F119&lt;0</formula>
    </cfRule>
  </conditionalFormatting>
  <conditionalFormatting sqref="J119">
    <cfRule type="expression" dxfId="2227" priority="25">
      <formula>J119&gt;0</formula>
    </cfRule>
    <cfRule type="expression" dxfId="2226" priority="26">
      <formula>J119&lt;0</formula>
    </cfRule>
  </conditionalFormatting>
  <conditionalFormatting sqref="K112:K123">
    <cfRule type="expression" dxfId="2225" priority="23">
      <formula>K112&gt;0</formula>
    </cfRule>
    <cfRule type="expression" dxfId="2224" priority="24">
      <formula>K112&lt;0</formula>
    </cfRule>
  </conditionalFormatting>
  <conditionalFormatting sqref="K110:K123">
    <cfRule type="expression" dxfId="2223" priority="21">
      <formula>K110&gt;0</formula>
    </cfRule>
    <cfRule type="expression" dxfId="2222" priority="22">
      <formula>K110&lt;0</formula>
    </cfRule>
  </conditionalFormatting>
  <conditionalFormatting sqref="J121">
    <cfRule type="expression" dxfId="2221" priority="19">
      <formula>J121&gt;0</formula>
    </cfRule>
    <cfRule type="expression" dxfId="2220" priority="20">
      <formula>J121&lt;0</formula>
    </cfRule>
  </conditionalFormatting>
  <conditionalFormatting sqref="F25:F28">
    <cfRule type="expression" dxfId="2219" priority="17">
      <formula>F25&gt;0</formula>
    </cfRule>
    <cfRule type="expression" dxfId="2218" priority="18">
      <formula>F25&lt;0</formula>
    </cfRule>
  </conditionalFormatting>
  <conditionalFormatting sqref="H25:H28">
    <cfRule type="expression" dxfId="2217" priority="15">
      <formula>H25&gt;0</formula>
    </cfRule>
    <cfRule type="expression" dxfId="2216" priority="16">
      <formula>H25&lt;0</formula>
    </cfRule>
  </conditionalFormatting>
  <conditionalFormatting sqref="J27:J29">
    <cfRule type="expression" dxfId="2215" priority="13">
      <formula>J27&gt;0</formula>
    </cfRule>
    <cfRule type="expression" dxfId="2214" priority="14">
      <formula>J27&lt;0</formula>
    </cfRule>
  </conditionalFormatting>
  <conditionalFormatting sqref="J30:J31">
    <cfRule type="expression" dxfId="2213" priority="11">
      <formula>J30&gt;0</formula>
    </cfRule>
    <cfRule type="expression" dxfId="2212" priority="12">
      <formula>J30&lt;0</formula>
    </cfRule>
  </conditionalFormatting>
  <conditionalFormatting sqref="J33">
    <cfRule type="expression" dxfId="2211" priority="9">
      <formula>J33&gt;0</formula>
    </cfRule>
    <cfRule type="expression" dxfId="2210" priority="10">
      <formula>J33&lt;0</formula>
    </cfRule>
  </conditionalFormatting>
  <conditionalFormatting sqref="J34">
    <cfRule type="expression" dxfId="2209" priority="7">
      <formula>J34&gt;0</formula>
    </cfRule>
    <cfRule type="expression" dxfId="2208" priority="8">
      <formula>J34&lt;0</formula>
    </cfRule>
  </conditionalFormatting>
  <conditionalFormatting sqref="J35:J43">
    <cfRule type="expression" dxfId="2207" priority="5">
      <formula>J35&gt;0</formula>
    </cfRule>
    <cfRule type="expression" dxfId="2206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05" priority="1">
      <formula>Q9&gt;0</formula>
    </cfRule>
    <cfRule type="expression" dxfId="2204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50.48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50.48</v>
      </c>
      <c r="R4" s="475">
        <v>-1.0200000000000001E-2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 t="e">
        <f>IF(#REF!="N/A (N/A)", 0, VALUE(TRIM(CLEAN(MID(#REF!, FIND("(",#REF!)+1, 5)))))</f>
        <v>#REF!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50" t="s">
        <v>78</v>
      </c>
      <c r="P40" s="850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55.527999999999999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55.023200000000003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54.5184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54.013599999999997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53.508800000000001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53.003999999999998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52.499200000000002</v>
      </c>
      <c r="Q47" s="2"/>
    </row>
    <row r="48" spans="2:17" x14ac:dyDescent="0.25">
      <c r="O48" s="81">
        <v>1.03</v>
      </c>
      <c r="P48" s="81">
        <f t="shared" si="4"/>
        <v>51.994399999999999</v>
      </c>
      <c r="Q48" s="2"/>
    </row>
    <row r="49" spans="1:17" x14ac:dyDescent="0.25">
      <c r="O49" s="81">
        <v>1.02</v>
      </c>
      <c r="P49" s="81">
        <f t="shared" si="4"/>
        <v>51.489599999999996</v>
      </c>
      <c r="Q49" s="2"/>
    </row>
    <row r="50" spans="1:17" x14ac:dyDescent="0.25">
      <c r="O50" s="81">
        <v>1.01</v>
      </c>
      <c r="P50" s="81">
        <f t="shared" si="4"/>
        <v>50.9848</v>
      </c>
      <c r="Q50" s="2"/>
    </row>
    <row r="51" spans="1:17" x14ac:dyDescent="0.25">
      <c r="O51" s="81">
        <v>1</v>
      </c>
      <c r="P51" s="81">
        <f t="shared" si="4"/>
        <v>50.48</v>
      </c>
      <c r="Q51" s="2"/>
    </row>
    <row r="52" spans="1:17" x14ac:dyDescent="0.25">
      <c r="O52" s="81">
        <v>0.99</v>
      </c>
      <c r="P52" s="81">
        <f t="shared" si="4"/>
        <v>49.975199999999994</v>
      </c>
      <c r="Q52" s="2"/>
    </row>
    <row r="53" spans="1:17" x14ac:dyDescent="0.25">
      <c r="O53" s="81">
        <v>0.98</v>
      </c>
      <c r="P53" s="81">
        <f t="shared" si="4"/>
        <v>49.470399999999998</v>
      </c>
      <c r="Q53" s="2"/>
    </row>
    <row r="54" spans="1:17" x14ac:dyDescent="0.25">
      <c r="O54" s="81">
        <v>0.97</v>
      </c>
      <c r="P54" s="81">
        <f t="shared" si="4"/>
        <v>48.965599999999995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48.460799999999992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47.955999999999996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47.451199999999993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46.946399999999997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46.441600000000001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45.936799999999998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45.431999999999995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03" priority="15">
      <formula>F39&gt;0</formula>
    </cfRule>
    <cfRule type="expression" dxfId="2202" priority="16">
      <formula>F39&lt;0</formula>
    </cfRule>
  </conditionalFormatting>
  <conditionalFormatting sqref="Q7">
    <cfRule type="expression" dxfId="2201" priority="13">
      <formula>Q7&gt;0</formula>
    </cfRule>
    <cfRule type="expression" dxfId="2200" priority="14">
      <formula>Q7&lt;0</formula>
    </cfRule>
  </conditionalFormatting>
  <conditionalFormatting sqref="Q8">
    <cfRule type="expression" dxfId="2199" priority="11">
      <formula>Q8&gt;0</formula>
    </cfRule>
    <cfRule type="expression" dxfId="2198" priority="12">
      <formula>Q8&lt;0</formula>
    </cfRule>
  </conditionalFormatting>
  <conditionalFormatting sqref="F25:F38">
    <cfRule type="expression" dxfId="2197" priority="9">
      <formula>F25&gt;0</formula>
    </cfRule>
    <cfRule type="expression" dxfId="2196" priority="10">
      <formula>F25&lt;0</formula>
    </cfRule>
  </conditionalFormatting>
  <conditionalFormatting sqref="H25:H38">
    <cfRule type="expression" dxfId="2195" priority="7">
      <formula>H25&gt;0</formula>
    </cfRule>
    <cfRule type="expression" dxfId="2194" priority="8">
      <formula>H25&lt;0</formula>
    </cfRule>
  </conditionalFormatting>
  <conditionalFormatting sqref="M55">
    <cfRule type="expression" dxfId="2193" priority="3">
      <formula>M55&gt;0</formula>
    </cfRule>
    <cfRule type="expression" dxfId="2192" priority="4">
      <formula>M55&lt;0</formula>
    </cfRule>
  </conditionalFormatting>
  <conditionalFormatting sqref="Q10">
    <cfRule type="expression" dxfId="2191" priority="1">
      <formula>Q10&gt;0</formula>
    </cfRule>
    <cfRule type="expression" dxfId="219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38.42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38.42</v>
      </c>
      <c r="R4" s="475">
        <v>8.3999999999999995E-3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346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50" t="s">
        <v>78</v>
      </c>
      <c r="P40" s="850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42.262000000000008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41.877800000000008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314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41.493600000000008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41.109400000000001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40.725200000000001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40.341000000000001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39.956800000000001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39.572600000000001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39.188400000000001</v>
      </c>
      <c r="Q49" s="2"/>
      <c r="T49" s="91" t="s">
        <v>103</v>
      </c>
      <c r="U49" s="127" t="s">
        <v>577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38.804200000000002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38.42</v>
      </c>
      <c r="Q51" s="2"/>
      <c r="T51" s="91" t="s">
        <v>104</v>
      </c>
      <c r="U51" s="127" t="s">
        <v>578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38.035800000000002</v>
      </c>
      <c r="Q52" s="2"/>
      <c r="T52" s="91" t="s">
        <v>105</v>
      </c>
      <c r="U52" s="127" t="s">
        <v>315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37.651600000000002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37.267400000000002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36.883200000000002</v>
      </c>
      <c r="T55" s="91" t="s">
        <v>107</v>
      </c>
      <c r="U55" s="127" t="s">
        <v>579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36.499000000000002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36.114800000000002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35.730600000000003</v>
      </c>
      <c r="T58" s="91" t="s">
        <v>108</v>
      </c>
      <c r="U58" s="127" t="s">
        <v>506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35.346400000000003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34.962200000000003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34.578000000000003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89" priority="27">
      <formula>F27&gt;0</formula>
    </cfRule>
    <cfRule type="expression" dxfId="218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87" priority="15">
      <formula>Q8&gt;0</formula>
    </cfRule>
    <cfRule type="expression" dxfId="2186" priority="16">
      <formula>Q8&lt;0</formula>
    </cfRule>
  </conditionalFormatting>
  <conditionalFormatting sqref="Q7">
    <cfRule type="expression" dxfId="2185" priority="17">
      <formula>Q7&gt;0</formula>
    </cfRule>
    <cfRule type="expression" dxfId="2184" priority="18">
      <formula>Q7&lt;0</formula>
    </cfRule>
  </conditionalFormatting>
  <conditionalFormatting sqref="F37:F38">
    <cfRule type="expression" dxfId="2183" priority="13">
      <formula>F37&gt;0</formula>
    </cfRule>
    <cfRule type="expression" dxfId="2182" priority="14">
      <formula>F37&lt;0</formula>
    </cfRule>
  </conditionalFormatting>
  <conditionalFormatting sqref="H37:H38">
    <cfRule type="expression" dxfId="2181" priority="11">
      <formula>H37&gt;0</formula>
    </cfRule>
    <cfRule type="expression" dxfId="2180" priority="12">
      <formula>H37&lt;0</formula>
    </cfRule>
  </conditionalFormatting>
  <conditionalFormatting sqref="F23:F26 H23:H26">
    <cfRule type="expression" dxfId="2179" priority="9">
      <formula>F23&gt;0</formula>
    </cfRule>
    <cfRule type="expression" dxfId="2178" priority="10">
      <formula>F23&lt;0</formula>
    </cfRule>
  </conditionalFormatting>
  <conditionalFormatting sqref="Q10">
    <cfRule type="expression" dxfId="2177" priority="3">
      <formula>Q10&gt;0</formula>
    </cfRule>
    <cfRule type="expression" dxfId="2176" priority="4">
      <formula>Q10&lt;0</formula>
    </cfRule>
  </conditionalFormatting>
  <conditionalFormatting sqref="F22 H22">
    <cfRule type="expression" dxfId="2175" priority="1">
      <formula>F22&gt;0</formula>
    </cfRule>
    <cfRule type="expression" dxfId="2174" priority="2">
      <formula>F22&lt;0</formula>
    </cfRule>
  </conditionalFormatting>
  <conditionalFormatting sqref="M41">
    <cfRule type="expression" dxfId="2173" priority="5">
      <formula>M41&gt;0</formula>
    </cfRule>
    <cfRule type="expression" dxfId="217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53.16</v>
      </c>
      <c r="T3" s="1"/>
      <c r="W3" s="130">
        <v>42830</v>
      </c>
      <c r="X3" s="10" t="s">
        <v>328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53.16</v>
      </c>
      <c r="R4" s="475">
        <v>1.0200000000000001E-2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58.475999999999999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57.944400000000002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57.412799999999997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56.8812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56.349600000000002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55.817999999999998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55.2864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299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54.754799999999996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54.223199999999999</v>
      </c>
      <c r="Q49" s="2"/>
      <c r="T49" s="91" t="s">
        <v>103</v>
      </c>
      <c r="U49" s="127" t="s">
        <v>478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53.691599999999994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53.16</v>
      </c>
      <c r="Q51" s="2"/>
      <c r="T51" s="91" t="s">
        <v>104</v>
      </c>
      <c r="U51" s="127" t="s">
        <v>580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52.628399999999999</v>
      </c>
      <c r="Q52" s="2"/>
      <c r="T52" s="91" t="s">
        <v>105</v>
      </c>
      <c r="U52" s="127" t="s">
        <v>365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52.096799999999995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51.565199999999997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51.033599999999993</v>
      </c>
      <c r="T55" s="91" t="s">
        <v>107</v>
      </c>
      <c r="U55" s="127" t="s">
        <v>581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50.501999999999995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49.970399999999991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49.438800000000001</v>
      </c>
      <c r="T58" s="91" t="s">
        <v>108</v>
      </c>
      <c r="U58" s="127" t="s">
        <v>538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48.907199999999996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48.375599999999999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47.844000000000001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335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345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362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362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385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420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436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453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71" priority="29">
      <formula>F25&gt;0</formula>
    </cfRule>
    <cfRule type="expression" dxfId="2170" priority="30">
      <formula>F25&lt;0</formula>
    </cfRule>
  </conditionalFormatting>
  <conditionalFormatting sqref="Q7">
    <cfRule type="expression" dxfId="2169" priority="27">
      <formula>Q7&gt;0</formula>
    </cfRule>
    <cfRule type="expression" dxfId="2168" priority="28">
      <formula>Q7&lt;0</formula>
    </cfRule>
  </conditionalFormatting>
  <conditionalFormatting sqref="Q8">
    <cfRule type="expression" dxfId="2167" priority="25">
      <formula>Q8&gt;0</formula>
    </cfRule>
    <cfRule type="expression" dxfId="2166" priority="26">
      <formula>Q8&lt;0</formula>
    </cfRule>
  </conditionalFormatting>
  <conditionalFormatting sqref="Q10">
    <cfRule type="expression" dxfId="2165" priority="13">
      <formula>Q10&gt;0</formula>
    </cfRule>
    <cfRule type="expression" dxfId="2164" priority="14">
      <formula>Q10&lt;0</formula>
    </cfRule>
  </conditionalFormatting>
  <conditionalFormatting sqref="M46">
    <cfRule type="expression" dxfId="2163" priority="11">
      <formula>M46&gt;0</formula>
    </cfRule>
    <cfRule type="expression" dxfId="2162" priority="12">
      <formula>M46&lt;0</formula>
    </cfRule>
  </conditionalFormatting>
  <conditionalFormatting sqref="F80:F88 H80:H88">
    <cfRule type="expression" dxfId="2161" priority="9">
      <formula>F80&gt;0</formula>
    </cfRule>
    <cfRule type="expression" dxfId="2160" priority="10">
      <formula>F80&lt;0</formula>
    </cfRule>
  </conditionalFormatting>
  <conditionalFormatting sqref="F75:F79">
    <cfRule type="expression" dxfId="2159" priority="7">
      <formula>F75&gt;0</formula>
    </cfRule>
    <cfRule type="expression" dxfId="2158" priority="8">
      <formula>F75&lt;0</formula>
    </cfRule>
  </conditionalFormatting>
  <conditionalFormatting sqref="H75:H79">
    <cfRule type="expression" dxfId="2157" priority="5">
      <formula>H75&gt;0</formula>
    </cfRule>
    <cfRule type="expression" dxfId="2156" priority="6">
      <formula>H75&lt;0</formula>
    </cfRule>
  </conditionalFormatting>
  <conditionalFormatting sqref="F71:F74">
    <cfRule type="expression" dxfId="2155" priority="3">
      <formula>F71&gt;0</formula>
    </cfRule>
    <cfRule type="expression" dxfId="2154" priority="4">
      <formula>F71&lt;0</formula>
    </cfRule>
  </conditionalFormatting>
  <conditionalFormatting sqref="H71:H74">
    <cfRule type="expression" dxfId="2153" priority="1">
      <formula>H71&gt;0</formula>
    </cfRule>
    <cfRule type="expression" dxfId="215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31.74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31.74</v>
      </c>
      <c r="R4" s="495">
        <v>-5.7000000000000002E-3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34.914000000000001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34.596600000000002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34.279200000000003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33.961800000000004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33.644399999999997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33.326999999999998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33.009599999999999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32.6922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32.3748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32.057400000000001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31.74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31.422599999999999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31.105199999999996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30.787799999999997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30.470399999999998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30.152999999999999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29.835599999999996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29.5182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29.200800000000001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28.883399999999998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28.565999999999999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694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51" priority="21">
      <formula>F47&gt;0</formula>
    </cfRule>
    <cfRule type="expression" dxfId="2150" priority="22">
      <formula>F47&lt;0</formula>
    </cfRule>
  </conditionalFormatting>
  <conditionalFormatting sqref="Q7">
    <cfRule type="expression" dxfId="2149" priority="19">
      <formula>Q7&gt;0</formula>
    </cfRule>
    <cfRule type="expression" dxfId="2148" priority="20">
      <formula>Q7&lt;0</formula>
    </cfRule>
  </conditionalFormatting>
  <conditionalFormatting sqref="Q8">
    <cfRule type="expression" dxfId="2147" priority="17">
      <formula>Q8&gt;0</formula>
    </cfRule>
    <cfRule type="expression" dxfId="2146" priority="18">
      <formula>Q8&lt;0</formula>
    </cfRule>
  </conditionalFormatting>
  <conditionalFormatting sqref="F25:F46">
    <cfRule type="expression" dxfId="2145" priority="15">
      <formula>F25&gt;0</formula>
    </cfRule>
    <cfRule type="expression" dxfId="2144" priority="16">
      <formula>F25&lt;0</formula>
    </cfRule>
  </conditionalFormatting>
  <conditionalFormatting sqref="H25:H46">
    <cfRule type="expression" dxfId="2143" priority="13">
      <formula>H25&gt;0</formula>
    </cfRule>
    <cfRule type="expression" dxfId="2142" priority="14">
      <formula>H25&lt;0</formula>
    </cfRule>
  </conditionalFormatting>
  <conditionalFormatting sqref="F89:F110">
    <cfRule type="expression" dxfId="2141" priority="11">
      <formula>F89&gt;0</formula>
    </cfRule>
    <cfRule type="expression" dxfId="2140" priority="12">
      <formula>F89&lt;0</formula>
    </cfRule>
  </conditionalFormatting>
  <conditionalFormatting sqref="H89:H110">
    <cfRule type="expression" dxfId="2139" priority="9">
      <formula>H89&gt;0</formula>
    </cfRule>
    <cfRule type="expression" dxfId="2138" priority="10">
      <formula>H89&lt;0</formula>
    </cfRule>
  </conditionalFormatting>
  <conditionalFormatting sqref="Q10">
    <cfRule type="expression" dxfId="2137" priority="7">
      <formula>Q10&gt;0</formula>
    </cfRule>
    <cfRule type="expression" dxfId="2136" priority="8">
      <formula>Q10&lt;0</formula>
    </cfRule>
  </conditionalFormatting>
  <conditionalFormatting sqref="J25:J38">
    <cfRule type="expression" dxfId="2135" priority="5">
      <formula>J25&gt;0</formula>
    </cfRule>
    <cfRule type="expression" dxfId="2134" priority="6">
      <formula>J25&lt;0</formula>
    </cfRule>
  </conditionalFormatting>
  <conditionalFormatting sqref="K25:K38">
    <cfRule type="expression" dxfId="2133" priority="3">
      <formula>K25&gt;0</formula>
    </cfRule>
    <cfRule type="expression" dxfId="2132" priority="4">
      <formula>K25&lt;0</formula>
    </cfRule>
  </conditionalFormatting>
  <conditionalFormatting sqref="L25:L38">
    <cfRule type="expression" dxfId="2131" priority="1">
      <formula>L25&gt;0</formula>
    </cfRule>
    <cfRule type="expression" dxfId="213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78.48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78.48</v>
      </c>
      <c r="R4" s="475">
        <v>2.01E-2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86.328000000000017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85.543200000000013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84.758400000000009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83.973600000000005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83.188800000000015</v>
      </c>
      <c r="Q45" s="2"/>
      <c r="T45" s="91" t="s">
        <v>99</v>
      </c>
      <c r="U45" s="127" t="s">
        <v>582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82.404000000000011</v>
      </c>
      <c r="Q46" s="2"/>
      <c r="T46" s="91" t="s">
        <v>100</v>
      </c>
      <c r="U46" s="127" t="s">
        <v>583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81.619200000000006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248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80.834400000000002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80.049600000000012</v>
      </c>
      <c r="Q49" s="2"/>
      <c r="T49" s="91" t="s">
        <v>121</v>
      </c>
      <c r="U49" s="127" t="s">
        <v>387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79.264800000000008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78.48</v>
      </c>
      <c r="Q51" s="2"/>
      <c r="T51" s="91" t="s">
        <v>104</v>
      </c>
      <c r="U51" s="127" t="s">
        <v>584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77.6952</v>
      </c>
      <c r="Q52" s="2"/>
      <c r="T52" s="91" t="s">
        <v>105</v>
      </c>
      <c r="U52" s="127" t="s">
        <v>417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76.910399999999996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76.125600000000006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75.340800000000002</v>
      </c>
      <c r="T55" s="91" t="s">
        <v>107</v>
      </c>
      <c r="U55" s="127" t="s">
        <v>585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74.555999999999997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73.771199999999993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72.986400000000003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72.201600000000013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71.416800000000009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70.632000000000005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249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252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29" priority="23">
      <formula>F34&gt;0</formula>
    </cfRule>
    <cfRule type="expression" dxfId="2128" priority="24">
      <formula>F34&lt;0</formula>
    </cfRule>
  </conditionalFormatting>
  <conditionalFormatting sqref="Q7">
    <cfRule type="expression" dxfId="2127" priority="21">
      <formula>Q7&gt;0</formula>
    </cfRule>
    <cfRule type="expression" dxfId="2126" priority="22">
      <formula>Q7&lt;0</formula>
    </cfRule>
  </conditionalFormatting>
  <conditionalFormatting sqref="Q8">
    <cfRule type="expression" dxfId="2125" priority="19">
      <formula>Q8&gt;0</formula>
    </cfRule>
    <cfRule type="expression" dxfId="2124" priority="20">
      <formula>Q8&lt;0</formula>
    </cfRule>
  </conditionalFormatting>
  <conditionalFormatting sqref="F25:F33">
    <cfRule type="expression" dxfId="2123" priority="17">
      <formula>F25&gt;0</formula>
    </cfRule>
    <cfRule type="expression" dxfId="2122" priority="18">
      <formula>F25&lt;0</formula>
    </cfRule>
  </conditionalFormatting>
  <conditionalFormatting sqref="H25:H33">
    <cfRule type="expression" dxfId="2121" priority="15">
      <formula>H25&gt;0</formula>
    </cfRule>
    <cfRule type="expression" dxfId="2120" priority="16">
      <formula>H25&lt;0</formula>
    </cfRule>
  </conditionalFormatting>
  <conditionalFormatting sqref="M46">
    <cfRule type="expression" dxfId="2119" priority="13">
      <formula>M46&gt;0</formula>
    </cfRule>
    <cfRule type="expression" dxfId="2118" priority="14">
      <formula>M46&lt;0</formula>
    </cfRule>
  </conditionalFormatting>
  <conditionalFormatting sqref="F79:F87 H79:H87">
    <cfRule type="expression" dxfId="2117" priority="11">
      <formula>F79&gt;0</formula>
    </cfRule>
    <cfRule type="expression" dxfId="2116" priority="12">
      <formula>F79&lt;0</formula>
    </cfRule>
  </conditionalFormatting>
  <conditionalFormatting sqref="F70:F78">
    <cfRule type="expression" dxfId="2115" priority="9">
      <formula>F70&gt;0</formula>
    </cfRule>
    <cfRule type="expression" dxfId="2114" priority="10">
      <formula>F70&lt;0</formula>
    </cfRule>
  </conditionalFormatting>
  <conditionalFormatting sqref="H70:H78">
    <cfRule type="expression" dxfId="2113" priority="7">
      <formula>H70&gt;0</formula>
    </cfRule>
    <cfRule type="expression" dxfId="2112" priority="8">
      <formula>H70&lt;0</formula>
    </cfRule>
  </conditionalFormatting>
  <conditionalFormatting sqref="J27:K27 J30:K30 J33:K33 J36:K36 J39:K39 J42:K42">
    <cfRule type="expression" dxfId="2111" priority="5">
      <formula>J27&gt;0</formula>
    </cfRule>
    <cfRule type="expression" dxfId="2110" priority="6">
      <formula>J27&lt;0</formula>
    </cfRule>
  </conditionalFormatting>
  <conditionalFormatting sqref="J28:K29 J31:K32 J34:K35 J37:K38 J40:K41">
    <cfRule type="expression" dxfId="2109" priority="3">
      <formula>J28&gt;0</formula>
    </cfRule>
    <cfRule type="expression" dxfId="2108" priority="4">
      <formula>J28&lt;0</formula>
    </cfRule>
  </conditionalFormatting>
  <conditionalFormatting sqref="L27:L42">
    <cfRule type="expression" dxfId="2107" priority="1">
      <formula>L27&gt;0</formula>
    </cfRule>
    <cfRule type="expression" dxfId="2106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35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673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17.940000000000001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17.940000000000001</v>
      </c>
      <c r="R4" s="475">
        <v>7.7999999999999996E-3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0">C25*(E25-D25)</f>
        <v>112.0000000000001</v>
      </c>
      <c r="G25" s="39">
        <f t="shared" ref="G25" si="1">D25*C25</f>
        <v>2468</v>
      </c>
      <c r="H25" s="222">
        <f t="shared" ref="H25" si="2"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19.734000000000002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3">O42*$Q$4</f>
        <v>19.554600000000004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3"/>
        <v>19.375200000000003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3"/>
        <v>19.195800000000002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3"/>
        <v>19.016400000000001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3"/>
        <v>18.837000000000003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3"/>
        <v>18.657600000000002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3"/>
        <v>18.478200000000001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3"/>
        <v>18.2988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3"/>
        <v>18.119400000000002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3"/>
        <v>17.940000000000001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3"/>
        <v>17.7606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3"/>
        <v>17.581200000000003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3"/>
        <v>17.401800000000001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3"/>
        <v>17.2224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3"/>
        <v>17.042999999999999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16.863600000000002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16.684200000000001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16.504800000000003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16.325400000000002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16.146000000000001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673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105" priority="9">
      <formula>F57&gt;0</formula>
    </cfRule>
    <cfRule type="expression" dxfId="2104" priority="10">
      <formula>F57&lt;0</formula>
    </cfRule>
  </conditionalFormatting>
  <conditionalFormatting sqref="Q7">
    <cfRule type="expression" dxfId="2103" priority="7">
      <formula>Q7&gt;0</formula>
    </cfRule>
    <cfRule type="expression" dxfId="2102" priority="8">
      <formula>Q7&lt;0</formula>
    </cfRule>
  </conditionalFormatting>
  <conditionalFormatting sqref="Q8">
    <cfRule type="expression" dxfId="2101" priority="5">
      <formula>Q8&gt;0</formula>
    </cfRule>
    <cfRule type="expression" dxfId="2100" priority="6">
      <formula>Q8&lt;0</formula>
    </cfRule>
  </conditionalFormatting>
  <conditionalFormatting sqref="F25:F56">
    <cfRule type="expression" dxfId="2099" priority="3">
      <formula>F25&gt;0</formula>
    </cfRule>
    <cfRule type="expression" dxfId="2098" priority="4">
      <formula>F25&lt;0</formula>
    </cfRule>
  </conditionalFormatting>
  <conditionalFormatting sqref="H25:H56">
    <cfRule type="expression" dxfId="2097" priority="1">
      <formula>H25&gt;0</formula>
    </cfRule>
    <cfRule type="expression" dxfId="2096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topLeftCell="G1" workbookViewId="0">
      <pane ySplit="1" topLeftCell="A38" activePane="bottomLeft" state="frozen"/>
      <selection activeCell="A2" sqref="A2"/>
      <selection pane="bottomLeft" activeCell="W1" sqref="W1:AF72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459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66.03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66.03</v>
      </c>
      <c r="R4" s="475">
        <v>-5.5999999999999999E-3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72.63300000000001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71.972700000000003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71.312400000000011</v>
      </c>
      <c r="Q43" s="2"/>
      <c r="T43" s="125" t="s">
        <v>97</v>
      </c>
      <c r="U43" s="126">
        <v>77.87</v>
      </c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70.652100000000004</v>
      </c>
      <c r="Q44" s="2"/>
      <c r="T44" s="91" t="s">
        <v>98</v>
      </c>
      <c r="U44" s="127">
        <v>77.819999999999993</v>
      </c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69.991799999999998</v>
      </c>
      <c r="Q45" s="2"/>
      <c r="T45" s="91" t="s">
        <v>99</v>
      </c>
      <c r="U45" s="127" t="s">
        <v>128</v>
      </c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69.331500000000005</v>
      </c>
      <c r="Q46" s="2"/>
      <c r="T46" s="91" t="s">
        <v>100</v>
      </c>
      <c r="U46" s="127" t="s">
        <v>128</v>
      </c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68.671199999999999</v>
      </c>
      <c r="Q47" s="2"/>
      <c r="T47" s="91" t="s">
        <v>101</v>
      </c>
      <c r="U47" s="127">
        <v>86.36</v>
      </c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68.010900000000007</v>
      </c>
      <c r="Q48" s="2"/>
      <c r="T48" s="91" t="s">
        <v>102</v>
      </c>
      <c r="U48" s="127">
        <v>0.61025200000000002</v>
      </c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67.3506</v>
      </c>
      <c r="Q49" s="2"/>
      <c r="T49" s="91" t="s">
        <v>103</v>
      </c>
      <c r="U49" s="127" t="s">
        <v>471</v>
      </c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66.690300000000008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66.03</v>
      </c>
      <c r="Q51" s="2"/>
      <c r="T51" s="91" t="s">
        <v>104</v>
      </c>
      <c r="U51" s="127" t="s">
        <v>586</v>
      </c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65.369699999999995</v>
      </c>
      <c r="Q52" s="2"/>
      <c r="T52" s="91" t="s">
        <v>105</v>
      </c>
      <c r="U52" s="127" t="s">
        <v>306</v>
      </c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64.709400000000002</v>
      </c>
      <c r="Q53" s="2"/>
      <c r="T53" s="91" t="s">
        <v>106</v>
      </c>
      <c r="U53" s="128">
        <v>13351924</v>
      </c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64.049099999999996</v>
      </c>
      <c r="T54" s="91" t="s">
        <v>109</v>
      </c>
      <c r="U54" s="128">
        <v>7021070</v>
      </c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63.388799999999996</v>
      </c>
      <c r="T55" s="91" t="s">
        <v>107</v>
      </c>
      <c r="U55" s="127" t="s">
        <v>587</v>
      </c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62.728499999999997</v>
      </c>
      <c r="T56" s="91" t="s">
        <v>110</v>
      </c>
      <c r="U56" s="127">
        <v>15.69</v>
      </c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62.068199999999997</v>
      </c>
      <c r="T57" s="91" t="s">
        <v>111</v>
      </c>
      <c r="U57" s="127">
        <v>4.91</v>
      </c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0"/>
        <v>61.407900000000005</v>
      </c>
      <c r="T58" s="91" t="s">
        <v>108</v>
      </c>
      <c r="U58" s="127" t="s">
        <v>522</v>
      </c>
    </row>
    <row r="59" spans="1:2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0"/>
        <v>60.747600000000006</v>
      </c>
    </row>
    <row r="60" spans="1:21" x14ac:dyDescent="0.25">
      <c r="A60" s="371" t="s">
        <v>275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0"/>
        <v>60.087300000000006</v>
      </c>
    </row>
    <row r="61" spans="1:2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0"/>
        <v>59.427</v>
      </c>
    </row>
    <row r="62" spans="1:2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2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2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2">C84*(E84-D84)</f>
        <v>1.6000000000002501</v>
      </c>
      <c r="G84" s="363">
        <f t="shared" ref="G84:G107" si="3">D84*C84</f>
        <v>1817</v>
      </c>
      <c r="H84" s="364">
        <f t="shared" ref="H84:H107" si="4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2"/>
        <v>-28.199999999999932</v>
      </c>
      <c r="G85" s="363">
        <f t="shared" si="3"/>
        <v>1817</v>
      </c>
      <c r="H85" s="364">
        <f t="shared" si="4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2"/>
        <v>-5.7999999999998408</v>
      </c>
      <c r="G86" s="363">
        <f t="shared" si="3"/>
        <v>1817</v>
      </c>
      <c r="H86" s="364">
        <f t="shared" si="4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2"/>
        <v>-84.599999999999795</v>
      </c>
      <c r="G87" s="363">
        <f t="shared" si="3"/>
        <v>3568.2</v>
      </c>
      <c r="H87" s="364">
        <f t="shared" si="4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2"/>
        <v>-112.1999999999997</v>
      </c>
      <c r="G88" s="363">
        <f t="shared" si="3"/>
        <v>3568.2</v>
      </c>
      <c r="H88" s="364">
        <f t="shared" si="4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2"/>
        <v>-204.20000000000016</v>
      </c>
      <c r="G89" s="363">
        <f t="shared" si="3"/>
        <v>3568.2</v>
      </c>
      <c r="H89" s="364">
        <f t="shared" si="4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2"/>
        <v>-304.80000000000018</v>
      </c>
      <c r="G90" s="363">
        <f t="shared" si="3"/>
        <v>6830.4</v>
      </c>
      <c r="H90" s="364">
        <f t="shared" si="4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2"/>
        <v>-905.59999999999945</v>
      </c>
      <c r="G91" s="363">
        <f t="shared" si="3"/>
        <v>6830.4</v>
      </c>
      <c r="H91" s="364">
        <f t="shared" si="4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2"/>
        <v>-679.19999999999959</v>
      </c>
      <c r="G92" s="363">
        <f t="shared" si="3"/>
        <v>6830.4</v>
      </c>
      <c r="H92" s="364">
        <f t="shared" si="4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2"/>
        <v>-499.19999999999959</v>
      </c>
      <c r="G93" s="363">
        <f t="shared" si="3"/>
        <v>6830.4</v>
      </c>
      <c r="H93" s="364">
        <f t="shared" si="4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2"/>
        <v>-216.7999999999995</v>
      </c>
      <c r="G94" s="363">
        <f t="shared" si="3"/>
        <v>6830.4</v>
      </c>
      <c r="H94" s="364">
        <f t="shared" si="4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2"/>
        <v>-305.59999999999945</v>
      </c>
      <c r="G95" s="363">
        <f t="shared" si="3"/>
        <v>6830.4</v>
      </c>
      <c r="H95" s="364">
        <f t="shared" si="4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2"/>
        <v>-487.00000000000045</v>
      </c>
      <c r="G96" s="363">
        <f t="shared" si="3"/>
        <v>8436</v>
      </c>
      <c r="H96" s="364">
        <f t="shared" si="4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2"/>
        <v>-615.47040000000015</v>
      </c>
      <c r="G97" s="363">
        <f t="shared" si="3"/>
        <v>14610.4704</v>
      </c>
      <c r="H97" s="364">
        <f t="shared" si="4"/>
        <v>-4.2125296663959574E-2</v>
      </c>
      <c r="I97" s="363"/>
      <c r="J97" s="363"/>
      <c r="K97" s="363"/>
      <c r="L97" s="362"/>
    </row>
    <row r="98" spans="1:12" x14ac:dyDescent="0.25">
      <c r="A98" s="362" t="s">
        <v>369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2"/>
        <v>-614.26960000000065</v>
      </c>
      <c r="G98" s="363">
        <f t="shared" si="3"/>
        <v>11499.269600000001</v>
      </c>
      <c r="H98" s="364">
        <f t="shared" si="4"/>
        <v>-5.3418140574771865E-2</v>
      </c>
      <c r="I98" s="363"/>
      <c r="J98" s="363"/>
      <c r="K98" s="363"/>
      <c r="L98" s="362"/>
    </row>
    <row r="99" spans="1:12" x14ac:dyDescent="0.25">
      <c r="A99" s="362" t="s">
        <v>384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2"/>
        <v>-998.47080000000028</v>
      </c>
      <c r="G99" s="363">
        <f t="shared" si="3"/>
        <v>14462.470799999999</v>
      </c>
      <c r="H99" s="364">
        <f t="shared" si="4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384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2"/>
        <v>-327.07079999999962</v>
      </c>
      <c r="G100" s="363">
        <f t="shared" si="3"/>
        <v>14462.470799999999</v>
      </c>
      <c r="H100" s="364">
        <f t="shared" si="4"/>
        <v>-2.2615139869461284E-2</v>
      </c>
      <c r="I100" s="363"/>
      <c r="J100" s="363"/>
      <c r="K100" s="363"/>
      <c r="L100" s="362"/>
    </row>
    <row r="101" spans="1:12" x14ac:dyDescent="0.25">
      <c r="A101" s="362" t="s">
        <v>438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2"/>
        <v>-105.65999999999804</v>
      </c>
      <c r="G101" s="363">
        <f t="shared" si="3"/>
        <v>14462.46</v>
      </c>
      <c r="H101" s="364">
        <f t="shared" si="4"/>
        <v>-7.3058110445939376E-3</v>
      </c>
      <c r="I101" s="363"/>
      <c r="J101" s="363"/>
      <c r="K101" s="363"/>
      <c r="L101" s="362"/>
    </row>
    <row r="102" spans="1:12" x14ac:dyDescent="0.25">
      <c r="A102" s="362" t="s">
        <v>440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2"/>
        <v>-24.939599999999871</v>
      </c>
      <c r="G102" s="363">
        <f t="shared" si="3"/>
        <v>11247.339599999999</v>
      </c>
      <c r="H102" s="364">
        <f t="shared" si="4"/>
        <v>-2.2173776988115368E-3</v>
      </c>
      <c r="I102" s="363"/>
      <c r="J102" s="363"/>
      <c r="K102" s="363"/>
      <c r="L102" s="362"/>
    </row>
    <row r="103" spans="1:12" x14ac:dyDescent="0.25">
      <c r="A103" s="362" t="s">
        <v>440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2"/>
        <v>159.86040000000116</v>
      </c>
      <c r="G103" s="363">
        <f t="shared" si="3"/>
        <v>11247.339599999999</v>
      </c>
      <c r="H103" s="364">
        <f t="shared" si="4"/>
        <v>1.4213174464830881E-2</v>
      </c>
      <c r="I103" s="363"/>
      <c r="J103" s="363"/>
      <c r="K103" s="363"/>
      <c r="L103" s="362"/>
    </row>
    <row r="104" spans="1:12" x14ac:dyDescent="0.25">
      <c r="A104" s="362" t="s">
        <v>469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2"/>
        <v>129.52199999999976</v>
      </c>
      <c r="G104" s="363">
        <f t="shared" si="3"/>
        <v>4751.4780000000001</v>
      </c>
      <c r="H104" s="364">
        <f t="shared" si="4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2"/>
        <v>32.322000000000344</v>
      </c>
      <c r="G105" s="363">
        <f t="shared" si="3"/>
        <v>4751.4780000000001</v>
      </c>
      <c r="H105" s="364">
        <f t="shared" si="4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2"/>
        <v>-42.078000000000202</v>
      </c>
      <c r="G106" s="363">
        <f t="shared" si="3"/>
        <v>4751.4780000000001</v>
      </c>
      <c r="H106" s="364">
        <f t="shared" si="4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2"/>
        <v>-73.800000000000239</v>
      </c>
      <c r="G107" s="363">
        <f t="shared" si="3"/>
        <v>4751.3999999999996</v>
      </c>
      <c r="H107" s="364">
        <f t="shared" si="4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095" priority="15">
      <formula>F57&gt;0</formula>
    </cfRule>
    <cfRule type="expression" dxfId="2094" priority="16">
      <formula>F57&lt;0</formula>
    </cfRule>
  </conditionalFormatting>
  <conditionalFormatting sqref="Q7">
    <cfRule type="expression" dxfId="2093" priority="13">
      <formula>Q7&gt;0</formula>
    </cfRule>
    <cfRule type="expression" dxfId="2092" priority="14">
      <formula>Q7&lt;0</formula>
    </cfRule>
  </conditionalFormatting>
  <conditionalFormatting sqref="Q8">
    <cfRule type="expression" dxfId="2091" priority="11">
      <formula>Q8&gt;0</formula>
    </cfRule>
    <cfRule type="expression" dxfId="2090" priority="12">
      <formula>Q8&lt;0</formula>
    </cfRule>
  </conditionalFormatting>
  <conditionalFormatting sqref="F25:F56">
    <cfRule type="expression" dxfId="2089" priority="9">
      <formula>F25&gt;0</formula>
    </cfRule>
    <cfRule type="expression" dxfId="2088" priority="10">
      <formula>F25&lt;0</formula>
    </cfRule>
  </conditionalFormatting>
  <conditionalFormatting sqref="H25:H56">
    <cfRule type="expression" dxfId="2087" priority="7">
      <formula>H25&gt;0</formula>
    </cfRule>
    <cfRule type="expression" dxfId="2086" priority="8">
      <formula>H25&lt;0</formula>
    </cfRule>
  </conditionalFormatting>
  <conditionalFormatting sqref="M58">
    <cfRule type="expression" dxfId="2085" priority="5">
      <formula>M58&gt;0</formula>
    </cfRule>
    <cfRule type="expression" dxfId="2084" priority="6">
      <formula>M58&lt;0</formula>
    </cfRule>
  </conditionalFormatting>
  <conditionalFormatting sqref="F84:F115">
    <cfRule type="expression" dxfId="2083" priority="3">
      <formula>F84&gt;0</formula>
    </cfRule>
    <cfRule type="expression" dxfId="2082" priority="4">
      <formula>F84&lt;0</formula>
    </cfRule>
  </conditionalFormatting>
  <conditionalFormatting sqref="H84:H115">
    <cfRule type="expression" dxfId="2081" priority="1">
      <formula>H84&gt;0</formula>
    </cfRule>
    <cfRule type="expression" dxfId="2080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251.21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251.21</v>
      </c>
      <c r="R4" s="495">
        <v>-2.3E-3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276.33100000000002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273.81890000000004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271.30680000000001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268.79470000000003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266.2826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263.77050000000003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261.25839999999999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258.74630000000002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256.23419999999999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253.72210000000001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251.21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248.6979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246.1858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243.6737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241.16159999999999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238.64949999999999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236.13739999999999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233.62530000000001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231.11320000000001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228.6011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226.089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79" priority="21">
      <formula>F47&gt;0</formula>
    </cfRule>
    <cfRule type="expression" dxfId="2078" priority="22">
      <formula>F47&lt;0</formula>
    </cfRule>
  </conditionalFormatting>
  <conditionalFormatting sqref="Q7">
    <cfRule type="expression" dxfId="2077" priority="19">
      <formula>Q7&gt;0</formula>
    </cfRule>
    <cfRule type="expression" dxfId="2076" priority="20">
      <formula>Q7&lt;0</formula>
    </cfRule>
  </conditionalFormatting>
  <conditionalFormatting sqref="Q8">
    <cfRule type="expression" dxfId="2075" priority="17">
      <formula>Q8&gt;0</formula>
    </cfRule>
    <cfRule type="expression" dxfId="2074" priority="18">
      <formula>Q8&lt;0</formula>
    </cfRule>
  </conditionalFormatting>
  <conditionalFormatting sqref="F25:F46">
    <cfRule type="expression" dxfId="2073" priority="15">
      <formula>F25&gt;0</formula>
    </cfRule>
    <cfRule type="expression" dxfId="2072" priority="16">
      <formula>F25&lt;0</formula>
    </cfRule>
  </conditionalFormatting>
  <conditionalFormatting sqref="H25:H46">
    <cfRule type="expression" dxfId="2071" priority="13">
      <formula>H25&gt;0</formula>
    </cfRule>
    <cfRule type="expression" dxfId="2070" priority="14">
      <formula>H25&lt;0</formula>
    </cfRule>
  </conditionalFormatting>
  <conditionalFormatting sqref="F89:F110">
    <cfRule type="expression" dxfId="2069" priority="11">
      <formula>F89&gt;0</formula>
    </cfRule>
    <cfRule type="expression" dxfId="2068" priority="12">
      <formula>F89&lt;0</formula>
    </cfRule>
  </conditionalFormatting>
  <conditionalFormatting sqref="H89:H110">
    <cfRule type="expression" dxfId="2067" priority="9">
      <formula>H89&gt;0</formula>
    </cfRule>
    <cfRule type="expression" dxfId="2066" priority="10">
      <formula>H89&lt;0</formula>
    </cfRule>
  </conditionalFormatting>
  <conditionalFormatting sqref="Q10">
    <cfRule type="expression" dxfId="2065" priority="7">
      <formula>Q10&gt;0</formula>
    </cfRule>
    <cfRule type="expression" dxfId="2064" priority="8">
      <formula>Q10&lt;0</formula>
    </cfRule>
  </conditionalFormatting>
  <conditionalFormatting sqref="J25:J38">
    <cfRule type="expression" dxfId="2063" priority="5">
      <formula>J25&gt;0</formula>
    </cfRule>
    <cfRule type="expression" dxfId="2062" priority="6">
      <formula>J25&lt;0</formula>
    </cfRule>
  </conditionalFormatting>
  <conditionalFormatting sqref="K25:K38">
    <cfRule type="expression" dxfId="2061" priority="3">
      <formula>K25&gt;0</formula>
    </cfRule>
    <cfRule type="expression" dxfId="2060" priority="4">
      <formula>K25&lt;0</formula>
    </cfRule>
  </conditionalFormatting>
  <conditionalFormatting sqref="L25:L38">
    <cfRule type="expression" dxfId="2059" priority="1">
      <formula>L25&gt;0</formula>
    </cfRule>
    <cfRule type="expression" dxfId="205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63"/>
  <sheetViews>
    <sheetView zoomScaleNormal="100" workbookViewId="0">
      <pane ySplit="1" topLeftCell="A52" activePane="bottomLeft" state="frozen"/>
      <selection pane="bottomLeft" activeCell="O69" sqref="O69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30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1700</v>
      </c>
      <c r="U2" s="121">
        <v>42804</v>
      </c>
      <c r="V2" s="846" t="s">
        <v>677</v>
      </c>
      <c r="W2" s="846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3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6.1518647058823088</v>
      </c>
      <c r="U3" s="121">
        <v>42866</v>
      </c>
      <c r="V3" s="846" t="s">
        <v>678</v>
      </c>
      <c r="W3" s="846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21.47</v>
      </c>
      <c r="R4" s="475">
        <v>2.29E-2</v>
      </c>
      <c r="U4" s="121">
        <v>43088</v>
      </c>
      <c r="V4" s="737" t="s">
        <v>779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733</v>
      </c>
      <c r="O5" s="11" t="s">
        <v>67</v>
      </c>
      <c r="Q5" s="3">
        <f>Q4*Q2</f>
        <v>36499</v>
      </c>
      <c r="U5" s="121">
        <v>43096</v>
      </c>
      <c r="V5" s="737" t="s">
        <v>784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10458.169999999925</v>
      </c>
      <c r="U6" s="121">
        <v>43103</v>
      </c>
      <c r="V6" s="737" t="s">
        <v>834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40656.401000001701</v>
      </c>
      <c r="R7">
        <v>700</v>
      </c>
      <c r="V7" s="737" t="s">
        <v>835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K90+M90-F90+Q2*Q4</f>
        <v>26040.830000000075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2.489998728267016</v>
      </c>
      <c r="U9" s="121">
        <v>43106</v>
      </c>
      <c r="V9" s="748" t="s">
        <v>855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9.3153237074988359E-3</v>
      </c>
      <c r="R11">
        <f>0.05</f>
        <v>0.05</v>
      </c>
      <c r="U11" s="121">
        <v>43117</v>
      </c>
      <c r="V11" s="737" t="s">
        <v>892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948</v>
      </c>
      <c r="Q12" s="1" t="s">
        <v>1127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975</v>
      </c>
      <c r="Q13" s="2">
        <f>Q4/0.63</f>
        <v>34.079365079365076</v>
      </c>
      <c r="U13" s="121">
        <v>43120</v>
      </c>
      <c r="V13" s="737" t="s">
        <v>898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1114</v>
      </c>
      <c r="Q14" s="736">
        <v>0.17199999999999999</v>
      </c>
      <c r="V14" s="737" t="s">
        <v>901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1042</v>
      </c>
      <c r="Q15" s="29">
        <v>43239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900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31">
        <v>43136</v>
      </c>
      <c r="V17" s="737" t="s">
        <v>899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31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31">
        <v>43139</v>
      </c>
      <c r="V19" s="737" t="s">
        <v>926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31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31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31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50" t="s">
        <v>78</v>
      </c>
      <c r="P23" s="850"/>
      <c r="V23" s="737" t="s">
        <v>949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26.193399999999997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25.978699999999996</v>
      </c>
      <c r="U25" s="121">
        <v>43161</v>
      </c>
      <c r="V25" s="737" t="s">
        <v>950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25.763999999999999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25.549299999999999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25.334599999999998</v>
      </c>
      <c r="U28" s="831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25.119899999999998</v>
      </c>
      <c r="V29" s="737" t="s">
        <v>1041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24.905199999999997</v>
      </c>
      <c r="V30" s="737" t="s">
        <v>1049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24.690499999999997</v>
      </c>
      <c r="V31" s="737" t="s">
        <v>1052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24.475799999999996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24.261099999999995</v>
      </c>
      <c r="U33" s="121">
        <v>43238</v>
      </c>
      <c r="V33" s="748" t="s">
        <v>1095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24.046400000000002</v>
      </c>
      <c r="V34" s="737" t="s">
        <v>1096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23.831700000000001</v>
      </c>
      <c r="V35" s="737" t="s">
        <v>1097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23.617000000000001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23.4023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23.1876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22.972899999999999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22.758199999999999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22.543499999999998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22.328800000000001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22.114100000000001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21.8994</v>
      </c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21.684699999999999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21.47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21.255299999999998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21.040599999999998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20.825899999999997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20.611199999999997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20.3965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20.181799999999999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19.967099999999999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19.752400000000002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19.537700000000001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19.323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19.1083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18.893599999999999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18.678899999999999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18.464199999999998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18.249499999999998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  <c r="G63" s="434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79" si="5">C64*D64+E64</f>
        <v>7760</v>
      </c>
      <c r="AA64" s="2"/>
      <c r="AD64" s="2"/>
      <c r="AG64" s="2"/>
      <c r="AI64" s="2"/>
    </row>
    <row r="65" spans="2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  <c r="AA65" s="2"/>
      <c r="AD65" s="2"/>
      <c r="AG65" s="2"/>
      <c r="AI65" s="2"/>
    </row>
    <row r="66" spans="2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  <c r="AA66" s="2"/>
      <c r="AD66" s="2"/>
      <c r="AG66" s="2"/>
      <c r="AI66" s="2"/>
    </row>
    <row r="67" spans="2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  <c r="AA67" s="2"/>
      <c r="AD67" s="2"/>
      <c r="AG67" s="2"/>
      <c r="AI67" s="2"/>
    </row>
    <row r="68" spans="2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  <c r="AA68" s="2"/>
      <c r="AD68" s="2"/>
      <c r="AG68" s="2"/>
      <c r="AI68" s="2"/>
    </row>
    <row r="69" spans="2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  <c r="AA69" s="2"/>
      <c r="AD69" s="2"/>
      <c r="AG69" s="2"/>
      <c r="AI69" s="2"/>
    </row>
    <row r="70" spans="2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  <c r="AA70" s="2"/>
      <c r="AD70" s="2"/>
      <c r="AG70" s="2"/>
      <c r="AI70" s="2"/>
    </row>
    <row r="71" spans="2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5"/>
        <v>3090</v>
      </c>
      <c r="G71" s="29"/>
      <c r="AA71" s="2"/>
      <c r="AD71" s="2"/>
      <c r="AG71" s="2"/>
      <c r="AI71" s="2"/>
    </row>
    <row r="72" spans="2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5"/>
        <v>3136</v>
      </c>
      <c r="G72" s="29"/>
      <c r="AA72" s="2"/>
      <c r="AD72" s="2"/>
      <c r="AG72" s="2"/>
      <c r="AI72" s="2"/>
    </row>
    <row r="73" spans="2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5"/>
        <v>3050</v>
      </c>
      <c r="G73" s="29"/>
      <c r="AA73" s="2"/>
      <c r="AD73" s="2"/>
      <c r="AG73" s="2"/>
      <c r="AI73" s="2"/>
    </row>
    <row r="74" spans="2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AA74" s="2"/>
      <c r="AD74" s="2"/>
      <c r="AG74" s="2"/>
      <c r="AI74" s="2"/>
    </row>
    <row r="75" spans="2:35" x14ac:dyDescent="0.25">
      <c r="B75" s="477">
        <v>43196</v>
      </c>
      <c r="C75" s="4">
        <v>400</v>
      </c>
      <c r="D75" s="231">
        <v>16.100000000000001</v>
      </c>
      <c r="E75" s="3">
        <v>0</v>
      </c>
      <c r="F75" s="3">
        <f t="shared" si="5"/>
        <v>6440.0000000000009</v>
      </c>
      <c r="G75" s="2"/>
      <c r="AA75" s="2"/>
      <c r="AD75" s="2"/>
      <c r="AG75" s="2"/>
      <c r="AI75" s="2"/>
    </row>
    <row r="76" spans="2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5"/>
        <v>5456.7</v>
      </c>
      <c r="G76" s="29"/>
      <c r="AA76" s="2"/>
      <c r="AD76" s="2"/>
      <c r="AG76" s="2"/>
      <c r="AI76" s="2"/>
    </row>
    <row r="77" spans="2:35" x14ac:dyDescent="0.25">
      <c r="B77" s="477">
        <v>43227</v>
      </c>
      <c r="C77" s="4">
        <v>300</v>
      </c>
      <c r="D77" s="231">
        <v>19.82</v>
      </c>
      <c r="E77" s="3">
        <v>0</v>
      </c>
      <c r="F77" s="3">
        <f t="shared" si="5"/>
        <v>5946</v>
      </c>
      <c r="G77" s="29"/>
      <c r="AA77" s="2"/>
      <c r="AD77" s="2"/>
      <c r="AG77" s="2"/>
      <c r="AI77" s="2"/>
    </row>
    <row r="78" spans="2:35" x14ac:dyDescent="0.25">
      <c r="B78" s="735">
        <v>43245</v>
      </c>
      <c r="C78" s="4">
        <v>500</v>
      </c>
      <c r="D78" s="231">
        <v>20.68</v>
      </c>
      <c r="E78" s="3">
        <v>0</v>
      </c>
      <c r="F78" s="3">
        <f t="shared" si="5"/>
        <v>10340</v>
      </c>
      <c r="G78" s="29"/>
      <c r="AA78" s="2"/>
      <c r="AD78" s="2"/>
      <c r="AG78" s="2"/>
      <c r="AI78" s="2"/>
    </row>
    <row r="79" spans="2:35" x14ac:dyDescent="0.25">
      <c r="B79" s="735">
        <v>43245</v>
      </c>
      <c r="C79" s="4">
        <v>500</v>
      </c>
      <c r="D79" s="78">
        <v>20.48</v>
      </c>
      <c r="E79" s="2">
        <v>0</v>
      </c>
      <c r="F79" s="2">
        <f t="shared" si="5"/>
        <v>10240</v>
      </c>
      <c r="G79" s="29"/>
      <c r="AA79" s="2"/>
      <c r="AD79" s="2"/>
      <c r="AG79" s="2"/>
      <c r="AI79" s="2"/>
    </row>
    <row r="80" spans="2:35" x14ac:dyDescent="0.25">
      <c r="G80" s="29"/>
      <c r="AA80" s="2"/>
      <c r="AD80" s="2"/>
      <c r="AG80" s="2"/>
      <c r="AI80" s="2"/>
    </row>
    <row r="81" spans="1:35" x14ac:dyDescent="0.25">
      <c r="G81" s="29"/>
      <c r="AA81" s="2"/>
      <c r="AD81" s="2"/>
      <c r="AG81" s="2"/>
      <c r="AI81" s="2"/>
    </row>
    <row r="82" spans="1:35" x14ac:dyDescent="0.25">
      <c r="G82" s="29"/>
      <c r="AA82" s="2"/>
      <c r="AD82" s="2"/>
      <c r="AG82" s="2"/>
      <c r="AI82" s="2"/>
    </row>
    <row r="83" spans="1:35" x14ac:dyDescent="0.25">
      <c r="G83" s="29"/>
      <c r="AA83" s="2"/>
      <c r="AD83" s="2"/>
      <c r="AG83" s="2"/>
      <c r="AI83" s="2"/>
    </row>
    <row r="84" spans="1:35" x14ac:dyDescent="0.25">
      <c r="G84" s="29"/>
      <c r="AA84" s="2"/>
      <c r="AD84" s="2"/>
      <c r="AG84" s="2"/>
      <c r="AI84" s="2"/>
    </row>
    <row r="85" spans="1:35" x14ac:dyDescent="0.25">
      <c r="G85" s="29"/>
      <c r="AA85" s="2"/>
      <c r="AD85" s="2"/>
      <c r="AG85" s="2"/>
      <c r="AI85" s="2"/>
    </row>
    <row r="86" spans="1:35" x14ac:dyDescent="0.25">
      <c r="G86" s="29"/>
      <c r="AA86" s="2"/>
      <c r="AD86" s="2"/>
      <c r="AG86" s="2"/>
      <c r="AI86" s="2"/>
    </row>
    <row r="87" spans="1:35" x14ac:dyDescent="0.25">
      <c r="G87" s="29"/>
      <c r="AA87" s="2"/>
      <c r="AD87" s="2"/>
      <c r="AG87" s="2"/>
      <c r="AI87" s="2"/>
    </row>
    <row r="88" spans="1:35" x14ac:dyDescent="0.25">
      <c r="G88" s="29"/>
      <c r="AA88" s="2"/>
      <c r="AD88" s="2"/>
      <c r="AG88" s="2"/>
      <c r="AI88" s="2"/>
    </row>
    <row r="89" spans="1:35" x14ac:dyDescent="0.25">
      <c r="G89" s="29"/>
    </row>
    <row r="90" spans="1:35" x14ac:dyDescent="0.25">
      <c r="A90" s="31" t="s">
        <v>81</v>
      </c>
      <c r="B90" s="478"/>
      <c r="C90" s="71">
        <f>SUM(C2:C89)</f>
        <v>24300</v>
      </c>
      <c r="D90" s="18"/>
      <c r="E90" s="18"/>
      <c r="F90" s="18">
        <f>SUM(F2:F89)</f>
        <v>381410.55</v>
      </c>
      <c r="G90" s="14"/>
      <c r="H90" s="71">
        <f>SUM(H2:H89)</f>
        <v>22600</v>
      </c>
      <c r="I90" s="79"/>
      <c r="J90" s="18"/>
      <c r="K90" s="18">
        <f>SUM(K2:K89)</f>
        <v>369239.13000000006</v>
      </c>
      <c r="L90" s="14"/>
      <c r="M90" s="18">
        <f>SUM(M2:M89)</f>
        <v>1713.25</v>
      </c>
    </row>
    <row r="91" spans="1:35" ht="15.75" thickBot="1" x14ac:dyDescent="0.3">
      <c r="A91" s="341" t="s">
        <v>193</v>
      </c>
      <c r="B91" s="479"/>
      <c r="C91" s="343">
        <f>SumByColor($A$91, C2:C89)</f>
        <v>22300</v>
      </c>
      <c r="D91" s="343"/>
      <c r="E91" s="343"/>
      <c r="F91" s="344">
        <f>SumByColor($A$91, F2:F89)</f>
        <v>342988</v>
      </c>
      <c r="G91" s="343"/>
      <c r="H91" s="343">
        <f>SumByColor($A$91, H2:H89)</f>
        <v>22300</v>
      </c>
      <c r="I91" s="343"/>
      <c r="J91" s="344"/>
      <c r="K91" s="344">
        <f>SumByColor($A$91, K2:K89)</f>
        <v>362922</v>
      </c>
      <c r="L91" s="343"/>
      <c r="M91" s="344">
        <f>SumByColor($A$91, M2:M89)</f>
        <v>1613</v>
      </c>
    </row>
    <row r="94" spans="1:35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498</v>
      </c>
      <c r="K94" s="220" t="s">
        <v>150</v>
      </c>
      <c r="L94" s="220" t="s">
        <v>925</v>
      </c>
    </row>
    <row r="95" spans="1:35" x14ac:dyDescent="0.25">
      <c r="A95" t="s">
        <v>430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35" x14ac:dyDescent="0.25">
      <c r="A96" t="s">
        <v>442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4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766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773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8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8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8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9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9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9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2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92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801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801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3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3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3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92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944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3">
        <v>5000</v>
      </c>
      <c r="D196" s="814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3">
        <v>5000</v>
      </c>
      <c r="D202" s="814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3">
        <v>5000</v>
      </c>
      <c r="D206" s="814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35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10">
        <v>2000</v>
      </c>
      <c r="D221" s="233">
        <v>9.0908999999999995</v>
      </c>
      <c r="E221" s="39">
        <v>21.42</v>
      </c>
      <c r="F221" s="39">
        <f t="shared" ref="F221:F223" si="129">C221*(E221-D221)</f>
        <v>24658.200000000004</v>
      </c>
      <c r="G221" s="39">
        <f t="shared" ref="G221:G223" si="130">D221*C221</f>
        <v>18181.8</v>
      </c>
      <c r="H221" s="222">
        <f t="shared" ref="H221:H223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A222">
        <v>400</v>
      </c>
      <c r="B222" s="150">
        <v>43241</v>
      </c>
      <c r="C222" s="10">
        <v>1000</v>
      </c>
      <c r="D222" s="233">
        <v>-3.7</v>
      </c>
      <c r="E222" s="39">
        <v>21.9</v>
      </c>
      <c r="F222" s="39">
        <f t="shared" si="129"/>
        <v>25599.999999999996</v>
      </c>
      <c r="G222" s="39">
        <f t="shared" si="130"/>
        <v>-3700</v>
      </c>
      <c r="H222" s="222">
        <f t="shared" si="131"/>
        <v>-6.9189189189189184</v>
      </c>
      <c r="I222" s="39"/>
      <c r="J222" s="39"/>
      <c r="K222" s="39">
        <v>40213</v>
      </c>
      <c r="L222" s="39"/>
    </row>
    <row r="223" spans="1:16" x14ac:dyDescent="0.25">
      <c r="A223">
        <v>400</v>
      </c>
      <c r="B223" s="150">
        <v>43245</v>
      </c>
      <c r="C223" s="10">
        <v>2000</v>
      </c>
      <c r="D223" s="233">
        <v>8.4410000000000007</v>
      </c>
      <c r="E223" s="39">
        <v>20.329999999999998</v>
      </c>
      <c r="F223" s="39">
        <f t="shared" si="129"/>
        <v>23777.999999999996</v>
      </c>
      <c r="G223" s="39">
        <f t="shared" si="130"/>
        <v>16882</v>
      </c>
      <c r="H223" s="222">
        <f t="shared" si="131"/>
        <v>1.4084824072977131</v>
      </c>
      <c r="I223" s="39"/>
      <c r="J223" s="39"/>
      <c r="K223" s="39">
        <v>38393</v>
      </c>
      <c r="L223" s="39"/>
    </row>
    <row r="224" spans="1:16" x14ac:dyDescent="0.25">
      <c r="A224">
        <v>700</v>
      </c>
      <c r="B224" s="150">
        <v>43250</v>
      </c>
      <c r="C224" s="10">
        <v>2000</v>
      </c>
      <c r="D224" s="233">
        <v>8.4410000000000007</v>
      </c>
      <c r="E224" s="39">
        <v>21.53</v>
      </c>
      <c r="F224" s="39">
        <f t="shared" ref="F224" si="132">C224*(E224-D224)</f>
        <v>26178</v>
      </c>
      <c r="G224" s="39">
        <f t="shared" ref="G224:G225" si="133">D224*C224</f>
        <v>16882</v>
      </c>
      <c r="H224" s="222">
        <f t="shared" ref="H224" si="134">(E224-D224)/D224</f>
        <v>1.5506456580973818</v>
      </c>
      <c r="I224" s="39"/>
      <c r="J224" s="39"/>
      <c r="K224" s="39">
        <v>40793</v>
      </c>
      <c r="L224" s="39"/>
    </row>
    <row r="225" spans="1:17" x14ac:dyDescent="0.25">
      <c r="A225">
        <v>700</v>
      </c>
      <c r="B225" s="150">
        <v>43262</v>
      </c>
      <c r="C225" s="10">
        <v>1700</v>
      </c>
      <c r="D225" s="233">
        <v>6.1519000000000004</v>
      </c>
      <c r="E225" s="39">
        <v>21.47</v>
      </c>
      <c r="F225" s="39">
        <f t="shared" ref="F225" si="135">C225*(E225-D225)</f>
        <v>26040.769999999997</v>
      </c>
      <c r="G225" s="39">
        <f t="shared" ref="G225" si="136">D225*C225</f>
        <v>10458.230000000001</v>
      </c>
      <c r="H225" s="222">
        <f t="shared" ref="H225" si="137">(E225-D225)/D225</f>
        <v>2.4899787057656977</v>
      </c>
      <c r="I225" s="39"/>
      <c r="J225" s="39"/>
      <c r="K225" s="39">
        <v>40656</v>
      </c>
      <c r="L225" s="39"/>
    </row>
    <row r="226" spans="1:17" x14ac:dyDescent="0.25">
      <c r="B226" s="150"/>
      <c r="C226" s="10"/>
      <c r="D226" s="233"/>
      <c r="E226" s="39"/>
      <c r="F226" s="39"/>
      <c r="G226" s="39"/>
      <c r="H226" s="222"/>
      <c r="I226" s="39"/>
      <c r="J226" s="39"/>
      <c r="K226" s="39"/>
      <c r="L226" s="39"/>
    </row>
    <row r="227" spans="1:17" ht="15" customHeight="1" x14ac:dyDescent="0.25">
      <c r="B227" s="150"/>
      <c r="C227" s="10"/>
      <c r="D227" s="233"/>
      <c r="E227" s="39"/>
      <c r="F227" s="39"/>
      <c r="G227" s="39"/>
      <c r="H227" s="222"/>
      <c r="I227" s="39"/>
      <c r="J227" s="39"/>
      <c r="K227" s="39"/>
      <c r="L227" s="39"/>
    </row>
    <row r="228" spans="1:17" ht="15" customHeight="1" x14ac:dyDescent="0.25">
      <c r="B228" s="150"/>
      <c r="C228" s="10"/>
      <c r="D228" s="233"/>
      <c r="E228" s="39"/>
      <c r="F228" s="39"/>
      <c r="G228" s="39"/>
      <c r="H228" s="222"/>
      <c r="I228" s="39"/>
      <c r="J228" s="39"/>
      <c r="K228" s="39"/>
      <c r="L228" s="39"/>
    </row>
    <row r="229" spans="1:17" x14ac:dyDescent="0.25">
      <c r="B229" s="150"/>
      <c r="C229" s="10"/>
      <c r="D229" s="233"/>
      <c r="E229" s="39"/>
      <c r="F229" s="39"/>
      <c r="G229" s="39"/>
      <c r="H229" s="222"/>
      <c r="I229" s="39"/>
      <c r="J229" s="39"/>
      <c r="K229" s="39"/>
      <c r="L229" s="39"/>
      <c r="P229" s="1"/>
    </row>
    <row r="230" spans="1:17" x14ac:dyDescent="0.25">
      <c r="B230" s="150"/>
      <c r="C230" s="10"/>
      <c r="D230" s="233"/>
      <c r="E230" s="39"/>
      <c r="F230" s="39"/>
      <c r="G230" s="39"/>
      <c r="H230" s="222"/>
      <c r="I230" s="39"/>
      <c r="J230" s="39"/>
      <c r="K230" s="39"/>
      <c r="L230" s="39"/>
      <c r="Q230" s="70"/>
    </row>
    <row r="231" spans="1:17" x14ac:dyDescent="0.25">
      <c r="B231" s="150"/>
      <c r="C231" s="10"/>
      <c r="D231" s="233"/>
      <c r="E231" s="39"/>
      <c r="F231" s="39"/>
      <c r="G231" s="39"/>
      <c r="H231" s="222"/>
      <c r="I231" s="39"/>
      <c r="J231" s="39"/>
      <c r="K231" s="39"/>
      <c r="L231" s="39"/>
      <c r="P231" s="1"/>
    </row>
    <row r="232" spans="1:17" x14ac:dyDescent="0.25">
      <c r="B232" s="150"/>
      <c r="C232" s="10"/>
      <c r="D232" s="233"/>
      <c r="E232" s="39"/>
      <c r="F232" s="39"/>
      <c r="G232" s="39"/>
      <c r="H232" s="222"/>
      <c r="I232" s="39"/>
      <c r="J232" s="39"/>
      <c r="K232" s="39"/>
      <c r="L232" s="39"/>
      <c r="P232" s="1"/>
      <c r="Q232" s="70"/>
    </row>
    <row r="233" spans="1:17" x14ac:dyDescent="0.25">
      <c r="B233" s="150"/>
      <c r="C233" s="10"/>
      <c r="D233" s="233"/>
      <c r="E233" s="39"/>
      <c r="F233" s="39"/>
      <c r="G233" s="39"/>
      <c r="H233" s="222"/>
      <c r="I233" s="39"/>
      <c r="J233" s="39"/>
      <c r="K233" s="39"/>
      <c r="L233" s="39"/>
      <c r="P233" s="1"/>
    </row>
    <row r="234" spans="1:17" x14ac:dyDescent="0.25">
      <c r="B234" s="150"/>
      <c r="C234" s="10"/>
      <c r="D234" s="233"/>
      <c r="E234" s="39"/>
      <c r="F234" s="39"/>
      <c r="G234" s="39"/>
      <c r="H234" s="222"/>
      <c r="I234" s="39"/>
      <c r="J234" s="39"/>
      <c r="K234" s="39"/>
      <c r="L234" s="39"/>
      <c r="P234" s="1"/>
      <c r="Q234" s="70"/>
    </row>
    <row r="235" spans="1:17" x14ac:dyDescent="0.25">
      <c r="B235" s="150"/>
      <c r="C235" s="10"/>
      <c r="D235" s="233"/>
      <c r="E235" s="39"/>
      <c r="F235" s="39"/>
      <c r="G235" s="39"/>
      <c r="H235" s="222"/>
      <c r="I235" s="39"/>
      <c r="J235" s="39"/>
      <c r="K235" s="39"/>
      <c r="L235" s="39"/>
      <c r="Q235" s="70"/>
    </row>
    <row r="236" spans="1:17" x14ac:dyDescent="0.25">
      <c r="B236" s="150"/>
      <c r="C236" s="10"/>
      <c r="D236" s="233"/>
      <c r="E236" s="39"/>
      <c r="F236" s="39"/>
      <c r="G236" s="39"/>
      <c r="H236" s="222"/>
      <c r="I236" s="39"/>
      <c r="J236" s="39"/>
      <c r="K236" s="39"/>
      <c r="L236" s="39"/>
      <c r="P236" s="1"/>
    </row>
    <row r="238" spans="1:17" x14ac:dyDescent="0.25">
      <c r="B238" s="618" t="s">
        <v>113</v>
      </c>
      <c r="C238" s="484" t="s">
        <v>146</v>
      </c>
      <c r="D238" s="619" t="s">
        <v>145</v>
      </c>
      <c r="E238" s="486" t="s">
        <v>147</v>
      </c>
      <c r="F238" s="487" t="s">
        <v>65</v>
      </c>
      <c r="G238" s="488" t="s">
        <v>151</v>
      </c>
      <c r="H238" s="487" t="s">
        <v>88</v>
      </c>
      <c r="I238" s="488" t="s">
        <v>154</v>
      </c>
    </row>
    <row r="239" spans="1:17" x14ac:dyDescent="0.25">
      <c r="B239" s="620">
        <v>42305</v>
      </c>
      <c r="C239" s="362">
        <v>2000</v>
      </c>
      <c r="D239" s="621">
        <v>34.06</v>
      </c>
      <c r="E239" s="363">
        <v>17.68</v>
      </c>
      <c r="F239" s="363">
        <v>-32767.45</v>
      </c>
      <c r="G239" s="363">
        <f t="shared" ref="G239:G245" si="138">IF(C239=0, 0,D239*C239)</f>
        <v>68120</v>
      </c>
      <c r="H239" s="365">
        <f t="shared" ref="H239:H245" si="139">IF(C239=0, D239, (E239-D239)/D239)</f>
        <v>-0.48091603053435117</v>
      </c>
      <c r="I239" s="363"/>
    </row>
    <row r="240" spans="1:17" x14ac:dyDescent="0.25">
      <c r="B240" s="620">
        <v>42307</v>
      </c>
      <c r="C240" s="362">
        <v>0</v>
      </c>
      <c r="D240" s="621" t="s">
        <v>128</v>
      </c>
      <c r="E240" s="363">
        <v>17.55</v>
      </c>
      <c r="F240" s="363">
        <v>-30722.2</v>
      </c>
      <c r="G240" s="363">
        <f t="shared" si="138"/>
        <v>0</v>
      </c>
      <c r="H240" s="365" t="str">
        <f t="shared" si="139"/>
        <v>N/A</v>
      </c>
      <c r="I240" s="363"/>
    </row>
    <row r="241" spans="2:9" x14ac:dyDescent="0.25">
      <c r="B241" s="620">
        <v>42310</v>
      </c>
      <c r="C241" s="362">
        <v>0</v>
      </c>
      <c r="D241" s="621" t="s">
        <v>128</v>
      </c>
      <c r="E241" s="363">
        <v>19.010000000000002</v>
      </c>
      <c r="F241" s="363">
        <v>-30693.25</v>
      </c>
      <c r="G241" s="363">
        <f t="shared" si="138"/>
        <v>0</v>
      </c>
      <c r="H241" s="365" t="str">
        <f t="shared" si="139"/>
        <v>N/A</v>
      </c>
      <c r="I241" s="363"/>
    </row>
    <row r="242" spans="2:9" ht="15" customHeight="1" x14ac:dyDescent="0.25">
      <c r="B242" s="620">
        <v>42314</v>
      </c>
      <c r="C242" s="362">
        <v>2500</v>
      </c>
      <c r="D242" s="621">
        <v>30.24</v>
      </c>
      <c r="E242" s="363">
        <v>18.29</v>
      </c>
      <c r="F242" s="363">
        <v>-29878.25</v>
      </c>
      <c r="G242" s="363">
        <f t="shared" si="138"/>
        <v>75600</v>
      </c>
      <c r="H242" s="365">
        <f t="shared" si="139"/>
        <v>-0.39517195767195767</v>
      </c>
      <c r="I242" s="363"/>
    </row>
    <row r="243" spans="2:9" ht="18.75" customHeight="1" x14ac:dyDescent="0.25">
      <c r="B243" s="620">
        <v>42318</v>
      </c>
      <c r="C243" s="362">
        <v>0</v>
      </c>
      <c r="D243" s="621" t="s">
        <v>128</v>
      </c>
      <c r="E243" s="363">
        <v>18.78</v>
      </c>
      <c r="F243" s="363">
        <v>-28604.09</v>
      </c>
      <c r="G243" s="363">
        <f t="shared" si="138"/>
        <v>0</v>
      </c>
      <c r="H243" s="365" t="str">
        <f t="shared" si="139"/>
        <v>N/A</v>
      </c>
      <c r="I243" s="363"/>
    </row>
    <row r="244" spans="2:9" x14ac:dyDescent="0.25">
      <c r="B244" s="620">
        <v>42328</v>
      </c>
      <c r="C244" s="362">
        <v>3078</v>
      </c>
      <c r="D244" s="621">
        <v>26.76</v>
      </c>
      <c r="E244" s="363">
        <v>17.440000000000001</v>
      </c>
      <c r="F244" s="363">
        <v>-28696.448999999906</v>
      </c>
      <c r="G244" s="363">
        <f t="shared" si="138"/>
        <v>82367.28</v>
      </c>
      <c r="H244" s="365">
        <f t="shared" si="139"/>
        <v>-0.34828101644245141</v>
      </c>
      <c r="I244" s="363"/>
    </row>
    <row r="245" spans="2:9" x14ac:dyDescent="0.25">
      <c r="B245" s="620">
        <v>42331</v>
      </c>
      <c r="C245" s="362">
        <v>0</v>
      </c>
      <c r="D245" s="621" t="s">
        <v>128</v>
      </c>
      <c r="E245" s="363">
        <v>17.53</v>
      </c>
      <c r="F245" s="363">
        <v>-28051.068999999901</v>
      </c>
      <c r="G245" s="363">
        <f t="shared" si="138"/>
        <v>0</v>
      </c>
      <c r="H245" s="365" t="str">
        <f t="shared" si="139"/>
        <v>N/A</v>
      </c>
      <c r="I245" s="363"/>
    </row>
    <row r="246" spans="2:9" x14ac:dyDescent="0.25">
      <c r="B246" s="620">
        <v>42335</v>
      </c>
      <c r="C246" s="362">
        <v>3078</v>
      </c>
      <c r="D246" s="621">
        <v>26.85</v>
      </c>
      <c r="E246" s="363">
        <v>17.73</v>
      </c>
      <c r="F246" s="363">
        <f>C246*(E246-D246)</f>
        <v>-28071.360000000004</v>
      </c>
      <c r="G246" s="363">
        <f>D246*C246</f>
        <v>82644.3</v>
      </c>
      <c r="H246" s="364">
        <f>(E246-D246)/D246</f>
        <v>-0.33966480446927377</v>
      </c>
      <c r="I246" s="363"/>
    </row>
    <row r="247" spans="2:9" x14ac:dyDescent="0.25">
      <c r="B247" s="620">
        <v>42335</v>
      </c>
      <c r="C247" s="362">
        <v>3578</v>
      </c>
      <c r="D247" s="621">
        <v>25.55</v>
      </c>
      <c r="E247" s="363">
        <v>17.440000000000001</v>
      </c>
      <c r="F247" s="363">
        <f t="shared" ref="F247:F278" si="140">C247*(E247-D247)</f>
        <v>-29017.579999999998</v>
      </c>
      <c r="G247" s="363">
        <f t="shared" ref="G247:G276" si="141">D247*C247</f>
        <v>91417.900000000009</v>
      </c>
      <c r="H247" s="364">
        <f t="shared" ref="H247:H276" si="142">(E247-D247)/D247</f>
        <v>-0.31741682974559682</v>
      </c>
      <c r="I247" s="363"/>
    </row>
    <row r="248" spans="2:9" x14ac:dyDescent="0.25">
      <c r="B248" s="620">
        <v>42340</v>
      </c>
      <c r="C248" s="362">
        <v>4178</v>
      </c>
      <c r="D248" s="621">
        <v>24.29</v>
      </c>
      <c r="E248" s="363">
        <v>16.670000000000002</v>
      </c>
      <c r="F248" s="363">
        <f t="shared" si="140"/>
        <v>-31836.35999999999</v>
      </c>
      <c r="G248" s="363">
        <f t="shared" si="141"/>
        <v>101483.62</v>
      </c>
      <c r="H248" s="364">
        <f t="shared" si="142"/>
        <v>-0.31370934540963352</v>
      </c>
      <c r="I248" s="363"/>
    </row>
    <row r="249" spans="2:9" x14ac:dyDescent="0.25">
      <c r="B249" s="620">
        <v>42342</v>
      </c>
      <c r="C249" s="362">
        <v>4678</v>
      </c>
      <c r="D249" s="621">
        <v>23.39</v>
      </c>
      <c r="E249" s="363">
        <v>16.12</v>
      </c>
      <c r="F249" s="363">
        <f t="shared" si="140"/>
        <v>-34009.06</v>
      </c>
      <c r="G249" s="363">
        <f t="shared" si="141"/>
        <v>109418.42</v>
      </c>
      <c r="H249" s="364">
        <f t="shared" si="142"/>
        <v>-0.31081658828559211</v>
      </c>
      <c r="I249" s="363"/>
    </row>
    <row r="250" spans="2:9" x14ac:dyDescent="0.25">
      <c r="B250" s="620">
        <v>42342</v>
      </c>
      <c r="C250" s="362">
        <v>4178</v>
      </c>
      <c r="D250" s="621">
        <v>24.26</v>
      </c>
      <c r="E250" s="363">
        <v>16.12</v>
      </c>
      <c r="F250" s="363">
        <f t="shared" si="140"/>
        <v>-34008.920000000006</v>
      </c>
      <c r="G250" s="363">
        <f t="shared" si="141"/>
        <v>101358.28000000001</v>
      </c>
      <c r="H250" s="364">
        <f t="shared" si="142"/>
        <v>-0.33553173948887055</v>
      </c>
      <c r="I250" s="363"/>
    </row>
    <row r="251" spans="2:9" x14ac:dyDescent="0.25">
      <c r="B251" s="620">
        <v>42345</v>
      </c>
      <c r="C251" s="362">
        <v>4678</v>
      </c>
      <c r="D251" s="621">
        <v>23.24</v>
      </c>
      <c r="E251" s="363">
        <v>14.78</v>
      </c>
      <c r="F251" s="363">
        <f t="shared" si="140"/>
        <v>-39575.879999999997</v>
      </c>
      <c r="G251" s="363">
        <f t="shared" si="141"/>
        <v>108716.71999999999</v>
      </c>
      <c r="H251" s="364">
        <f t="shared" si="142"/>
        <v>-0.36402753872633387</v>
      </c>
      <c r="I251" s="363"/>
    </row>
    <row r="252" spans="2:9" x14ac:dyDescent="0.25">
      <c r="B252" s="620">
        <v>42347</v>
      </c>
      <c r="C252" s="362">
        <v>4778</v>
      </c>
      <c r="D252" s="621">
        <v>23.06</v>
      </c>
      <c r="E252" s="363">
        <v>14.92</v>
      </c>
      <c r="F252" s="363">
        <f t="shared" si="140"/>
        <v>-38892.919999999991</v>
      </c>
      <c r="G252" s="363">
        <f t="shared" si="141"/>
        <v>110180.68</v>
      </c>
      <c r="H252" s="364">
        <f t="shared" si="142"/>
        <v>-0.3529921942758022</v>
      </c>
      <c r="I252" s="363"/>
    </row>
    <row r="253" spans="2:9" x14ac:dyDescent="0.25">
      <c r="B253" s="620">
        <v>42348</v>
      </c>
      <c r="C253" s="362">
        <v>4178</v>
      </c>
      <c r="D253" s="621">
        <v>24.23</v>
      </c>
      <c r="E253" s="363">
        <v>14.74</v>
      </c>
      <c r="F253" s="363">
        <f t="shared" si="140"/>
        <v>-39649.22</v>
      </c>
      <c r="G253" s="363">
        <f t="shared" si="141"/>
        <v>101232.94</v>
      </c>
      <c r="H253" s="364">
        <f t="shared" si="142"/>
        <v>-0.39166322740404458</v>
      </c>
      <c r="I253" s="363"/>
    </row>
    <row r="254" spans="2:9" x14ac:dyDescent="0.25">
      <c r="B254" s="620">
        <v>42349</v>
      </c>
      <c r="C254" s="362">
        <v>3678</v>
      </c>
      <c r="D254" s="621">
        <v>25.57</v>
      </c>
      <c r="E254" s="363">
        <v>14.34</v>
      </c>
      <c r="F254" s="363">
        <f t="shared" si="140"/>
        <v>-41303.94</v>
      </c>
      <c r="G254" s="363">
        <f t="shared" si="141"/>
        <v>94046.46</v>
      </c>
      <c r="H254" s="364">
        <f t="shared" si="142"/>
        <v>-0.43918654673445445</v>
      </c>
      <c r="I254" s="363"/>
    </row>
    <row r="255" spans="2:9" x14ac:dyDescent="0.25">
      <c r="B255" s="620">
        <v>42352</v>
      </c>
      <c r="C255" s="362">
        <v>4178</v>
      </c>
      <c r="D255" s="621">
        <v>24.18</v>
      </c>
      <c r="E255" s="363">
        <v>13.96</v>
      </c>
      <c r="F255" s="363">
        <f t="shared" si="140"/>
        <v>-42699.159999999996</v>
      </c>
      <c r="G255" s="363">
        <f t="shared" si="141"/>
        <v>101024.04</v>
      </c>
      <c r="H255" s="364">
        <f t="shared" si="142"/>
        <v>-0.42266335814722905</v>
      </c>
      <c r="I255" s="363"/>
    </row>
    <row r="256" spans="2:9" x14ac:dyDescent="0.25">
      <c r="B256" s="620">
        <v>42355</v>
      </c>
      <c r="C256" s="362">
        <v>4678</v>
      </c>
      <c r="D256" s="621">
        <v>22.98</v>
      </c>
      <c r="E256" s="363">
        <v>12.78</v>
      </c>
      <c r="F256" s="363">
        <f t="shared" si="140"/>
        <v>-47715.600000000006</v>
      </c>
      <c r="G256" s="363">
        <f t="shared" si="141"/>
        <v>107500.44</v>
      </c>
      <c r="H256" s="364">
        <f t="shared" si="142"/>
        <v>-0.44386422976501311</v>
      </c>
      <c r="I256" s="363"/>
    </row>
    <row r="257" spans="2:9" x14ac:dyDescent="0.25">
      <c r="B257" s="620">
        <v>42356</v>
      </c>
      <c r="C257" s="362">
        <v>5178</v>
      </c>
      <c r="D257" s="621">
        <v>21.99</v>
      </c>
      <c r="E257" s="363">
        <v>12.95</v>
      </c>
      <c r="F257" s="363">
        <f t="shared" si="140"/>
        <v>-46809.119999999995</v>
      </c>
      <c r="G257" s="363">
        <f t="shared" si="141"/>
        <v>113864.21999999999</v>
      </c>
      <c r="H257" s="364">
        <f t="shared" si="142"/>
        <v>-0.41109595270577537</v>
      </c>
      <c r="I257" s="363"/>
    </row>
    <row r="258" spans="2:9" x14ac:dyDescent="0.25">
      <c r="B258" s="620">
        <v>42356</v>
      </c>
      <c r="C258" s="362">
        <v>6178</v>
      </c>
      <c r="D258" s="621">
        <v>20.48</v>
      </c>
      <c r="E258" s="363">
        <v>12.76</v>
      </c>
      <c r="F258" s="363">
        <f t="shared" si="140"/>
        <v>-47694.16</v>
      </c>
      <c r="G258" s="363">
        <f t="shared" si="141"/>
        <v>126525.44</v>
      </c>
      <c r="H258" s="364">
        <f t="shared" si="142"/>
        <v>-0.376953125</v>
      </c>
      <c r="I258" s="363"/>
    </row>
    <row r="259" spans="2:9" x14ac:dyDescent="0.25">
      <c r="B259" s="620">
        <v>42356</v>
      </c>
      <c r="C259" s="362">
        <v>6400</v>
      </c>
      <c r="D259" s="621">
        <v>20.2</v>
      </c>
      <c r="E259" s="363">
        <v>12.68</v>
      </c>
      <c r="F259" s="363">
        <f t="shared" si="140"/>
        <v>-48128</v>
      </c>
      <c r="G259" s="363">
        <f t="shared" si="141"/>
        <v>129280</v>
      </c>
      <c r="H259" s="364">
        <f t="shared" si="142"/>
        <v>-0.37227722772277227</v>
      </c>
      <c r="I259" s="363"/>
    </row>
    <row r="260" spans="2:9" x14ac:dyDescent="0.25">
      <c r="B260" s="620">
        <v>42359</v>
      </c>
      <c r="C260" s="362">
        <v>5178</v>
      </c>
      <c r="D260" s="621">
        <v>21.96</v>
      </c>
      <c r="E260" s="363">
        <v>12.66</v>
      </c>
      <c r="F260" s="363">
        <f t="shared" si="140"/>
        <v>-48155.4</v>
      </c>
      <c r="G260" s="363">
        <f t="shared" si="141"/>
        <v>113708.88</v>
      </c>
      <c r="H260" s="364">
        <f t="shared" si="142"/>
        <v>-0.42349726775956287</v>
      </c>
      <c r="I260" s="363"/>
    </row>
    <row r="261" spans="2:9" x14ac:dyDescent="0.25">
      <c r="B261" s="620">
        <v>42361</v>
      </c>
      <c r="C261" s="362">
        <v>4178</v>
      </c>
      <c r="D261" s="621">
        <v>24.07</v>
      </c>
      <c r="E261" s="363">
        <v>13.96</v>
      </c>
      <c r="F261" s="363">
        <f t="shared" si="140"/>
        <v>-42239.579999999994</v>
      </c>
      <c r="G261" s="363">
        <f t="shared" si="141"/>
        <v>100564.46</v>
      </c>
      <c r="H261" s="364">
        <f t="shared" si="142"/>
        <v>-0.42002492729538843</v>
      </c>
      <c r="I261" s="363"/>
    </row>
    <row r="262" spans="2:9" x14ac:dyDescent="0.25">
      <c r="B262" s="620">
        <v>42361</v>
      </c>
      <c r="C262" s="362">
        <v>4178</v>
      </c>
      <c r="D262" s="621">
        <v>24.03</v>
      </c>
      <c r="E262" s="363">
        <v>13.96</v>
      </c>
      <c r="F262" s="363">
        <f t="shared" si="140"/>
        <v>-42072.46</v>
      </c>
      <c r="G262" s="363">
        <f t="shared" si="141"/>
        <v>100397.34000000001</v>
      </c>
      <c r="H262" s="364">
        <f t="shared" si="142"/>
        <v>-0.41905950894714938</v>
      </c>
      <c r="I262" s="363"/>
    </row>
    <row r="263" spans="2:9" x14ac:dyDescent="0.25">
      <c r="B263" s="620">
        <v>42366</v>
      </c>
      <c r="C263" s="383">
        <v>6678</v>
      </c>
      <c r="D263" s="622">
        <v>19.91</v>
      </c>
      <c r="E263" s="363">
        <v>13.09</v>
      </c>
      <c r="F263" s="363">
        <f t="shared" si="140"/>
        <v>-45543.96</v>
      </c>
      <c r="G263" s="363">
        <f t="shared" si="141"/>
        <v>132958.98000000001</v>
      </c>
      <c r="H263" s="364">
        <f t="shared" si="142"/>
        <v>-0.34254143646408841</v>
      </c>
      <c r="I263" s="363"/>
    </row>
    <row r="264" spans="2:9" x14ac:dyDescent="0.25">
      <c r="B264" s="620">
        <v>42367</v>
      </c>
      <c r="C264" s="383">
        <v>8678</v>
      </c>
      <c r="D264" s="622">
        <v>18.32</v>
      </c>
      <c r="E264" s="363">
        <v>13.03</v>
      </c>
      <c r="F264" s="363">
        <f t="shared" si="140"/>
        <v>-45906.62000000001</v>
      </c>
      <c r="G264" s="363">
        <f t="shared" si="141"/>
        <v>158980.96</v>
      </c>
      <c r="H264" s="364">
        <f t="shared" si="142"/>
        <v>-0.28875545851528389</v>
      </c>
      <c r="I264" s="363"/>
    </row>
    <row r="265" spans="2:9" x14ac:dyDescent="0.25">
      <c r="B265" s="620">
        <v>42368</v>
      </c>
      <c r="C265" s="362">
        <v>9678</v>
      </c>
      <c r="D265" s="621">
        <v>17.73</v>
      </c>
      <c r="E265" s="363">
        <v>12.38</v>
      </c>
      <c r="F265" s="363">
        <f t="shared" si="140"/>
        <v>-51777.299999999996</v>
      </c>
      <c r="G265" s="363">
        <f t="shared" si="141"/>
        <v>171590.94</v>
      </c>
      <c r="H265" s="365">
        <f t="shared" si="142"/>
        <v>-0.30174844895657077</v>
      </c>
      <c r="I265" s="363"/>
    </row>
    <row r="266" spans="2:9" x14ac:dyDescent="0.25">
      <c r="B266" s="620">
        <v>42369</v>
      </c>
      <c r="C266" s="362">
        <v>8678</v>
      </c>
      <c r="D266" s="621">
        <v>18.312999999999999</v>
      </c>
      <c r="E266" s="363">
        <v>12.59</v>
      </c>
      <c r="F266" s="363">
        <f t="shared" si="140"/>
        <v>-49664.193999999989</v>
      </c>
      <c r="G266" s="363">
        <f t="shared" si="141"/>
        <v>158920.21399999998</v>
      </c>
      <c r="H266" s="365">
        <f t="shared" si="142"/>
        <v>-0.3125102386282968</v>
      </c>
      <c r="I266" s="363"/>
    </row>
    <row r="267" spans="2:9" x14ac:dyDescent="0.25">
      <c r="B267" s="620">
        <v>42374</v>
      </c>
      <c r="C267" s="362">
        <v>7678</v>
      </c>
      <c r="D267" s="621">
        <v>19.010000000000002</v>
      </c>
      <c r="E267" s="363">
        <v>12.76</v>
      </c>
      <c r="F267" s="363">
        <f t="shared" si="140"/>
        <v>-47987.500000000015</v>
      </c>
      <c r="G267" s="363">
        <f t="shared" si="141"/>
        <v>145958.78</v>
      </c>
      <c r="H267" s="365">
        <f t="shared" si="142"/>
        <v>-0.32877432930036832</v>
      </c>
      <c r="I267" s="363"/>
    </row>
    <row r="268" spans="2:9" x14ac:dyDescent="0.25">
      <c r="B268" s="620">
        <v>42375</v>
      </c>
      <c r="C268" s="362">
        <v>8678</v>
      </c>
      <c r="D268" s="621">
        <v>18.257000000000001</v>
      </c>
      <c r="E268" s="363">
        <v>12.76</v>
      </c>
      <c r="F268" s="363">
        <f t="shared" si="140"/>
        <v>-47702.966000000015</v>
      </c>
      <c r="G268" s="363">
        <f t="shared" si="141"/>
        <v>158434.24600000001</v>
      </c>
      <c r="H268" s="365">
        <f t="shared" si="142"/>
        <v>-0.30108999287944355</v>
      </c>
      <c r="I268" s="363"/>
    </row>
    <row r="269" spans="2:9" x14ac:dyDescent="0.25">
      <c r="B269" s="620">
        <v>42375</v>
      </c>
      <c r="C269" s="362">
        <v>9678</v>
      </c>
      <c r="D269" s="621">
        <v>17.579999999999998</v>
      </c>
      <c r="E269" s="363">
        <v>11.28</v>
      </c>
      <c r="F269" s="363">
        <f t="shared" si="140"/>
        <v>-60971.399999999987</v>
      </c>
      <c r="G269" s="363">
        <f t="shared" si="141"/>
        <v>170139.24</v>
      </c>
      <c r="H269" s="365">
        <f t="shared" si="142"/>
        <v>-0.35836177474402725</v>
      </c>
      <c r="I269" s="363"/>
    </row>
    <row r="270" spans="2:9" x14ac:dyDescent="0.25">
      <c r="B270" s="620">
        <v>42398</v>
      </c>
      <c r="C270" s="362">
        <v>9278</v>
      </c>
      <c r="D270" s="621">
        <v>17.93</v>
      </c>
      <c r="E270" s="363">
        <v>9.56</v>
      </c>
      <c r="F270" s="363">
        <f t="shared" si="140"/>
        <v>-77656.859999999986</v>
      </c>
      <c r="G270" s="363">
        <f t="shared" si="141"/>
        <v>166354.54</v>
      </c>
      <c r="H270" s="365">
        <f t="shared" si="142"/>
        <v>-0.46681539319576126</v>
      </c>
      <c r="I270" s="363"/>
    </row>
    <row r="271" spans="2:9" x14ac:dyDescent="0.25">
      <c r="B271" s="620">
        <v>42402</v>
      </c>
      <c r="C271" s="362">
        <v>9678</v>
      </c>
      <c r="D271" s="621">
        <v>17.559999999999999</v>
      </c>
      <c r="E271" s="363">
        <v>8.74</v>
      </c>
      <c r="F271" s="363">
        <f t="shared" si="140"/>
        <v>-85359.959999999992</v>
      </c>
      <c r="G271" s="363">
        <f t="shared" si="141"/>
        <v>169945.68</v>
      </c>
      <c r="H271" s="365">
        <f t="shared" si="142"/>
        <v>-0.50227790432801822</v>
      </c>
      <c r="I271" s="363"/>
    </row>
    <row r="272" spans="2:9" x14ac:dyDescent="0.25">
      <c r="B272" s="620">
        <v>42411</v>
      </c>
      <c r="C272" s="362">
        <v>9678</v>
      </c>
      <c r="D272" s="621">
        <v>17.553999999999998</v>
      </c>
      <c r="E272" s="363">
        <v>7.13</v>
      </c>
      <c r="F272" s="363">
        <f t="shared" si="140"/>
        <v>-100883.47199999999</v>
      </c>
      <c r="G272" s="363">
        <f t="shared" si="141"/>
        <v>169887.61199999999</v>
      </c>
      <c r="H272" s="364">
        <f t="shared" si="142"/>
        <v>-0.59382476928335426</v>
      </c>
      <c r="I272" s="363"/>
    </row>
    <row r="273" spans="2:14" x14ac:dyDescent="0.25">
      <c r="B273" s="620">
        <v>42412</v>
      </c>
      <c r="C273" s="362">
        <v>9678</v>
      </c>
      <c r="D273" s="621">
        <v>17.55</v>
      </c>
      <c r="E273" s="363">
        <v>7.46</v>
      </c>
      <c r="F273" s="363">
        <f t="shared" si="140"/>
        <v>-97651.02</v>
      </c>
      <c r="G273" s="363">
        <f t="shared" si="141"/>
        <v>169848.9</v>
      </c>
      <c r="H273" s="364">
        <f t="shared" si="142"/>
        <v>-0.57492877492877492</v>
      </c>
      <c r="I273" s="363"/>
    </row>
    <row r="274" spans="2:14" x14ac:dyDescent="0.25">
      <c r="B274" s="620">
        <v>42416</v>
      </c>
      <c r="C274" s="362">
        <v>9178</v>
      </c>
      <c r="D274" s="621">
        <v>18.084</v>
      </c>
      <c r="E274" s="363">
        <v>7.49</v>
      </c>
      <c r="F274" s="363">
        <f t="shared" si="140"/>
        <v>-97231.731999999989</v>
      </c>
      <c r="G274" s="363">
        <f t="shared" si="141"/>
        <v>165974.95199999999</v>
      </c>
      <c r="H274" s="364">
        <f t="shared" si="142"/>
        <v>-0.58582172085821715</v>
      </c>
      <c r="I274" s="363"/>
    </row>
    <row r="275" spans="2:14" x14ac:dyDescent="0.25">
      <c r="B275" s="620">
        <v>42416</v>
      </c>
      <c r="C275" s="362">
        <v>9678</v>
      </c>
      <c r="D275" s="621">
        <v>17.536999999999999</v>
      </c>
      <c r="E275" s="363">
        <v>7.49</v>
      </c>
      <c r="F275" s="363">
        <f t="shared" si="140"/>
        <v>-97234.865999999995</v>
      </c>
      <c r="G275" s="363">
        <f t="shared" si="141"/>
        <v>169723.08599999998</v>
      </c>
      <c r="H275" s="364">
        <f t="shared" si="142"/>
        <v>-0.57290300507498426</v>
      </c>
      <c r="I275" s="363"/>
    </row>
    <row r="276" spans="2:14" x14ac:dyDescent="0.25">
      <c r="B276" s="620">
        <v>42418</v>
      </c>
      <c r="C276" s="362">
        <v>13478</v>
      </c>
      <c r="D276" s="621">
        <v>14.673999999999999</v>
      </c>
      <c r="E276" s="363">
        <v>6.93</v>
      </c>
      <c r="F276" s="363">
        <f t="shared" si="140"/>
        <v>-104373.632</v>
      </c>
      <c r="G276" s="363">
        <f t="shared" si="141"/>
        <v>197776.17199999999</v>
      </c>
      <c r="H276" s="364">
        <f t="shared" si="142"/>
        <v>-0.52773613193403301</v>
      </c>
      <c r="I276" s="363"/>
    </row>
    <row r="277" spans="2:14" x14ac:dyDescent="0.25">
      <c r="B277" s="620">
        <v>42422</v>
      </c>
      <c r="C277" s="362">
        <v>10978</v>
      </c>
      <c r="D277" s="621">
        <v>16.314</v>
      </c>
      <c r="E277" s="363">
        <v>7.49</v>
      </c>
      <c r="F277" s="363">
        <f t="shared" si="140"/>
        <v>-96869.872000000003</v>
      </c>
      <c r="G277" s="363">
        <f>IF(C277=0, 0,D277*C277)</f>
        <v>179095.092</v>
      </c>
      <c r="H277" s="364">
        <f>IF(C277=0, D277, (E277-D277)/D277)</f>
        <v>-0.54088512933676591</v>
      </c>
      <c r="I277" s="363"/>
    </row>
    <row r="278" spans="2:14" x14ac:dyDescent="0.25">
      <c r="B278" s="620">
        <v>42422</v>
      </c>
      <c r="C278" s="362">
        <v>9978</v>
      </c>
      <c r="D278" s="621">
        <v>17.199000000000002</v>
      </c>
      <c r="E278" s="363">
        <v>7.49</v>
      </c>
      <c r="F278" s="363">
        <f t="shared" si="140"/>
        <v>-96876.402000000016</v>
      </c>
      <c r="G278" s="363">
        <f>IF(C278=0, 0,D278*C278)</f>
        <v>171611.622</v>
      </c>
      <c r="H278" s="364">
        <f>IF(C278=0, D278, (E278-D278)/D278)</f>
        <v>-0.56450956450956458</v>
      </c>
      <c r="I278" s="363"/>
    </row>
    <row r="279" spans="2:14" x14ac:dyDescent="0.25">
      <c r="B279" s="620">
        <v>42426</v>
      </c>
      <c r="C279" s="362">
        <v>9678</v>
      </c>
      <c r="D279" s="621">
        <v>17.489000000000001</v>
      </c>
      <c r="E279" s="363">
        <v>7.49</v>
      </c>
      <c r="F279" s="363">
        <f t="shared" ref="F279:F287" si="143">C279*(E279-D279)</f>
        <v>-96770.322</v>
      </c>
      <c r="G279" s="363">
        <f>IF(C279=0, 0,D279*C279)</f>
        <v>169258.54200000002</v>
      </c>
      <c r="H279" s="364">
        <f>IF(C279=0, D279, (E279-D279)/D279)</f>
        <v>-0.57173080221853734</v>
      </c>
      <c r="I279" s="363"/>
    </row>
    <row r="280" spans="2:14" x14ac:dyDescent="0.25">
      <c r="B280" s="620">
        <v>42426</v>
      </c>
      <c r="C280" s="362">
        <v>9178</v>
      </c>
      <c r="D280" s="621">
        <v>18.02</v>
      </c>
      <c r="E280" s="363">
        <v>7.76</v>
      </c>
      <c r="F280" s="363">
        <f t="shared" si="143"/>
        <v>-94166.28</v>
      </c>
      <c r="G280" s="363">
        <f t="shared" ref="G280:G287" si="144">IF(C280=0, 0,D280*C280)</f>
        <v>165387.56</v>
      </c>
      <c r="H280" s="364">
        <f t="shared" ref="H280:H287" si="145">IF(C280=0, D280, (E280-D280)/D280)</f>
        <v>-0.5693673695893452</v>
      </c>
      <c r="I280" s="363"/>
      <c r="N280" s="70"/>
    </row>
    <row r="281" spans="2:14" x14ac:dyDescent="0.25">
      <c r="B281" s="620">
        <v>42426</v>
      </c>
      <c r="C281" s="362">
        <v>8178</v>
      </c>
      <c r="D281" s="621">
        <v>19.245999999999999</v>
      </c>
      <c r="E281" s="363">
        <v>8</v>
      </c>
      <c r="F281" s="363">
        <f t="shared" si="143"/>
        <v>-91969.787999999986</v>
      </c>
      <c r="G281" s="363">
        <f t="shared" si="144"/>
        <v>157393.788</v>
      </c>
      <c r="H281" s="364">
        <f t="shared" si="145"/>
        <v>-0.58432921126467829</v>
      </c>
      <c r="I281" s="363"/>
    </row>
    <row r="282" spans="2:14" x14ac:dyDescent="0.25">
      <c r="B282" s="620">
        <v>42426</v>
      </c>
      <c r="C282" s="362">
        <v>6678</v>
      </c>
      <c r="D282" s="621">
        <v>21.75</v>
      </c>
      <c r="E282" s="363">
        <v>8.1</v>
      </c>
      <c r="F282" s="363">
        <f t="shared" si="143"/>
        <v>-91154.7</v>
      </c>
      <c r="G282" s="363">
        <f t="shared" si="144"/>
        <v>145246.5</v>
      </c>
      <c r="H282" s="364">
        <f t="shared" si="145"/>
        <v>-0.62758620689655176</v>
      </c>
      <c r="I282" s="363"/>
    </row>
    <row r="283" spans="2:14" x14ac:dyDescent="0.25">
      <c r="B283" s="620">
        <v>42426</v>
      </c>
      <c r="C283" s="362">
        <v>8678</v>
      </c>
      <c r="D283" s="621">
        <v>18.568999999999999</v>
      </c>
      <c r="E283" s="363">
        <v>7.94</v>
      </c>
      <c r="F283" s="363">
        <f t="shared" si="143"/>
        <v>-92238.461999999985</v>
      </c>
      <c r="G283" s="363">
        <f t="shared" si="144"/>
        <v>161141.78199999998</v>
      </c>
      <c r="H283" s="364">
        <f t="shared" si="145"/>
        <v>-0.57240562227368186</v>
      </c>
      <c r="I283" s="363"/>
    </row>
    <row r="284" spans="2:14" x14ac:dyDescent="0.25">
      <c r="B284" s="620">
        <v>42429</v>
      </c>
      <c r="C284" s="362">
        <v>7678</v>
      </c>
      <c r="D284" s="621">
        <v>19.876000000000001</v>
      </c>
      <c r="E284" s="363">
        <v>8.2100000000000009</v>
      </c>
      <c r="F284" s="363">
        <f t="shared" si="143"/>
        <v>-89571.54800000001</v>
      </c>
      <c r="G284" s="363">
        <f t="shared" si="144"/>
        <v>152607.92800000001</v>
      </c>
      <c r="H284" s="364">
        <f t="shared" si="145"/>
        <v>-0.58693902193600322</v>
      </c>
      <c r="I284" s="363"/>
    </row>
    <row r="285" spans="2:14" x14ac:dyDescent="0.25">
      <c r="B285" s="620">
        <v>42429</v>
      </c>
      <c r="C285" s="362">
        <v>9678</v>
      </c>
      <c r="D285" s="621">
        <v>17.463000000000001</v>
      </c>
      <c r="E285" s="363">
        <v>8.2100000000000009</v>
      </c>
      <c r="F285" s="363">
        <f t="shared" si="143"/>
        <v>-89550.534</v>
      </c>
      <c r="G285" s="363">
        <f t="shared" si="144"/>
        <v>169006.91400000002</v>
      </c>
      <c r="H285" s="364">
        <f t="shared" si="145"/>
        <v>-0.5298631392086125</v>
      </c>
      <c r="I285" s="363"/>
    </row>
    <row r="286" spans="2:14" x14ac:dyDescent="0.25">
      <c r="B286" s="620">
        <v>42429</v>
      </c>
      <c r="C286" s="362">
        <v>9178</v>
      </c>
      <c r="D286" s="621">
        <v>17.981000000000002</v>
      </c>
      <c r="E286" s="363">
        <v>8.2100000000000009</v>
      </c>
      <c r="F286" s="363">
        <f t="shared" si="143"/>
        <v>-89678.238000000012</v>
      </c>
      <c r="G286" s="363">
        <f t="shared" si="144"/>
        <v>165029.61800000002</v>
      </c>
      <c r="H286" s="364">
        <f t="shared" si="145"/>
        <v>-0.5434069295367332</v>
      </c>
      <c r="I286" s="363"/>
    </row>
    <row r="287" spans="2:14" x14ac:dyDescent="0.25">
      <c r="B287" s="620">
        <v>42429</v>
      </c>
      <c r="C287" s="362">
        <v>9678</v>
      </c>
      <c r="D287" s="621">
        <v>17.459</v>
      </c>
      <c r="E287" s="363">
        <v>8.2100000000000009</v>
      </c>
      <c r="F287" s="363">
        <f t="shared" si="143"/>
        <v>-89511.821999999986</v>
      </c>
      <c r="G287" s="363">
        <f t="shared" si="144"/>
        <v>168968.20199999999</v>
      </c>
      <c r="H287" s="364">
        <f t="shared" si="145"/>
        <v>-0.5297554270004009</v>
      </c>
      <c r="I287" s="363"/>
    </row>
    <row r="288" spans="2:14" x14ac:dyDescent="0.25">
      <c r="B288" s="620">
        <v>42429</v>
      </c>
      <c r="C288" s="362">
        <v>9178</v>
      </c>
      <c r="D288" s="621">
        <v>17.975999999999999</v>
      </c>
      <c r="E288" s="363">
        <v>8.2100000000000009</v>
      </c>
      <c r="F288" s="363">
        <f t="shared" ref="F288:F299" si="146">C288*(E288-D288)</f>
        <v>-89632.347999999984</v>
      </c>
      <c r="G288" s="363">
        <f t="shared" ref="G288:G299" si="147">IF(C288=0, 0,D288*C288)</f>
        <v>164983.728</v>
      </c>
      <c r="H288" s="364">
        <f t="shared" ref="H288:H339" si="148">IF(C288=0, D288, (E288-D288)/D288)</f>
        <v>-0.54327992879394738</v>
      </c>
      <c r="I288" s="363" t="s">
        <v>186</v>
      </c>
    </row>
    <row r="289" spans="2:9" x14ac:dyDescent="0.25">
      <c r="B289" s="620">
        <v>42430</v>
      </c>
      <c r="C289" s="383">
        <v>10178</v>
      </c>
      <c r="D289" s="622">
        <v>16.974</v>
      </c>
      <c r="E289" s="363">
        <v>7.8</v>
      </c>
      <c r="F289" s="363">
        <f t="shared" si="146"/>
        <v>-93372.971999999994</v>
      </c>
      <c r="G289" s="363">
        <f t="shared" si="147"/>
        <v>172761.372</v>
      </c>
      <c r="H289" s="364">
        <f t="shared" si="148"/>
        <v>-0.54047366560622123</v>
      </c>
      <c r="I289" s="363"/>
    </row>
    <row r="290" spans="2:9" x14ac:dyDescent="0.25">
      <c r="B290" s="620">
        <v>42430</v>
      </c>
      <c r="C290" s="383">
        <v>9678</v>
      </c>
      <c r="D290" s="622">
        <v>17.440000000000001</v>
      </c>
      <c r="E290" s="363">
        <v>7.96</v>
      </c>
      <c r="F290" s="363">
        <f t="shared" si="146"/>
        <v>-91747.44</v>
      </c>
      <c r="G290" s="363">
        <f t="shared" si="147"/>
        <v>168784.32</v>
      </c>
      <c r="H290" s="364">
        <f t="shared" si="148"/>
        <v>-0.54357798165137616</v>
      </c>
      <c r="I290" s="363"/>
    </row>
    <row r="291" spans="2:9" x14ac:dyDescent="0.25">
      <c r="B291" s="620">
        <v>42431</v>
      </c>
      <c r="C291" s="362">
        <v>8678</v>
      </c>
      <c r="D291" s="621">
        <v>18.405999999999999</v>
      </c>
      <c r="E291" s="363">
        <v>9.1</v>
      </c>
      <c r="F291" s="363">
        <f t="shared" si="146"/>
        <v>-80757.467999999993</v>
      </c>
      <c r="G291" s="363">
        <f t="shared" si="147"/>
        <v>159727.26799999998</v>
      </c>
      <c r="H291" s="365">
        <f t="shared" si="148"/>
        <v>-0.50559600130392257</v>
      </c>
      <c r="I291" s="363"/>
    </row>
    <row r="292" spans="2:9" x14ac:dyDescent="0.25">
      <c r="B292" s="620">
        <v>42432</v>
      </c>
      <c r="C292" s="362">
        <v>9278</v>
      </c>
      <c r="D292" s="621">
        <v>17.771999999999998</v>
      </c>
      <c r="E292" s="363">
        <v>9.9700000000000006</v>
      </c>
      <c r="F292" s="363">
        <f t="shared" si="146"/>
        <v>-72386.955999999976</v>
      </c>
      <c r="G292" s="363">
        <f t="shared" si="147"/>
        <v>164888.61599999998</v>
      </c>
      <c r="H292" s="365">
        <f t="shared" si="148"/>
        <v>-0.43900517668242173</v>
      </c>
      <c r="I292" s="363"/>
    </row>
    <row r="293" spans="2:9" x14ac:dyDescent="0.25">
      <c r="B293" s="620">
        <v>42433</v>
      </c>
      <c r="C293" s="362">
        <v>9278</v>
      </c>
      <c r="D293" s="621">
        <v>17.771999999999998</v>
      </c>
      <c r="E293" s="363">
        <v>11</v>
      </c>
      <c r="F293" s="363">
        <f t="shared" si="146"/>
        <v>-62830.615999999987</v>
      </c>
      <c r="G293" s="363">
        <f t="shared" si="147"/>
        <v>164888.61599999998</v>
      </c>
      <c r="H293" s="365">
        <f t="shared" si="148"/>
        <v>-0.38104884087328378</v>
      </c>
      <c r="I293" s="363"/>
    </row>
    <row r="294" spans="2:9" x14ac:dyDescent="0.25">
      <c r="B294" s="620">
        <v>42439</v>
      </c>
      <c r="C294" s="362">
        <v>9278</v>
      </c>
      <c r="D294" s="621">
        <v>17.718</v>
      </c>
      <c r="E294" s="363">
        <v>10.59</v>
      </c>
      <c r="F294" s="363">
        <f t="shared" si="146"/>
        <v>-66133.584000000003</v>
      </c>
      <c r="G294" s="363">
        <f t="shared" si="147"/>
        <v>164387.60399999999</v>
      </c>
      <c r="H294" s="365">
        <f t="shared" si="148"/>
        <v>-0.40230274297324753</v>
      </c>
      <c r="I294" s="363" t="s">
        <v>185</v>
      </c>
    </row>
    <row r="295" spans="2:9" x14ac:dyDescent="0.25">
      <c r="B295" s="620">
        <v>42440</v>
      </c>
      <c r="C295" s="362">
        <v>9278</v>
      </c>
      <c r="D295" s="621">
        <v>17.712</v>
      </c>
      <c r="E295" s="363">
        <v>11.12</v>
      </c>
      <c r="F295" s="363">
        <f t="shared" si="146"/>
        <v>-61160.576000000008</v>
      </c>
      <c r="G295" s="363">
        <f t="shared" si="147"/>
        <v>164331.93599999999</v>
      </c>
      <c r="H295" s="365">
        <f t="shared" si="148"/>
        <v>-0.37217705510388438</v>
      </c>
      <c r="I295" s="363"/>
    </row>
    <row r="296" spans="2:9" x14ac:dyDescent="0.25">
      <c r="B296" s="620">
        <v>42446</v>
      </c>
      <c r="C296" s="362">
        <v>9278</v>
      </c>
      <c r="D296" s="621">
        <v>17.704999999999998</v>
      </c>
      <c r="E296" s="363">
        <v>11.45</v>
      </c>
      <c r="F296" s="363">
        <f t="shared" si="146"/>
        <v>-58033.889999999992</v>
      </c>
      <c r="G296" s="363">
        <f t="shared" si="147"/>
        <v>164266.99</v>
      </c>
      <c r="H296" s="365">
        <f t="shared" si="148"/>
        <v>-0.353290031064671</v>
      </c>
      <c r="I296" s="363"/>
    </row>
    <row r="297" spans="2:9" x14ac:dyDescent="0.25">
      <c r="B297" s="620">
        <v>42447</v>
      </c>
      <c r="C297" s="362">
        <v>7928</v>
      </c>
      <c r="D297" s="621">
        <v>18.734999999999999</v>
      </c>
      <c r="E297" s="363">
        <v>11.63</v>
      </c>
      <c r="F297" s="363">
        <f t="shared" si="146"/>
        <v>-56328.439999999988</v>
      </c>
      <c r="G297" s="363">
        <f t="shared" si="147"/>
        <v>148531.07999999999</v>
      </c>
      <c r="H297" s="365">
        <f t="shared" si="148"/>
        <v>-0.37923672271150249</v>
      </c>
      <c r="I297" s="363"/>
    </row>
    <row r="298" spans="2:9" x14ac:dyDescent="0.25">
      <c r="B298" s="620">
        <v>42450</v>
      </c>
      <c r="C298" s="362">
        <v>9278</v>
      </c>
      <c r="D298" s="621">
        <v>17.670000000000002</v>
      </c>
      <c r="E298" s="363">
        <v>11.43</v>
      </c>
      <c r="F298" s="363">
        <f t="shared" si="146"/>
        <v>-57894.720000000016</v>
      </c>
      <c r="G298" s="363">
        <f t="shared" si="147"/>
        <v>163942.26</v>
      </c>
      <c r="H298" s="364">
        <f t="shared" si="148"/>
        <v>-0.35314091680814946</v>
      </c>
      <c r="I298" s="363"/>
    </row>
    <row r="299" spans="2:9" x14ac:dyDescent="0.25">
      <c r="B299" s="620">
        <v>42451</v>
      </c>
      <c r="C299" s="362">
        <v>9628</v>
      </c>
      <c r="D299" s="621">
        <v>17.428000000000001</v>
      </c>
      <c r="E299" s="363">
        <v>11.31</v>
      </c>
      <c r="F299" s="363">
        <f t="shared" si="146"/>
        <v>-58904.104000000007</v>
      </c>
      <c r="G299" s="363">
        <f t="shared" si="147"/>
        <v>167796.78400000001</v>
      </c>
      <c r="H299" s="364">
        <f t="shared" si="148"/>
        <v>-0.35104429653431263</v>
      </c>
      <c r="I299" s="363"/>
    </row>
    <row r="300" spans="2:9" x14ac:dyDescent="0.25">
      <c r="B300" s="620">
        <v>42453</v>
      </c>
      <c r="C300" s="362">
        <v>13278</v>
      </c>
      <c r="D300" s="621">
        <v>15.5565</v>
      </c>
      <c r="E300" s="363">
        <v>10.29</v>
      </c>
      <c r="F300" s="363">
        <f t="shared" ref="F300:F339" si="149">C300*(E300-D300)</f>
        <v>-69928.587000000014</v>
      </c>
      <c r="G300" s="363">
        <f t="shared" ref="G300:G339" si="150">IF(C300=0, 0,D300*C300)</f>
        <v>206559.20699999999</v>
      </c>
      <c r="H300" s="364">
        <f t="shared" si="148"/>
        <v>-0.33854016006171056</v>
      </c>
      <c r="I300" s="363"/>
    </row>
    <row r="301" spans="2:9" x14ac:dyDescent="0.25">
      <c r="B301" s="620">
        <v>42459</v>
      </c>
      <c r="C301" s="362">
        <v>11278</v>
      </c>
      <c r="D301" s="621">
        <v>16.408899999999999</v>
      </c>
      <c r="E301" s="363">
        <v>10.53</v>
      </c>
      <c r="F301" s="363">
        <f t="shared" si="149"/>
        <v>-66302.234199999992</v>
      </c>
      <c r="G301" s="363">
        <f t="shared" si="150"/>
        <v>185059.5742</v>
      </c>
      <c r="H301" s="364">
        <f t="shared" si="148"/>
        <v>-0.35827508242478168</v>
      </c>
      <c r="I301" s="363"/>
    </row>
    <row r="302" spans="2:9" x14ac:dyDescent="0.25">
      <c r="B302" s="620">
        <v>42460</v>
      </c>
      <c r="C302" s="362">
        <v>9678</v>
      </c>
      <c r="D302" s="621">
        <v>17.311699999999998</v>
      </c>
      <c r="E302" s="363">
        <v>11.14</v>
      </c>
      <c r="F302" s="363">
        <f t="shared" si="149"/>
        <v>-59729.712599999977</v>
      </c>
      <c r="G302" s="363">
        <f t="shared" si="150"/>
        <v>167542.63259999998</v>
      </c>
      <c r="H302" s="364">
        <f t="shared" si="148"/>
        <v>-0.35650456049954643</v>
      </c>
      <c r="I302" s="363"/>
    </row>
    <row r="303" spans="2:9" x14ac:dyDescent="0.25">
      <c r="B303" s="620">
        <v>42461</v>
      </c>
      <c r="C303" s="362">
        <v>11678</v>
      </c>
      <c r="D303" s="621">
        <v>16.116</v>
      </c>
      <c r="E303" s="363">
        <v>10.53</v>
      </c>
      <c r="F303" s="363">
        <f t="shared" si="149"/>
        <v>-65233.308000000005</v>
      </c>
      <c r="G303" s="363">
        <f t="shared" si="150"/>
        <v>188202.64799999999</v>
      </c>
      <c r="H303" s="364">
        <f t="shared" si="148"/>
        <v>-0.34661206254653765</v>
      </c>
      <c r="I303" s="363"/>
    </row>
    <row r="304" spans="2:9" x14ac:dyDescent="0.25">
      <c r="B304" s="620">
        <v>42461</v>
      </c>
      <c r="C304" s="362">
        <v>9678</v>
      </c>
      <c r="D304" s="621">
        <v>17.266200000000001</v>
      </c>
      <c r="E304" s="363">
        <v>10.56</v>
      </c>
      <c r="F304" s="363">
        <f t="shared" si="149"/>
        <v>-64902.603600000009</v>
      </c>
      <c r="G304" s="363">
        <f t="shared" si="150"/>
        <v>167102.28360000002</v>
      </c>
      <c r="H304" s="364">
        <f t="shared" si="148"/>
        <v>-0.388400458699656</v>
      </c>
      <c r="I304" s="363"/>
    </row>
    <row r="305" spans="2:14" x14ac:dyDescent="0.25">
      <c r="B305" s="620">
        <v>42464</v>
      </c>
      <c r="C305" s="362">
        <v>9778</v>
      </c>
      <c r="D305" s="621">
        <v>17.196100000000001</v>
      </c>
      <c r="E305" s="363">
        <v>10.4</v>
      </c>
      <c r="F305" s="363">
        <f t="shared" si="149"/>
        <v>-66452.265800000008</v>
      </c>
      <c r="G305" s="363">
        <f t="shared" si="150"/>
        <v>168143.46580000001</v>
      </c>
      <c r="H305" s="364">
        <f t="shared" si="148"/>
        <v>-0.3952117049796175</v>
      </c>
      <c r="I305" s="363"/>
    </row>
    <row r="306" spans="2:14" x14ac:dyDescent="0.25">
      <c r="B306" s="620">
        <v>42465</v>
      </c>
      <c r="C306" s="362">
        <v>9678</v>
      </c>
      <c r="D306" s="621">
        <v>17.262699999999999</v>
      </c>
      <c r="E306" s="363">
        <v>10.63</v>
      </c>
      <c r="F306" s="363">
        <f t="shared" si="149"/>
        <v>-64191.270599999982</v>
      </c>
      <c r="G306" s="363">
        <f t="shared" si="150"/>
        <v>167068.4106</v>
      </c>
      <c r="H306" s="364">
        <f t="shared" si="148"/>
        <v>-0.38422147172806098</v>
      </c>
      <c r="I306" s="363"/>
    </row>
    <row r="307" spans="2:14" x14ac:dyDescent="0.25">
      <c r="B307" s="620">
        <v>42469</v>
      </c>
      <c r="C307" s="362">
        <v>8678</v>
      </c>
      <c r="D307" s="621">
        <v>17.895700000000001</v>
      </c>
      <c r="E307" s="363">
        <v>11.78</v>
      </c>
      <c r="F307" s="363">
        <f t="shared" si="149"/>
        <v>-53072.044600000016</v>
      </c>
      <c r="G307" s="363">
        <f t="shared" si="150"/>
        <v>155298.88460000002</v>
      </c>
      <c r="H307" s="364">
        <f t="shared" si="148"/>
        <v>-0.34174131215878684</v>
      </c>
      <c r="I307" s="363"/>
      <c r="N307" s="70"/>
    </row>
    <row r="308" spans="2:14" x14ac:dyDescent="0.25">
      <c r="B308" s="620">
        <v>42471</v>
      </c>
      <c r="C308" s="362">
        <v>9678</v>
      </c>
      <c r="D308" s="621">
        <v>17.2514</v>
      </c>
      <c r="E308" s="363">
        <v>11.67</v>
      </c>
      <c r="F308" s="363">
        <f t="shared" si="149"/>
        <v>-54016.789200000007</v>
      </c>
      <c r="G308" s="363">
        <f t="shared" si="150"/>
        <v>166959.04920000001</v>
      </c>
      <c r="H308" s="364">
        <f t="shared" si="148"/>
        <v>-0.32353316252593994</v>
      </c>
      <c r="I308" s="363"/>
    </row>
    <row r="309" spans="2:14" x14ac:dyDescent="0.25">
      <c r="B309" s="620">
        <v>42472</v>
      </c>
      <c r="C309" s="362">
        <v>8288</v>
      </c>
      <c r="D309" s="621">
        <v>17.96</v>
      </c>
      <c r="E309" s="363">
        <v>13.05</v>
      </c>
      <c r="F309" s="363">
        <f t="shared" si="149"/>
        <v>-40694.080000000002</v>
      </c>
      <c r="G309" s="363">
        <f t="shared" si="150"/>
        <v>148852.48000000001</v>
      </c>
      <c r="H309" s="364">
        <f t="shared" si="148"/>
        <v>-0.27338530066815142</v>
      </c>
      <c r="I309" s="363"/>
    </row>
    <row r="310" spans="2:14" x14ac:dyDescent="0.25">
      <c r="B310" s="620">
        <v>42473</v>
      </c>
      <c r="C310" s="362">
        <v>9258</v>
      </c>
      <c r="D310" s="621">
        <v>17.415800000000001</v>
      </c>
      <c r="E310" s="363">
        <v>12.92</v>
      </c>
      <c r="F310" s="363">
        <f t="shared" si="149"/>
        <v>-41622.116400000006</v>
      </c>
      <c r="G310" s="363">
        <f t="shared" si="150"/>
        <v>161235.47640000001</v>
      </c>
      <c r="H310" s="364">
        <f t="shared" si="148"/>
        <v>-0.2581449029042594</v>
      </c>
      <c r="I310" s="363"/>
    </row>
    <row r="311" spans="2:14" x14ac:dyDescent="0.25">
      <c r="B311" s="620">
        <v>42474</v>
      </c>
      <c r="C311" s="362">
        <v>9678</v>
      </c>
      <c r="D311" s="621">
        <v>17.2135</v>
      </c>
      <c r="E311" s="363">
        <v>13.11</v>
      </c>
      <c r="F311" s="363">
        <f t="shared" si="149"/>
        <v>-39713.673000000003</v>
      </c>
      <c r="G311" s="363">
        <f t="shared" si="150"/>
        <v>166592.253</v>
      </c>
      <c r="H311" s="364">
        <f t="shared" si="148"/>
        <v>-0.23838847416272113</v>
      </c>
      <c r="I311" s="363"/>
    </row>
    <row r="312" spans="2:14" x14ac:dyDescent="0.25">
      <c r="B312" s="620">
        <v>42474</v>
      </c>
      <c r="C312" s="362">
        <v>9178</v>
      </c>
      <c r="D312" s="621">
        <v>17.433299999999999</v>
      </c>
      <c r="E312" s="363">
        <v>13.11</v>
      </c>
      <c r="F312" s="363">
        <f t="shared" si="149"/>
        <v>-39679.2474</v>
      </c>
      <c r="G312" s="363">
        <f t="shared" si="150"/>
        <v>160002.82739999998</v>
      </c>
      <c r="H312" s="364">
        <f t="shared" si="148"/>
        <v>-0.24799091394056202</v>
      </c>
      <c r="I312" s="363"/>
    </row>
    <row r="313" spans="2:14" x14ac:dyDescent="0.25">
      <c r="B313" s="620">
        <v>42475</v>
      </c>
      <c r="C313" s="362">
        <v>9678</v>
      </c>
      <c r="D313" s="621">
        <v>17.205100000000002</v>
      </c>
      <c r="E313" s="363">
        <v>13.01</v>
      </c>
      <c r="F313" s="363">
        <f t="shared" si="149"/>
        <v>-40600.177800000019</v>
      </c>
      <c r="G313" s="363">
        <f t="shared" si="150"/>
        <v>166510.9578</v>
      </c>
      <c r="H313" s="364">
        <f t="shared" si="148"/>
        <v>-0.24382886469709572</v>
      </c>
      <c r="I313" s="363"/>
    </row>
    <row r="314" spans="2:14" x14ac:dyDescent="0.25">
      <c r="B314" s="620">
        <v>42478</v>
      </c>
      <c r="C314" s="362">
        <v>9178</v>
      </c>
      <c r="D314" s="621">
        <v>17.412400000000002</v>
      </c>
      <c r="E314" s="363">
        <v>13.36</v>
      </c>
      <c r="F314" s="363">
        <f t="shared" si="149"/>
        <v>-37192.92720000002</v>
      </c>
      <c r="G314" s="363">
        <f t="shared" si="150"/>
        <v>159811.00720000002</v>
      </c>
      <c r="H314" s="364">
        <f t="shared" si="148"/>
        <v>-0.232730697663734</v>
      </c>
      <c r="I314" s="363"/>
    </row>
    <row r="315" spans="2:14" x14ac:dyDescent="0.25">
      <c r="B315" s="620">
        <v>42484</v>
      </c>
      <c r="C315" s="383">
        <v>9178</v>
      </c>
      <c r="D315" s="622">
        <v>17.412400000000002</v>
      </c>
      <c r="E315" s="363">
        <v>14.34</v>
      </c>
      <c r="F315" s="363">
        <f t="shared" si="149"/>
        <v>-28198.487200000018</v>
      </c>
      <c r="G315" s="363">
        <f t="shared" si="150"/>
        <v>159811.00720000002</v>
      </c>
      <c r="H315" s="364">
        <f t="shared" si="148"/>
        <v>-0.17644896740254082</v>
      </c>
      <c r="I315" s="363"/>
    </row>
    <row r="316" spans="2:14" x14ac:dyDescent="0.25">
      <c r="B316" s="620">
        <v>42485</v>
      </c>
      <c r="C316" s="383">
        <v>9678</v>
      </c>
      <c r="D316" s="622">
        <v>17.233499999999999</v>
      </c>
      <c r="E316" s="363">
        <v>13.83</v>
      </c>
      <c r="F316" s="363">
        <f t="shared" si="149"/>
        <v>-32939.072999999997</v>
      </c>
      <c r="G316" s="363">
        <f t="shared" si="150"/>
        <v>166785.81299999999</v>
      </c>
      <c r="H316" s="364">
        <f t="shared" si="148"/>
        <v>-0.19749325441726867</v>
      </c>
      <c r="I316" s="363"/>
    </row>
    <row r="317" spans="2:14" x14ac:dyDescent="0.25">
      <c r="B317" s="620">
        <v>42486</v>
      </c>
      <c r="C317" s="362">
        <v>9178</v>
      </c>
      <c r="D317" s="621">
        <v>17.390599999999999</v>
      </c>
      <c r="E317" s="363">
        <v>14.44</v>
      </c>
      <c r="F317" s="363">
        <f t="shared" si="149"/>
        <v>-27080.606799999998</v>
      </c>
      <c r="G317" s="363">
        <f t="shared" si="150"/>
        <v>159610.92679999999</v>
      </c>
      <c r="H317" s="365">
        <f t="shared" si="148"/>
        <v>-0.16966637148804525</v>
      </c>
      <c r="I317" s="363"/>
    </row>
    <row r="318" spans="2:14" x14ac:dyDescent="0.25">
      <c r="B318" s="620">
        <v>42487</v>
      </c>
      <c r="C318" s="362">
        <v>9178</v>
      </c>
      <c r="D318" s="621">
        <v>17.376300000000001</v>
      </c>
      <c r="E318" s="363">
        <v>14.84</v>
      </c>
      <c r="F318" s="363">
        <f t="shared" si="149"/>
        <v>-23278.161400000005</v>
      </c>
      <c r="G318" s="363">
        <f t="shared" si="150"/>
        <v>159479.6814</v>
      </c>
      <c r="H318" s="365">
        <f t="shared" si="148"/>
        <v>-0.14596317973331496</v>
      </c>
      <c r="I318" s="363"/>
    </row>
    <row r="319" spans="2:14" x14ac:dyDescent="0.25">
      <c r="B319" s="620">
        <v>42488</v>
      </c>
      <c r="C319" s="362">
        <v>9678</v>
      </c>
      <c r="D319" s="621">
        <v>17.2287</v>
      </c>
      <c r="E319" s="363">
        <v>14.35</v>
      </c>
      <c r="F319" s="363">
        <f t="shared" si="149"/>
        <v>-27860.058600000004</v>
      </c>
      <c r="G319" s="363">
        <f t="shared" si="150"/>
        <v>166739.35860000001</v>
      </c>
      <c r="H319" s="365">
        <f t="shared" si="148"/>
        <v>-0.16708747612994598</v>
      </c>
      <c r="I319" s="363"/>
    </row>
    <row r="320" spans="2:14" x14ac:dyDescent="0.25">
      <c r="B320" s="620">
        <v>42489</v>
      </c>
      <c r="C320" s="362">
        <v>9678</v>
      </c>
      <c r="D320" s="621">
        <v>17.179200000000002</v>
      </c>
      <c r="E320" s="363">
        <v>14.09</v>
      </c>
      <c r="F320" s="363">
        <f t="shared" si="149"/>
        <v>-29897.277600000016</v>
      </c>
      <c r="G320" s="363">
        <f t="shared" si="150"/>
        <v>166260.29760000002</v>
      </c>
      <c r="H320" s="365">
        <f t="shared" si="148"/>
        <v>-0.17982211045916</v>
      </c>
      <c r="I320" s="363"/>
    </row>
    <row r="321" spans="2:14" ht="15" customHeight="1" x14ac:dyDescent="0.25">
      <c r="B321" s="620">
        <v>42492</v>
      </c>
      <c r="C321" s="362">
        <v>9678</v>
      </c>
      <c r="D321" s="621">
        <v>17.136399999999998</v>
      </c>
      <c r="E321" s="363">
        <v>13.55</v>
      </c>
      <c r="F321" s="363">
        <f t="shared" si="149"/>
        <v>-34709.179199999977</v>
      </c>
      <c r="G321" s="363">
        <f t="shared" si="150"/>
        <v>165846.07919999998</v>
      </c>
      <c r="H321" s="365">
        <f t="shared" si="148"/>
        <v>-0.20928549753740563</v>
      </c>
      <c r="I321" s="363"/>
    </row>
    <row r="322" spans="2:14" x14ac:dyDescent="0.25">
      <c r="B322" s="620">
        <v>42493</v>
      </c>
      <c r="C322" s="362">
        <v>9678</v>
      </c>
      <c r="D322" s="621">
        <v>17.1221</v>
      </c>
      <c r="E322" s="363">
        <v>12.79</v>
      </c>
      <c r="F322" s="363">
        <f t="shared" si="149"/>
        <v>-41926.063800000004</v>
      </c>
      <c r="G322" s="363">
        <f t="shared" si="150"/>
        <v>165707.6838</v>
      </c>
      <c r="H322" s="365">
        <f t="shared" si="148"/>
        <v>-0.25301218892542388</v>
      </c>
      <c r="I322" s="363"/>
    </row>
    <row r="323" spans="2:14" x14ac:dyDescent="0.25">
      <c r="B323" s="620">
        <v>42494</v>
      </c>
      <c r="C323" s="362">
        <v>11678</v>
      </c>
      <c r="D323" s="621">
        <v>16.316800000000001</v>
      </c>
      <c r="E323" s="363">
        <v>12.17</v>
      </c>
      <c r="F323" s="363">
        <f t="shared" si="149"/>
        <v>-48426.330400000006</v>
      </c>
      <c r="G323" s="363">
        <f t="shared" si="150"/>
        <v>190547.59040000002</v>
      </c>
      <c r="H323" s="365">
        <f t="shared" si="148"/>
        <v>-0.25414296920964896</v>
      </c>
      <c r="I323" s="363"/>
    </row>
    <row r="324" spans="2:14" x14ac:dyDescent="0.25">
      <c r="B324" s="620">
        <v>42495</v>
      </c>
      <c r="C324" s="362">
        <v>9678</v>
      </c>
      <c r="D324" s="621">
        <v>17.0684</v>
      </c>
      <c r="E324" s="363">
        <v>12.07</v>
      </c>
      <c r="F324" s="363">
        <f t="shared" si="149"/>
        <v>-48374.515200000002</v>
      </c>
      <c r="G324" s="363">
        <f t="shared" si="150"/>
        <v>165187.97520000002</v>
      </c>
      <c r="H324" s="364">
        <f t="shared" si="148"/>
        <v>-0.29284525790349419</v>
      </c>
      <c r="I324" s="363"/>
    </row>
    <row r="325" spans="2:14" x14ac:dyDescent="0.25">
      <c r="B325" s="620">
        <v>42499</v>
      </c>
      <c r="C325" s="362">
        <v>10678</v>
      </c>
      <c r="D325" s="621">
        <v>16.537600000000001</v>
      </c>
      <c r="E325" s="363">
        <v>11.44</v>
      </c>
      <c r="F325" s="363">
        <f t="shared" si="149"/>
        <v>-54432.172800000015</v>
      </c>
      <c r="G325" s="363">
        <f t="shared" si="150"/>
        <v>176588.49280000001</v>
      </c>
      <c r="H325" s="364">
        <f t="shared" si="148"/>
        <v>-0.30824303405572762</v>
      </c>
      <c r="I325" s="363"/>
      <c r="N325" s="70"/>
    </row>
    <row r="326" spans="2:14" x14ac:dyDescent="0.25">
      <c r="B326" s="620">
        <v>42500</v>
      </c>
      <c r="C326" s="362">
        <v>9678</v>
      </c>
      <c r="D326" s="621">
        <v>17.042100000000001</v>
      </c>
      <c r="E326" s="363">
        <v>11.94</v>
      </c>
      <c r="F326" s="363">
        <f t="shared" si="149"/>
        <v>-49378.123800000016</v>
      </c>
      <c r="G326" s="363">
        <f t="shared" si="150"/>
        <v>164933.44380000001</v>
      </c>
      <c r="H326" s="364">
        <f t="shared" si="148"/>
        <v>-0.2993821184009014</v>
      </c>
      <c r="I326" s="363"/>
    </row>
    <row r="327" spans="2:14" x14ac:dyDescent="0.25">
      <c r="B327" s="620">
        <v>42502</v>
      </c>
      <c r="C327" s="362">
        <v>10678</v>
      </c>
      <c r="D327" s="621">
        <v>16.601800000000001</v>
      </c>
      <c r="E327" s="363">
        <v>12.33</v>
      </c>
      <c r="F327" s="363">
        <f t="shared" si="149"/>
        <v>-45614.280400000011</v>
      </c>
      <c r="G327" s="363">
        <f t="shared" si="150"/>
        <v>177274.02040000001</v>
      </c>
      <c r="H327" s="364">
        <f t="shared" si="148"/>
        <v>-0.25730944837306802</v>
      </c>
      <c r="I327" s="363"/>
    </row>
    <row r="328" spans="2:14" x14ac:dyDescent="0.25">
      <c r="B328" s="620">
        <v>42502</v>
      </c>
      <c r="C328" s="362">
        <v>9678</v>
      </c>
      <c r="D328" s="621">
        <v>17.0334</v>
      </c>
      <c r="E328" s="363">
        <v>12.33</v>
      </c>
      <c r="F328" s="363">
        <f t="shared" si="149"/>
        <v>-45519.5052</v>
      </c>
      <c r="G328" s="363">
        <f t="shared" si="150"/>
        <v>164849.2452</v>
      </c>
      <c r="H328" s="364">
        <f t="shared" si="148"/>
        <v>-0.27612807777660364</v>
      </c>
      <c r="I328" s="363"/>
    </row>
    <row r="329" spans="2:14" x14ac:dyDescent="0.25">
      <c r="B329" s="620">
        <v>42503</v>
      </c>
      <c r="C329" s="362">
        <v>9678</v>
      </c>
      <c r="D329" s="621">
        <v>17.029299999999999</v>
      </c>
      <c r="E329" s="363">
        <v>12.3</v>
      </c>
      <c r="F329" s="363">
        <f t="shared" si="149"/>
        <v>-45770.165399999983</v>
      </c>
      <c r="G329" s="363">
        <f t="shared" si="150"/>
        <v>164809.56539999999</v>
      </c>
      <c r="H329" s="364">
        <f t="shared" si="148"/>
        <v>-0.27771546687180321</v>
      </c>
      <c r="I329" s="363"/>
    </row>
    <row r="330" spans="2:14" x14ac:dyDescent="0.25">
      <c r="B330" s="620">
        <v>42506</v>
      </c>
      <c r="C330" s="362">
        <v>9678</v>
      </c>
      <c r="D330" s="621">
        <v>17.027699999999999</v>
      </c>
      <c r="E330" s="363">
        <v>12.78</v>
      </c>
      <c r="F330" s="363">
        <f t="shared" si="149"/>
        <v>-41109.240599999997</v>
      </c>
      <c r="G330" s="363">
        <f t="shared" si="150"/>
        <v>164794.08059999999</v>
      </c>
      <c r="H330" s="364">
        <f t="shared" si="148"/>
        <v>-0.24945823569830336</v>
      </c>
      <c r="I330" s="363"/>
    </row>
    <row r="331" spans="2:14" x14ac:dyDescent="0.25">
      <c r="B331" s="620">
        <v>42513</v>
      </c>
      <c r="C331" s="362">
        <v>9178</v>
      </c>
      <c r="D331" s="621">
        <v>17.244399999999999</v>
      </c>
      <c r="E331" s="363">
        <v>13.19</v>
      </c>
      <c r="F331" s="363">
        <f t="shared" si="149"/>
        <v>-37211.283199999991</v>
      </c>
      <c r="G331" s="363">
        <f t="shared" si="150"/>
        <v>158269.10319999998</v>
      </c>
      <c r="H331" s="364">
        <f t="shared" si="148"/>
        <v>-0.23511400802579385</v>
      </c>
      <c r="I331" s="363"/>
    </row>
    <row r="332" spans="2:14" x14ac:dyDescent="0.25">
      <c r="B332" s="620">
        <v>42514</v>
      </c>
      <c r="C332" s="362">
        <v>9678</v>
      </c>
      <c r="D332" s="621">
        <v>17.026</v>
      </c>
      <c r="E332" s="363">
        <v>13.02</v>
      </c>
      <c r="F332" s="363">
        <f t="shared" si="149"/>
        <v>-38770.067999999999</v>
      </c>
      <c r="G332" s="363">
        <f t="shared" si="150"/>
        <v>164777.628</v>
      </c>
      <c r="H332" s="364">
        <f t="shared" si="148"/>
        <v>-0.23528720779983556</v>
      </c>
      <c r="I332" s="363"/>
    </row>
    <row r="333" spans="2:14" x14ac:dyDescent="0.25">
      <c r="B333" s="620">
        <v>42515</v>
      </c>
      <c r="C333" s="362">
        <v>9178</v>
      </c>
      <c r="D333" s="621">
        <v>17.206800000000001</v>
      </c>
      <c r="E333" s="363">
        <v>13.54</v>
      </c>
      <c r="F333" s="363">
        <f t="shared" si="149"/>
        <v>-33653.890400000018</v>
      </c>
      <c r="G333" s="363">
        <f t="shared" si="150"/>
        <v>157924.0104</v>
      </c>
      <c r="H333" s="364">
        <f t="shared" si="148"/>
        <v>-0.21310179696399109</v>
      </c>
      <c r="I333" s="363"/>
    </row>
    <row r="334" spans="2:14" x14ac:dyDescent="0.25">
      <c r="B334" s="620">
        <v>42516</v>
      </c>
      <c r="C334" s="362">
        <v>9678</v>
      </c>
      <c r="D334" s="621">
        <v>17.003799999999998</v>
      </c>
      <c r="E334" s="363">
        <v>13.17</v>
      </c>
      <c r="F334" s="363">
        <f t="shared" si="149"/>
        <v>-37103.516399999986</v>
      </c>
      <c r="G334" s="363">
        <f t="shared" si="150"/>
        <v>164562.77639999997</v>
      </c>
      <c r="H334" s="364">
        <f t="shared" si="148"/>
        <v>-0.22546724849739463</v>
      </c>
      <c r="I334" s="363"/>
    </row>
    <row r="335" spans="2:14" x14ac:dyDescent="0.25">
      <c r="B335" s="620">
        <v>42517</v>
      </c>
      <c r="C335" s="362">
        <v>9678</v>
      </c>
      <c r="D335" s="621">
        <v>16.999700000000001</v>
      </c>
      <c r="E335" s="363">
        <v>12.9</v>
      </c>
      <c r="F335" s="363">
        <f t="shared" si="149"/>
        <v>-39676.8966</v>
      </c>
      <c r="G335" s="363">
        <f t="shared" si="150"/>
        <v>164523.09660000002</v>
      </c>
      <c r="H335" s="364">
        <f t="shared" si="148"/>
        <v>-0.2411630793484591</v>
      </c>
      <c r="I335" s="363"/>
    </row>
    <row r="336" spans="2:14" x14ac:dyDescent="0.25">
      <c r="B336" s="620">
        <v>42525</v>
      </c>
      <c r="C336" s="362">
        <v>9678</v>
      </c>
      <c r="D336" s="621">
        <v>16.9956</v>
      </c>
      <c r="E336" s="363">
        <v>13.32</v>
      </c>
      <c r="F336" s="363">
        <f t="shared" si="149"/>
        <v>-35572.456799999993</v>
      </c>
      <c r="G336" s="363">
        <f t="shared" si="150"/>
        <v>164483.41680000001</v>
      </c>
      <c r="H336" s="364">
        <f t="shared" si="148"/>
        <v>-0.21626773988561743</v>
      </c>
      <c r="I336" s="363"/>
    </row>
    <row r="337" spans="2:9" x14ac:dyDescent="0.25">
      <c r="B337" s="620">
        <v>42527</v>
      </c>
      <c r="C337" s="362">
        <v>8178</v>
      </c>
      <c r="D337" s="621">
        <v>17.568999999999999</v>
      </c>
      <c r="E337" s="363">
        <v>13.96</v>
      </c>
      <c r="F337" s="363">
        <f t="shared" si="149"/>
        <v>-29514.401999999984</v>
      </c>
      <c r="G337" s="363">
        <f t="shared" si="150"/>
        <v>143679.28200000001</v>
      </c>
      <c r="H337" s="364">
        <f t="shared" si="148"/>
        <v>-0.20541863509590746</v>
      </c>
      <c r="I337" s="363"/>
    </row>
    <row r="338" spans="2:9" x14ac:dyDescent="0.25">
      <c r="B338" s="620">
        <v>42528</v>
      </c>
      <c r="C338" s="362">
        <v>7678</v>
      </c>
      <c r="D338" s="621">
        <v>17.759599999999999</v>
      </c>
      <c r="E338" s="363">
        <v>14.62</v>
      </c>
      <c r="F338" s="363">
        <f t="shared" si="149"/>
        <v>-24105.848799999996</v>
      </c>
      <c r="G338" s="363">
        <f t="shared" si="150"/>
        <v>136358.20879999999</v>
      </c>
      <c r="H338" s="364">
        <f t="shared" si="148"/>
        <v>-0.17678326088425414</v>
      </c>
      <c r="I338" s="363"/>
    </row>
    <row r="339" spans="2:9" x14ac:dyDescent="0.25">
      <c r="B339" s="620">
        <v>42529</v>
      </c>
      <c r="C339" s="362">
        <v>8178</v>
      </c>
      <c r="D339" s="621">
        <v>17.5654</v>
      </c>
      <c r="E339" s="363">
        <v>14.53</v>
      </c>
      <c r="F339" s="363">
        <f t="shared" si="149"/>
        <v>-24823.50120000001</v>
      </c>
      <c r="G339" s="363">
        <f t="shared" si="150"/>
        <v>143649.8412</v>
      </c>
      <c r="H339" s="364">
        <f t="shared" si="148"/>
        <v>-0.17280562924840887</v>
      </c>
      <c r="I339" s="363"/>
    </row>
    <row r="340" spans="2:9" x14ac:dyDescent="0.25">
      <c r="B340" s="620">
        <v>42531</v>
      </c>
      <c r="C340" s="362">
        <v>8978</v>
      </c>
      <c r="D340" s="621">
        <v>17.1751</v>
      </c>
      <c r="E340" s="363">
        <v>13.42</v>
      </c>
      <c r="F340" s="363">
        <f t="shared" ref="F340:F348" si="151">C340*(E340-D340)</f>
        <v>-33713.287800000006</v>
      </c>
      <c r="G340" s="363">
        <f t="shared" ref="G340:G348" si="152">IF(C340=0, 0,D340*C340)</f>
        <v>154198.0478</v>
      </c>
      <c r="H340" s="364">
        <f t="shared" ref="H340:H348" si="153">IF(C340=0, D340, (E340-D340)/D340)</f>
        <v>-0.21863628159370255</v>
      </c>
      <c r="I340" s="363"/>
    </row>
    <row r="341" spans="2:9" x14ac:dyDescent="0.25">
      <c r="B341" s="620">
        <v>42531</v>
      </c>
      <c r="C341" s="383">
        <v>9278</v>
      </c>
      <c r="D341" s="622">
        <v>17.1052</v>
      </c>
      <c r="E341" s="363">
        <v>13.42</v>
      </c>
      <c r="F341" s="363">
        <f t="shared" si="151"/>
        <v>-34191.285600000003</v>
      </c>
      <c r="G341" s="363">
        <f t="shared" si="152"/>
        <v>158702.04560000001</v>
      </c>
      <c r="H341" s="364">
        <f t="shared" si="153"/>
        <v>-0.21544325702125669</v>
      </c>
      <c r="I341" s="363"/>
    </row>
    <row r="342" spans="2:9" x14ac:dyDescent="0.25">
      <c r="B342" s="620">
        <v>42532</v>
      </c>
      <c r="C342" s="362">
        <v>9278</v>
      </c>
      <c r="D342" s="621">
        <v>17.053000000000001</v>
      </c>
      <c r="E342" s="363">
        <v>13.42</v>
      </c>
      <c r="F342" s="363">
        <f t="shared" si="151"/>
        <v>-33706.974000000009</v>
      </c>
      <c r="G342" s="363">
        <f t="shared" si="152"/>
        <v>158217.734</v>
      </c>
      <c r="H342" s="364">
        <f t="shared" si="153"/>
        <v>-0.21304169354365804</v>
      </c>
      <c r="I342" s="363" t="s">
        <v>182</v>
      </c>
    </row>
    <row r="343" spans="2:9" x14ac:dyDescent="0.25">
      <c r="B343" s="620">
        <v>42535</v>
      </c>
      <c r="C343" s="362">
        <v>9678</v>
      </c>
      <c r="D343" s="621">
        <v>16.879300000000001</v>
      </c>
      <c r="E343" s="363">
        <v>13.23</v>
      </c>
      <c r="F343" s="363">
        <f t="shared" si="151"/>
        <v>-35317.9254</v>
      </c>
      <c r="G343" s="363">
        <f t="shared" si="152"/>
        <v>163357.86540000001</v>
      </c>
      <c r="H343" s="364">
        <f t="shared" si="153"/>
        <v>-0.21619972392220058</v>
      </c>
      <c r="I343" s="363" t="s">
        <v>218</v>
      </c>
    </row>
    <row r="344" spans="2:9" x14ac:dyDescent="0.25">
      <c r="B344" s="620">
        <v>42536</v>
      </c>
      <c r="C344" s="362">
        <v>9278</v>
      </c>
      <c r="D344" s="621">
        <v>17.027999999999999</v>
      </c>
      <c r="E344" s="363">
        <v>13.06</v>
      </c>
      <c r="F344" s="363">
        <f t="shared" si="151"/>
        <v>-36815.103999999985</v>
      </c>
      <c r="G344" s="363">
        <f t="shared" si="152"/>
        <v>157985.78399999999</v>
      </c>
      <c r="H344" s="364">
        <f t="shared" si="153"/>
        <v>-0.23302795395818643</v>
      </c>
      <c r="I344" s="363"/>
    </row>
    <row r="345" spans="2:9" x14ac:dyDescent="0.25">
      <c r="B345" s="620">
        <v>42537</v>
      </c>
      <c r="C345" s="383">
        <v>9278</v>
      </c>
      <c r="D345" s="622">
        <v>17.0168</v>
      </c>
      <c r="E345" s="363">
        <v>12.67</v>
      </c>
      <c r="F345" s="363">
        <f t="shared" si="151"/>
        <v>-40329.610399999998</v>
      </c>
      <c r="G345" s="363">
        <f t="shared" si="152"/>
        <v>157881.87039999999</v>
      </c>
      <c r="H345" s="364">
        <f t="shared" si="153"/>
        <v>-0.25544168116214566</v>
      </c>
      <c r="I345" s="363"/>
    </row>
    <row r="346" spans="2:9" x14ac:dyDescent="0.25">
      <c r="B346" s="620">
        <v>42538</v>
      </c>
      <c r="C346" s="383">
        <v>9278</v>
      </c>
      <c r="D346" s="622">
        <v>17.0061</v>
      </c>
      <c r="E346" s="363">
        <v>13.16</v>
      </c>
      <c r="F346" s="363">
        <f t="shared" si="151"/>
        <v>-35684.1158</v>
      </c>
      <c r="G346" s="363">
        <f t="shared" si="152"/>
        <v>157782.59580000001</v>
      </c>
      <c r="H346" s="364">
        <f t="shared" si="153"/>
        <v>-0.2261600249322302</v>
      </c>
      <c r="I346" s="363"/>
    </row>
    <row r="347" spans="2:9" x14ac:dyDescent="0.25">
      <c r="B347" s="620">
        <v>42541</v>
      </c>
      <c r="C347" s="362">
        <v>7678</v>
      </c>
      <c r="D347" s="621">
        <v>17.568000000000001</v>
      </c>
      <c r="E347" s="363">
        <v>14.48</v>
      </c>
      <c r="F347" s="363">
        <f t="shared" si="151"/>
        <v>-23709.664000000008</v>
      </c>
      <c r="G347" s="363">
        <f t="shared" si="152"/>
        <v>134887.10400000002</v>
      </c>
      <c r="H347" s="365">
        <f t="shared" si="153"/>
        <v>-0.17577413479052828</v>
      </c>
      <c r="I347" s="363"/>
    </row>
    <row r="348" spans="2:9" x14ac:dyDescent="0.25">
      <c r="B348" s="620">
        <v>42542</v>
      </c>
      <c r="C348" s="362">
        <v>6800</v>
      </c>
      <c r="D348" s="621">
        <v>17.892099999999999</v>
      </c>
      <c r="E348" s="363">
        <v>15.09</v>
      </c>
      <c r="F348" s="363">
        <f t="shared" si="151"/>
        <v>-19054.279999999995</v>
      </c>
      <c r="G348" s="363">
        <f t="shared" si="152"/>
        <v>121666.28</v>
      </c>
      <c r="H348" s="365">
        <f t="shared" si="153"/>
        <v>-0.15661101827063337</v>
      </c>
      <c r="I348" s="363"/>
    </row>
    <row r="349" spans="2:9" x14ac:dyDescent="0.25">
      <c r="B349" s="620">
        <v>42543</v>
      </c>
      <c r="C349" s="362">
        <v>7300</v>
      </c>
      <c r="D349" s="621">
        <v>17.6769</v>
      </c>
      <c r="E349" s="363">
        <v>14.75</v>
      </c>
      <c r="F349" s="363">
        <f t="shared" ref="F349:F357" si="154">C349*(E349-D349)</f>
        <v>-21366.37</v>
      </c>
      <c r="G349" s="363">
        <f t="shared" ref="G349:G357" si="155">IF(C349=0, 0,D349*C349)</f>
        <v>129041.37</v>
      </c>
      <c r="H349" s="365">
        <f t="shared" ref="H349:H357" si="156">IF(C349=0, D349, (E349-D349)/D349)</f>
        <v>-0.16557767481854849</v>
      </c>
      <c r="I349" s="363"/>
    </row>
    <row r="350" spans="2:9" x14ac:dyDescent="0.25">
      <c r="B350" s="620">
        <v>42544</v>
      </c>
      <c r="C350" s="362">
        <v>6800</v>
      </c>
      <c r="D350" s="621">
        <v>17.856100000000001</v>
      </c>
      <c r="E350" s="363">
        <v>15.27</v>
      </c>
      <c r="F350" s="363">
        <f t="shared" si="154"/>
        <v>-17585.480000000014</v>
      </c>
      <c r="G350" s="363">
        <f t="shared" si="155"/>
        <v>121421.48000000001</v>
      </c>
      <c r="H350" s="365">
        <f t="shared" si="156"/>
        <v>-0.1448300580753917</v>
      </c>
      <c r="I350" s="363"/>
    </row>
    <row r="351" spans="2:9" x14ac:dyDescent="0.25">
      <c r="B351" s="620">
        <v>42545</v>
      </c>
      <c r="C351" s="362">
        <v>7678</v>
      </c>
      <c r="D351" s="621">
        <v>17.462</v>
      </c>
      <c r="E351" s="363">
        <v>14.41</v>
      </c>
      <c r="F351" s="363">
        <f t="shared" si="154"/>
        <v>-23433.255999999998</v>
      </c>
      <c r="G351" s="363">
        <f t="shared" si="155"/>
        <v>134073.236</v>
      </c>
      <c r="H351" s="365">
        <f t="shared" si="156"/>
        <v>-0.17477952124613444</v>
      </c>
      <c r="I351" s="363"/>
    </row>
    <row r="352" spans="2:9" x14ac:dyDescent="0.25">
      <c r="B352" s="620">
        <v>42545</v>
      </c>
      <c r="C352" s="362">
        <v>8013</v>
      </c>
      <c r="D352" s="621">
        <v>17.32</v>
      </c>
      <c r="E352" s="363">
        <v>14.68</v>
      </c>
      <c r="F352" s="363">
        <f t="shared" si="154"/>
        <v>-21154.320000000003</v>
      </c>
      <c r="G352" s="363">
        <f t="shared" si="155"/>
        <v>138785.16</v>
      </c>
      <c r="H352" s="365">
        <f t="shared" si="156"/>
        <v>-0.15242494226327949</v>
      </c>
      <c r="I352" s="363"/>
    </row>
    <row r="353" spans="2:14" ht="15" customHeight="1" x14ac:dyDescent="0.25">
      <c r="B353" s="620">
        <v>42548</v>
      </c>
      <c r="C353" s="362">
        <v>8978</v>
      </c>
      <c r="D353" s="621">
        <v>16.943300000000001</v>
      </c>
      <c r="E353" s="363">
        <v>13.66</v>
      </c>
      <c r="F353" s="363">
        <f t="shared" si="154"/>
        <v>-29477.467400000005</v>
      </c>
      <c r="G353" s="363">
        <f t="shared" si="155"/>
        <v>152116.9474</v>
      </c>
      <c r="H353" s="365">
        <f t="shared" si="156"/>
        <v>-0.19378161279089673</v>
      </c>
      <c r="I353" s="363"/>
    </row>
    <row r="354" spans="2:14" x14ac:dyDescent="0.25">
      <c r="B354" s="620">
        <v>42548</v>
      </c>
      <c r="C354" s="362">
        <v>9278</v>
      </c>
      <c r="D354" s="621">
        <v>16.834599999999998</v>
      </c>
      <c r="E354" s="363">
        <v>13.66</v>
      </c>
      <c r="F354" s="363">
        <f t="shared" si="154"/>
        <v>-29453.938799999982</v>
      </c>
      <c r="G354" s="363">
        <f t="shared" si="155"/>
        <v>156191.41879999998</v>
      </c>
      <c r="H354" s="364">
        <f t="shared" si="156"/>
        <v>-0.18857590913951019</v>
      </c>
      <c r="I354" s="363"/>
    </row>
    <row r="355" spans="2:14" x14ac:dyDescent="0.25">
      <c r="B355" s="620">
        <v>42549</v>
      </c>
      <c r="C355" s="362">
        <v>8178</v>
      </c>
      <c r="D355" s="621">
        <v>17.124400000000001</v>
      </c>
      <c r="E355" s="363">
        <v>14.78</v>
      </c>
      <c r="F355" s="363">
        <f t="shared" si="154"/>
        <v>-19172.503200000017</v>
      </c>
      <c r="G355" s="363">
        <f t="shared" si="155"/>
        <v>140043.3432</v>
      </c>
      <c r="H355" s="364">
        <f t="shared" si="156"/>
        <v>-0.13690406671182651</v>
      </c>
      <c r="I355" s="363">
        <v>17</v>
      </c>
    </row>
    <row r="356" spans="2:14" x14ac:dyDescent="0.25">
      <c r="B356" s="620">
        <v>42552</v>
      </c>
      <c r="C356" s="362">
        <v>7678</v>
      </c>
      <c r="D356" s="621">
        <v>17.2315</v>
      </c>
      <c r="E356" s="363">
        <v>15.48</v>
      </c>
      <c r="F356" s="363">
        <f t="shared" si="154"/>
        <v>-13448.017</v>
      </c>
      <c r="G356" s="363">
        <f t="shared" si="155"/>
        <v>132303.45699999999</v>
      </c>
      <c r="H356" s="364">
        <f t="shared" si="156"/>
        <v>-0.1016452427240809</v>
      </c>
      <c r="I356" s="363">
        <v>17</v>
      </c>
      <c r="N356" s="29"/>
    </row>
    <row r="357" spans="2:14" x14ac:dyDescent="0.25">
      <c r="B357" s="620">
        <v>42552</v>
      </c>
      <c r="C357" s="362">
        <v>7300</v>
      </c>
      <c r="D357" s="621">
        <v>17.313400000000001</v>
      </c>
      <c r="E357" s="363">
        <v>15.65</v>
      </c>
      <c r="F357" s="363">
        <f t="shared" si="154"/>
        <v>-12142.820000000009</v>
      </c>
      <c r="G357" s="363">
        <f t="shared" si="155"/>
        <v>126387.82</v>
      </c>
      <c r="H357" s="364">
        <f t="shared" si="156"/>
        <v>-9.6075871868032903E-2</v>
      </c>
      <c r="I357" s="363"/>
    </row>
    <row r="358" spans="2:14" x14ac:dyDescent="0.25">
      <c r="B358" s="620">
        <v>42552</v>
      </c>
      <c r="C358" s="362">
        <v>6800</v>
      </c>
      <c r="D358" s="621">
        <v>17.446100000000001</v>
      </c>
      <c r="E358" s="363">
        <v>15.7</v>
      </c>
      <c r="F358" s="363">
        <f t="shared" ref="F358:F379" si="157">C358*(E358-D358)</f>
        <v>-11873.480000000014</v>
      </c>
      <c r="G358" s="363">
        <f t="shared" ref="G358:G379" si="158">IF(C358=0, 0,D358*C358)</f>
        <v>118633.48000000001</v>
      </c>
      <c r="H358" s="364">
        <f t="shared" ref="H358:H379" si="159">IF(C358=0, D358, (E358-D358)/D358)</f>
        <v>-0.10008540590733757</v>
      </c>
      <c r="I358" s="363"/>
    </row>
    <row r="359" spans="2:14" x14ac:dyDescent="0.25">
      <c r="B359" s="620">
        <v>42552</v>
      </c>
      <c r="C359" s="362">
        <v>6000</v>
      </c>
      <c r="D359" s="621">
        <v>17.668199999999999</v>
      </c>
      <c r="E359" s="363">
        <v>15.68</v>
      </c>
      <c r="F359" s="363">
        <f t="shared" si="157"/>
        <v>-11929.199999999995</v>
      </c>
      <c r="G359" s="363">
        <f t="shared" si="158"/>
        <v>106009.2</v>
      </c>
      <c r="H359" s="364">
        <f t="shared" si="159"/>
        <v>-0.11252985589929926</v>
      </c>
      <c r="I359" s="363"/>
    </row>
    <row r="360" spans="2:14" x14ac:dyDescent="0.25">
      <c r="B360" s="620">
        <v>42556</v>
      </c>
      <c r="C360" s="362">
        <v>8178</v>
      </c>
      <c r="D360" s="621">
        <v>16.978899999999999</v>
      </c>
      <c r="E360" s="363">
        <v>14.72</v>
      </c>
      <c r="F360" s="363">
        <f t="shared" si="157"/>
        <v>-18473.284199999991</v>
      </c>
      <c r="G360" s="363">
        <f t="shared" si="158"/>
        <v>138853.4442</v>
      </c>
      <c r="H360" s="364">
        <f t="shared" si="159"/>
        <v>-0.13304159869013887</v>
      </c>
      <c r="I360" s="363">
        <v>16.75</v>
      </c>
    </row>
    <row r="361" spans="2:14" x14ac:dyDescent="0.25">
      <c r="B361" s="620">
        <v>42556</v>
      </c>
      <c r="C361" s="362">
        <v>8678</v>
      </c>
      <c r="D361" s="621">
        <v>16.843</v>
      </c>
      <c r="E361" s="363">
        <v>14.72</v>
      </c>
      <c r="F361" s="363">
        <f t="shared" si="157"/>
        <v>-18423.393999999993</v>
      </c>
      <c r="G361" s="363">
        <f t="shared" si="158"/>
        <v>146163.554</v>
      </c>
      <c r="H361" s="364">
        <f t="shared" si="159"/>
        <v>-0.12604642878347083</v>
      </c>
      <c r="I361" s="363"/>
    </row>
    <row r="362" spans="2:14" x14ac:dyDescent="0.25">
      <c r="B362" s="620">
        <v>42557</v>
      </c>
      <c r="C362" s="362">
        <v>8178</v>
      </c>
      <c r="D362" s="621">
        <v>16.960599999999999</v>
      </c>
      <c r="E362" s="363">
        <v>14.84</v>
      </c>
      <c r="F362" s="363">
        <f t="shared" si="157"/>
        <v>-17342.266799999998</v>
      </c>
      <c r="G362" s="363">
        <f t="shared" si="158"/>
        <v>138703.7868</v>
      </c>
      <c r="H362" s="364">
        <f t="shared" si="159"/>
        <v>-0.12503095409360515</v>
      </c>
      <c r="I362" s="363">
        <v>16.75</v>
      </c>
    </row>
    <row r="363" spans="2:14" x14ac:dyDescent="0.25">
      <c r="B363" s="620">
        <v>42557</v>
      </c>
      <c r="C363" s="362">
        <v>8678</v>
      </c>
      <c r="D363" s="621">
        <v>16.835000000000001</v>
      </c>
      <c r="E363" s="363">
        <v>14.84</v>
      </c>
      <c r="F363" s="363">
        <f t="shared" si="157"/>
        <v>-17312.610000000008</v>
      </c>
      <c r="G363" s="363">
        <f t="shared" si="158"/>
        <v>146094.13</v>
      </c>
      <c r="H363" s="364">
        <f t="shared" si="159"/>
        <v>-0.11850311850311855</v>
      </c>
      <c r="I363" s="363"/>
    </row>
    <row r="364" spans="2:14" ht="15" customHeight="1" x14ac:dyDescent="0.25">
      <c r="B364" s="620">
        <v>42559</v>
      </c>
      <c r="C364" s="362">
        <v>8678</v>
      </c>
      <c r="D364" s="621">
        <v>16.835000000000001</v>
      </c>
      <c r="E364" s="363">
        <v>14.92</v>
      </c>
      <c r="F364" s="363">
        <f t="shared" si="157"/>
        <v>-16618.370000000006</v>
      </c>
      <c r="G364" s="363">
        <f t="shared" si="158"/>
        <v>146094.13</v>
      </c>
      <c r="H364" s="364">
        <f t="shared" si="159"/>
        <v>-0.1137511137511138</v>
      </c>
      <c r="I364" s="363"/>
    </row>
    <row r="365" spans="2:14" x14ac:dyDescent="0.25">
      <c r="B365" s="620">
        <v>42562</v>
      </c>
      <c r="C365" s="362">
        <v>8678</v>
      </c>
      <c r="D365" s="621">
        <v>16.835000000000001</v>
      </c>
      <c r="E365" s="363">
        <v>14.69</v>
      </c>
      <c r="F365" s="363">
        <f t="shared" si="157"/>
        <v>-18614.310000000012</v>
      </c>
      <c r="G365" s="363">
        <f t="shared" si="158"/>
        <v>146094.13</v>
      </c>
      <c r="H365" s="364">
        <f t="shared" si="159"/>
        <v>-0.12741312741312749</v>
      </c>
      <c r="I365" s="363"/>
    </row>
    <row r="366" spans="2:14" x14ac:dyDescent="0.25">
      <c r="B366" s="620">
        <v>42563</v>
      </c>
      <c r="C366" s="362">
        <v>8678</v>
      </c>
      <c r="D366" s="621">
        <v>16.835000000000001</v>
      </c>
      <c r="E366" s="363">
        <v>15.6</v>
      </c>
      <c r="F366" s="363">
        <f t="shared" si="157"/>
        <v>-10717.330000000011</v>
      </c>
      <c r="G366" s="363">
        <f t="shared" si="158"/>
        <v>146094.13</v>
      </c>
      <c r="H366" s="364">
        <f t="shared" si="159"/>
        <v>-7.3359073359073421E-2</v>
      </c>
      <c r="I366" s="363"/>
    </row>
    <row r="367" spans="2:14" x14ac:dyDescent="0.25">
      <c r="B367" s="620">
        <v>42564</v>
      </c>
      <c r="C367" s="362">
        <v>8738</v>
      </c>
      <c r="D367" s="621">
        <v>16.816099999999999</v>
      </c>
      <c r="E367" s="363">
        <v>15.29</v>
      </c>
      <c r="F367" s="363">
        <f t="shared" si="157"/>
        <v>-13335.061799999996</v>
      </c>
      <c r="G367" s="363">
        <f t="shared" si="158"/>
        <v>146939.08179999999</v>
      </c>
      <c r="H367" s="364">
        <f t="shared" si="159"/>
        <v>-9.0752314745987453E-2</v>
      </c>
      <c r="I367" s="363"/>
    </row>
    <row r="368" spans="2:14" x14ac:dyDescent="0.25">
      <c r="B368" s="620">
        <v>42566</v>
      </c>
      <c r="C368" s="362">
        <v>8738</v>
      </c>
      <c r="D368" s="621">
        <v>16.816099999999999</v>
      </c>
      <c r="E368" s="363">
        <v>15.21</v>
      </c>
      <c r="F368" s="363">
        <f t="shared" si="157"/>
        <v>-14034.101799999982</v>
      </c>
      <c r="G368" s="363">
        <f t="shared" si="158"/>
        <v>146939.08179999999</v>
      </c>
      <c r="H368" s="364">
        <f t="shared" si="159"/>
        <v>-9.5509660384988079E-2</v>
      </c>
      <c r="I368" s="363"/>
    </row>
    <row r="369" spans="2:9" x14ac:dyDescent="0.25">
      <c r="B369" s="620">
        <v>42570</v>
      </c>
      <c r="C369" s="362">
        <v>9138</v>
      </c>
      <c r="D369" s="621">
        <v>16.733499999999999</v>
      </c>
      <c r="E369" s="363">
        <v>14.75</v>
      </c>
      <c r="F369" s="363">
        <f t="shared" si="157"/>
        <v>-18125.222999999994</v>
      </c>
      <c r="G369" s="363">
        <f t="shared" si="158"/>
        <v>152910.723</v>
      </c>
      <c r="H369" s="364">
        <f t="shared" si="159"/>
        <v>-0.1185346759494427</v>
      </c>
      <c r="I369" s="363"/>
    </row>
    <row r="370" spans="2:9" x14ac:dyDescent="0.25">
      <c r="B370" s="620">
        <v>42571</v>
      </c>
      <c r="C370" s="383">
        <v>9138</v>
      </c>
      <c r="D370" s="622">
        <v>16.7227</v>
      </c>
      <c r="E370" s="363">
        <v>14.84</v>
      </c>
      <c r="F370" s="363">
        <f t="shared" si="157"/>
        <v>-17204.112599999997</v>
      </c>
      <c r="G370" s="363">
        <f t="shared" si="158"/>
        <v>152812.03260000001</v>
      </c>
      <c r="H370" s="364">
        <f t="shared" si="159"/>
        <v>-0.11258349429218965</v>
      </c>
      <c r="I370" s="363"/>
    </row>
    <row r="371" spans="2:9" x14ac:dyDescent="0.25">
      <c r="B371" s="620">
        <v>42572</v>
      </c>
      <c r="C371" s="362">
        <v>9138</v>
      </c>
      <c r="D371" s="621">
        <v>16.718900000000001</v>
      </c>
      <c r="E371" s="363">
        <v>14.42</v>
      </c>
      <c r="F371" s="363">
        <f t="shared" si="157"/>
        <v>-21007.348200000015</v>
      </c>
      <c r="G371" s="363">
        <f t="shared" si="158"/>
        <v>152777.3082</v>
      </c>
      <c r="H371" s="364">
        <f t="shared" si="159"/>
        <v>-0.13750306539305823</v>
      </c>
      <c r="I371" s="363"/>
    </row>
    <row r="372" spans="2:9" x14ac:dyDescent="0.25">
      <c r="B372" s="620">
        <v>42573</v>
      </c>
      <c r="C372" s="362">
        <v>9278</v>
      </c>
      <c r="D372" s="621">
        <v>16.679099999999998</v>
      </c>
      <c r="E372" s="363">
        <v>14.11</v>
      </c>
      <c r="F372" s="363">
        <f t="shared" si="157"/>
        <v>-23836.109799999987</v>
      </c>
      <c r="G372" s="363">
        <f t="shared" si="158"/>
        <v>154748.68979999999</v>
      </c>
      <c r="H372" s="364">
        <f t="shared" si="159"/>
        <v>-0.15403109280476759</v>
      </c>
      <c r="I372" s="363"/>
    </row>
    <row r="373" spans="2:9" x14ac:dyDescent="0.25">
      <c r="B373" s="620">
        <v>42576</v>
      </c>
      <c r="C373" s="362">
        <v>9478</v>
      </c>
      <c r="D373" s="621">
        <v>16.613099999999999</v>
      </c>
      <c r="E373" s="363">
        <v>13.58</v>
      </c>
      <c r="F373" s="363">
        <f t="shared" si="157"/>
        <v>-28747.721799999992</v>
      </c>
      <c r="G373" s="363">
        <f t="shared" si="158"/>
        <v>157458.96179999999</v>
      </c>
      <c r="H373" s="364">
        <f t="shared" si="159"/>
        <v>-0.18257278894366491</v>
      </c>
      <c r="I373" s="363"/>
    </row>
    <row r="374" spans="2:9" x14ac:dyDescent="0.25">
      <c r="B374" s="620">
        <v>42577</v>
      </c>
      <c r="C374" s="383">
        <v>9278</v>
      </c>
      <c r="D374" s="622">
        <v>16.674199999999999</v>
      </c>
      <c r="E374" s="363">
        <v>13.78</v>
      </c>
      <c r="F374" s="363">
        <f t="shared" si="157"/>
        <v>-26852.387599999998</v>
      </c>
      <c r="G374" s="363">
        <f t="shared" si="158"/>
        <v>154703.22759999998</v>
      </c>
      <c r="H374" s="364">
        <f t="shared" si="159"/>
        <v>-0.17357354475776948</v>
      </c>
      <c r="I374" s="363">
        <v>16.53</v>
      </c>
    </row>
    <row r="375" spans="2:9" x14ac:dyDescent="0.25">
      <c r="B375" s="620">
        <v>42578</v>
      </c>
      <c r="C375" s="383">
        <v>9478</v>
      </c>
      <c r="D375" s="622">
        <v>16.6004</v>
      </c>
      <c r="E375" s="363">
        <v>13.13</v>
      </c>
      <c r="F375" s="363">
        <f t="shared" si="157"/>
        <v>-32892.451199999996</v>
      </c>
      <c r="G375" s="363">
        <f t="shared" si="158"/>
        <v>157338.5912</v>
      </c>
      <c r="H375" s="364">
        <f t="shared" si="159"/>
        <v>-0.20905520348907253</v>
      </c>
      <c r="I375" s="363"/>
    </row>
    <row r="376" spans="2:9" x14ac:dyDescent="0.25">
      <c r="B376" s="620">
        <v>42580</v>
      </c>
      <c r="C376" s="362">
        <v>9478</v>
      </c>
      <c r="D376" s="621">
        <v>16.599</v>
      </c>
      <c r="E376" s="363">
        <v>13.64</v>
      </c>
      <c r="F376" s="363">
        <f t="shared" si="157"/>
        <v>-28045.401999999998</v>
      </c>
      <c r="G376" s="363">
        <f t="shared" si="158"/>
        <v>157325.32200000001</v>
      </c>
      <c r="H376" s="365">
        <f t="shared" si="159"/>
        <v>-0.17826375082836313</v>
      </c>
      <c r="I376" s="363"/>
    </row>
    <row r="377" spans="2:9" x14ac:dyDescent="0.25">
      <c r="B377" s="620">
        <v>42580</v>
      </c>
      <c r="C377" s="362">
        <v>9278</v>
      </c>
      <c r="D377" s="621">
        <v>16.664000000000001</v>
      </c>
      <c r="E377" s="363">
        <v>13.64</v>
      </c>
      <c r="F377" s="363">
        <f t="shared" si="157"/>
        <v>-28056.67200000001</v>
      </c>
      <c r="G377" s="363">
        <f t="shared" si="158"/>
        <v>154608.592</v>
      </c>
      <c r="H377" s="365">
        <f t="shared" si="159"/>
        <v>-0.18146903504560732</v>
      </c>
      <c r="I377" s="363">
        <v>16.53</v>
      </c>
    </row>
    <row r="378" spans="2:9" x14ac:dyDescent="0.25">
      <c r="B378" s="620">
        <v>42583</v>
      </c>
      <c r="C378" s="362">
        <v>9478</v>
      </c>
      <c r="D378" s="621">
        <v>16.5871</v>
      </c>
      <c r="E378" s="363">
        <v>12.92</v>
      </c>
      <c r="F378" s="363">
        <f t="shared" si="157"/>
        <v>-34756.773799999995</v>
      </c>
      <c r="G378" s="363">
        <f t="shared" si="158"/>
        <v>157212.5338</v>
      </c>
      <c r="H378" s="365">
        <f t="shared" si="159"/>
        <v>-0.22108144280796521</v>
      </c>
      <c r="I378" s="363"/>
    </row>
    <row r="379" spans="2:9" x14ac:dyDescent="0.25">
      <c r="B379" s="620">
        <v>42584</v>
      </c>
      <c r="C379" s="362">
        <v>9678</v>
      </c>
      <c r="D379" s="621">
        <v>16.5063</v>
      </c>
      <c r="E379" s="363">
        <v>12.9</v>
      </c>
      <c r="F379" s="363">
        <f t="shared" si="157"/>
        <v>-34901.771399999991</v>
      </c>
      <c r="G379" s="363">
        <f t="shared" si="158"/>
        <v>159747.97140000001</v>
      </c>
      <c r="H379" s="365">
        <f t="shared" si="159"/>
        <v>-0.21848021664455386</v>
      </c>
      <c r="I379" s="363"/>
    </row>
    <row r="380" spans="2:9" x14ac:dyDescent="0.25">
      <c r="B380" s="620">
        <v>42585</v>
      </c>
      <c r="C380" s="362">
        <v>10078</v>
      </c>
      <c r="D380" s="621">
        <v>16.5063</v>
      </c>
      <c r="E380" s="363">
        <v>12.9</v>
      </c>
      <c r="F380" s="363">
        <f t="shared" ref="F380:F395" si="160">C380*(E380-D380)</f>
        <v>-36344.291399999995</v>
      </c>
      <c r="G380" s="363">
        <f t="shared" ref="G380:G395" si="161">IF(C380=0, 0,D380*C380)</f>
        <v>166350.4914</v>
      </c>
      <c r="H380" s="365">
        <f t="shared" ref="H380:H395" si="162">IF(C380=0, D380, (E380-D380)/D380)</f>
        <v>-0.21848021664455386</v>
      </c>
      <c r="I380" s="363"/>
    </row>
    <row r="381" spans="2:9" x14ac:dyDescent="0.25">
      <c r="B381" s="620">
        <v>42586</v>
      </c>
      <c r="C381" s="362">
        <v>9678</v>
      </c>
      <c r="D381" s="621">
        <v>16.489799999999999</v>
      </c>
      <c r="E381" s="363">
        <v>13.41</v>
      </c>
      <c r="F381" s="363">
        <f t="shared" si="160"/>
        <v>-29806.304399999986</v>
      </c>
      <c r="G381" s="363">
        <f t="shared" si="161"/>
        <v>159588.28439999997</v>
      </c>
      <c r="H381" s="365">
        <f t="shared" si="162"/>
        <v>-0.1867700032747516</v>
      </c>
      <c r="I381" s="363"/>
    </row>
    <row r="382" spans="2:9" x14ac:dyDescent="0.25">
      <c r="B382" s="620">
        <v>42586</v>
      </c>
      <c r="C382" s="362">
        <v>9278</v>
      </c>
      <c r="D382" s="621">
        <v>16.609200000000001</v>
      </c>
      <c r="E382" s="363">
        <v>13.66</v>
      </c>
      <c r="F382" s="363">
        <f t="shared" si="160"/>
        <v>-27362.67760000001</v>
      </c>
      <c r="G382" s="363">
        <f t="shared" si="161"/>
        <v>154100.15760000001</v>
      </c>
      <c r="H382" s="365">
        <f t="shared" si="162"/>
        <v>-0.17756424150470829</v>
      </c>
      <c r="I382" s="363">
        <v>16.53</v>
      </c>
    </row>
    <row r="383" spans="2:9" x14ac:dyDescent="0.25">
      <c r="B383" s="620">
        <v>42586</v>
      </c>
      <c r="C383" s="362">
        <v>9138</v>
      </c>
      <c r="D383" s="621">
        <v>16.6511</v>
      </c>
      <c r="E383" s="363">
        <v>13.87</v>
      </c>
      <c r="F383" s="363">
        <f t="shared" si="160"/>
        <v>-25413.691800000004</v>
      </c>
      <c r="G383" s="363">
        <f t="shared" si="161"/>
        <v>152157.7518</v>
      </c>
      <c r="H383" s="364">
        <f t="shared" si="162"/>
        <v>-0.1670219985466426</v>
      </c>
      <c r="I383" s="363"/>
    </row>
    <row r="384" spans="2:9" x14ac:dyDescent="0.25">
      <c r="B384" s="620">
        <v>42593</v>
      </c>
      <c r="C384" s="362">
        <v>8678</v>
      </c>
      <c r="D384" s="621">
        <v>16.760300000000001</v>
      </c>
      <c r="E384" s="363">
        <v>14.61</v>
      </c>
      <c r="F384" s="363">
        <f t="shared" si="160"/>
        <v>-18660.303400000012</v>
      </c>
      <c r="G384" s="363">
        <f t="shared" si="161"/>
        <v>145445.88340000002</v>
      </c>
      <c r="H384" s="364">
        <f t="shared" si="162"/>
        <v>-0.12829722618330228</v>
      </c>
      <c r="I384" s="363"/>
    </row>
    <row r="385" spans="2:9" ht="15" customHeight="1" x14ac:dyDescent="0.25">
      <c r="B385" s="620">
        <v>42597</v>
      </c>
      <c r="C385" s="362">
        <v>8678</v>
      </c>
      <c r="D385" s="621">
        <v>16.7471</v>
      </c>
      <c r="E385" s="363">
        <v>14.9</v>
      </c>
      <c r="F385" s="363">
        <f t="shared" si="160"/>
        <v>-16029.133799999994</v>
      </c>
      <c r="G385" s="363">
        <f t="shared" si="161"/>
        <v>145331.33379999999</v>
      </c>
      <c r="H385" s="364">
        <f t="shared" si="162"/>
        <v>-0.11029372249523794</v>
      </c>
      <c r="I385" s="363"/>
    </row>
    <row r="386" spans="2:9" x14ac:dyDescent="0.25">
      <c r="B386" s="620">
        <v>42598</v>
      </c>
      <c r="C386" s="362">
        <v>8178</v>
      </c>
      <c r="D386" s="621">
        <v>16.8429</v>
      </c>
      <c r="E386" s="363">
        <v>15.17</v>
      </c>
      <c r="F386" s="363">
        <f t="shared" si="160"/>
        <v>-13680.976200000003</v>
      </c>
      <c r="G386" s="363">
        <f t="shared" si="161"/>
        <v>137741.23620000001</v>
      </c>
      <c r="H386" s="364">
        <f t="shared" si="162"/>
        <v>-9.9323750660515728E-2</v>
      </c>
      <c r="I386" s="363">
        <v>16.75</v>
      </c>
    </row>
    <row r="387" spans="2:9" x14ac:dyDescent="0.25">
      <c r="B387" s="620">
        <v>42599</v>
      </c>
      <c r="C387" s="362">
        <v>7178</v>
      </c>
      <c r="D387" s="621">
        <v>17.009899999999998</v>
      </c>
      <c r="E387" s="363">
        <v>15.7</v>
      </c>
      <c r="F387" s="363">
        <f t="shared" si="160"/>
        <v>-9402.4621999999927</v>
      </c>
      <c r="G387" s="363">
        <f t="shared" si="161"/>
        <v>122097.06219999999</v>
      </c>
      <c r="H387" s="364">
        <f t="shared" si="162"/>
        <v>-7.7008095285686515E-2</v>
      </c>
      <c r="I387" s="363"/>
    </row>
    <row r="388" spans="2:9" x14ac:dyDescent="0.25">
      <c r="B388" s="620">
        <v>42600</v>
      </c>
      <c r="C388" s="362">
        <v>5500</v>
      </c>
      <c r="D388" s="621">
        <v>17.185600000000001</v>
      </c>
      <c r="E388" s="363">
        <v>16.68</v>
      </c>
      <c r="F388" s="363">
        <f t="shared" si="160"/>
        <v>-2780.8000000000065</v>
      </c>
      <c r="G388" s="363">
        <f t="shared" si="161"/>
        <v>94520.8</v>
      </c>
      <c r="H388" s="364">
        <f t="shared" si="162"/>
        <v>-2.9419979517735846E-2</v>
      </c>
      <c r="I388" s="363"/>
    </row>
    <row r="389" spans="2:9" x14ac:dyDescent="0.25">
      <c r="B389" s="620">
        <v>42601</v>
      </c>
      <c r="C389" s="362">
        <v>5000</v>
      </c>
      <c r="D389" s="621">
        <v>17.222200000000001</v>
      </c>
      <c r="E389" s="363">
        <v>16.8</v>
      </c>
      <c r="F389" s="363">
        <f t="shared" si="160"/>
        <v>-2111.0000000000005</v>
      </c>
      <c r="G389" s="363">
        <f t="shared" si="161"/>
        <v>86111</v>
      </c>
      <c r="H389" s="364">
        <f t="shared" si="162"/>
        <v>-2.4514870341768188E-2</v>
      </c>
      <c r="I389" s="363"/>
    </row>
    <row r="390" spans="2:9" x14ac:dyDescent="0.25">
      <c r="B390" s="620">
        <v>42604</v>
      </c>
      <c r="C390" s="362">
        <v>6000</v>
      </c>
      <c r="D390" s="621">
        <v>16.9651</v>
      </c>
      <c r="E390" s="363">
        <v>15.64</v>
      </c>
      <c r="F390" s="363">
        <f t="shared" si="160"/>
        <v>-7950.599999999994</v>
      </c>
      <c r="G390" s="363">
        <f t="shared" si="161"/>
        <v>101790.59999999999</v>
      </c>
      <c r="H390" s="364">
        <f t="shared" si="162"/>
        <v>-7.8107408739117312E-2</v>
      </c>
      <c r="I390" s="363"/>
    </row>
    <row r="391" spans="2:9" x14ac:dyDescent="0.25">
      <c r="B391" s="620">
        <v>42604</v>
      </c>
      <c r="C391" s="362">
        <v>6500</v>
      </c>
      <c r="D391" s="621">
        <v>16.850899999999999</v>
      </c>
      <c r="E391" s="363">
        <v>15.64</v>
      </c>
      <c r="F391" s="363">
        <f t="shared" si="160"/>
        <v>-7870.8499999999922</v>
      </c>
      <c r="G391" s="363">
        <f t="shared" si="161"/>
        <v>109530.84999999999</v>
      </c>
      <c r="H391" s="364">
        <f t="shared" si="162"/>
        <v>-7.1859663282079822E-2</v>
      </c>
      <c r="I391" s="363"/>
    </row>
    <row r="392" spans="2:9" x14ac:dyDescent="0.25">
      <c r="B392" s="620">
        <v>42605</v>
      </c>
      <c r="C392" s="362">
        <v>6000</v>
      </c>
      <c r="D392" s="621">
        <v>16.923500000000001</v>
      </c>
      <c r="E392" s="363">
        <v>16.43</v>
      </c>
      <c r="F392" s="363">
        <f t="shared" si="160"/>
        <v>-2961.0000000000055</v>
      </c>
      <c r="G392" s="363">
        <f t="shared" si="161"/>
        <v>101541</v>
      </c>
      <c r="H392" s="364">
        <f t="shared" si="162"/>
        <v>-2.9160634620498178E-2</v>
      </c>
      <c r="I392" s="363"/>
    </row>
    <row r="393" spans="2:9" x14ac:dyDescent="0.25">
      <c r="B393" s="620">
        <v>42605</v>
      </c>
      <c r="C393" s="362">
        <v>5500</v>
      </c>
      <c r="D393" s="621">
        <v>16.9848</v>
      </c>
      <c r="E393" s="363">
        <v>16.43</v>
      </c>
      <c r="F393" s="363">
        <f t="shared" si="160"/>
        <v>-3051.400000000001</v>
      </c>
      <c r="G393" s="363">
        <f t="shared" si="161"/>
        <v>93416.4</v>
      </c>
      <c r="H393" s="364">
        <f t="shared" si="162"/>
        <v>-3.266450002355048E-2</v>
      </c>
      <c r="I393" s="363"/>
    </row>
    <row r="394" spans="2:9" x14ac:dyDescent="0.25">
      <c r="B394" s="620">
        <v>42605</v>
      </c>
      <c r="C394" s="362">
        <v>5000</v>
      </c>
      <c r="D394" s="621">
        <v>17.035299999999999</v>
      </c>
      <c r="E394" s="363">
        <v>16.43</v>
      </c>
      <c r="F394" s="363">
        <f t="shared" si="160"/>
        <v>-3026.4999999999986</v>
      </c>
      <c r="G394" s="363">
        <f t="shared" si="161"/>
        <v>85176.5</v>
      </c>
      <c r="H394" s="364">
        <f t="shared" si="162"/>
        <v>-3.5532100990296606E-2</v>
      </c>
      <c r="I394" s="363"/>
    </row>
    <row r="395" spans="2:9" x14ac:dyDescent="0.25">
      <c r="B395" s="620">
        <v>42606</v>
      </c>
      <c r="C395" s="362">
        <v>5178</v>
      </c>
      <c r="D395" s="621">
        <v>17.0017</v>
      </c>
      <c r="E395" s="363">
        <v>16.059999999999999</v>
      </c>
      <c r="F395" s="363">
        <f t="shared" si="160"/>
        <v>-4876.1226000000042</v>
      </c>
      <c r="G395" s="363">
        <f t="shared" si="161"/>
        <v>88034.802599999995</v>
      </c>
      <c r="H395" s="364">
        <f t="shared" si="162"/>
        <v>-5.5388578789179958E-2</v>
      </c>
      <c r="I395" s="363"/>
    </row>
    <row r="396" spans="2:9" x14ac:dyDescent="0.25">
      <c r="B396" s="620">
        <v>42607</v>
      </c>
      <c r="C396" s="362">
        <v>5178</v>
      </c>
      <c r="D396" s="621">
        <v>17.0017</v>
      </c>
      <c r="E396" s="363">
        <v>16.010000000000002</v>
      </c>
      <c r="F396" s="363">
        <f>C396*(E396-D396)</f>
        <v>-5135.0225999999902</v>
      </c>
      <c r="G396" s="363">
        <f>IF(C396=0, 0,D396*C396)</f>
        <v>88034.802599999995</v>
      </c>
      <c r="H396" s="364">
        <f>IF(C396=0, D396, (E396-D396)/D396)</f>
        <v>-5.8329461171529789E-2</v>
      </c>
      <c r="I396" s="363"/>
    </row>
    <row r="397" spans="2:9" x14ac:dyDescent="0.25">
      <c r="B397" s="620">
        <v>42608</v>
      </c>
      <c r="C397" s="362">
        <v>6178</v>
      </c>
      <c r="D397" s="621">
        <v>16.825800000000001</v>
      </c>
      <c r="E397" s="363">
        <v>15.95</v>
      </c>
      <c r="F397" s="363">
        <f>C397*(E397-D397)</f>
        <v>-5410.6924000000108</v>
      </c>
      <c r="G397" s="363">
        <f>IF(C397=0, 0,D397*C397)</f>
        <v>103949.79240000001</v>
      </c>
      <c r="H397" s="364">
        <f>IF(C397=0, D397, (E397-D397)/D397)</f>
        <v>-5.2051016890727435E-2</v>
      </c>
      <c r="I397" s="363"/>
    </row>
    <row r="398" spans="2:9" x14ac:dyDescent="0.25">
      <c r="B398" s="620">
        <v>42611</v>
      </c>
      <c r="C398" s="362">
        <v>6178</v>
      </c>
      <c r="D398" s="621">
        <v>16.825800000000001</v>
      </c>
      <c r="E398" s="363">
        <v>15.99</v>
      </c>
      <c r="F398" s="363">
        <f t="shared" ref="F398:F403" si="163">C398*(E398-D398)</f>
        <v>-5163.5724000000046</v>
      </c>
      <c r="G398" s="363">
        <f t="shared" ref="G398:G403" si="164">IF(C398=0, 0,D398*C398)</f>
        <v>103949.79240000001</v>
      </c>
      <c r="H398" s="364">
        <f t="shared" ref="H398:H403" si="165">IF(C398=0, D398, (E398-D398)/D398)</f>
        <v>-4.9673715365688452E-2</v>
      </c>
      <c r="I398" s="363"/>
    </row>
    <row r="399" spans="2:9" x14ac:dyDescent="0.25">
      <c r="B399" s="620">
        <v>42612</v>
      </c>
      <c r="C399" s="362">
        <v>6678</v>
      </c>
      <c r="D399" s="621">
        <v>16.739999999999998</v>
      </c>
      <c r="E399" s="363">
        <v>15.55</v>
      </c>
      <c r="F399" s="443">
        <f t="shared" si="163"/>
        <v>-7946.8199999999852</v>
      </c>
      <c r="G399" s="363">
        <f t="shared" si="164"/>
        <v>111789.71999999999</v>
      </c>
      <c r="H399" s="365">
        <f t="shared" si="165"/>
        <v>-7.1087216248506446E-2</v>
      </c>
      <c r="I399" s="382"/>
    </row>
    <row r="400" spans="2:9" x14ac:dyDescent="0.25">
      <c r="B400" s="620">
        <v>42612</v>
      </c>
      <c r="C400" s="362">
        <v>7178</v>
      </c>
      <c r="D400" s="621">
        <v>16.6571</v>
      </c>
      <c r="E400" s="363">
        <v>15.55</v>
      </c>
      <c r="F400" s="363">
        <f t="shared" si="163"/>
        <v>-7946.7637999999934</v>
      </c>
      <c r="G400" s="363">
        <f t="shared" si="164"/>
        <v>119564.66379999999</v>
      </c>
      <c r="H400" s="364">
        <f t="shared" si="165"/>
        <v>-6.6464150422342369E-2</v>
      </c>
      <c r="I400" s="363"/>
    </row>
    <row r="401" spans="2:9" x14ac:dyDescent="0.25">
      <c r="B401" s="620">
        <v>42613</v>
      </c>
      <c r="C401" s="362">
        <v>7678</v>
      </c>
      <c r="D401" s="621">
        <v>16.565200000000001</v>
      </c>
      <c r="E401" s="363">
        <v>15.02</v>
      </c>
      <c r="F401" s="363">
        <f t="shared" si="163"/>
        <v>-11864.04560000001</v>
      </c>
      <c r="G401" s="363">
        <f t="shared" si="164"/>
        <v>127187.60560000001</v>
      </c>
      <c r="H401" s="364">
        <f t="shared" si="165"/>
        <v>-9.3279887957887692E-2</v>
      </c>
      <c r="I401" s="363" t="s">
        <v>258</v>
      </c>
    </row>
    <row r="402" spans="2:9" x14ac:dyDescent="0.25">
      <c r="B402" s="620">
        <v>42613</v>
      </c>
      <c r="C402" s="362">
        <v>8178</v>
      </c>
      <c r="D402" s="621">
        <v>16.474399999999999</v>
      </c>
      <c r="E402" s="363">
        <v>15.02</v>
      </c>
      <c r="F402" s="363">
        <f t="shared" si="163"/>
        <v>-11894.083199999997</v>
      </c>
      <c r="G402" s="363">
        <f t="shared" si="164"/>
        <v>134727.64319999999</v>
      </c>
      <c r="H402" s="364">
        <f t="shared" si="165"/>
        <v>-8.8282426067110162E-2</v>
      </c>
      <c r="I402" s="363" t="s">
        <v>259</v>
      </c>
    </row>
    <row r="403" spans="2:9" x14ac:dyDescent="0.25">
      <c r="B403" s="620">
        <v>42615</v>
      </c>
      <c r="C403" s="362">
        <v>7678</v>
      </c>
      <c r="D403" s="621">
        <v>16.528099999999998</v>
      </c>
      <c r="E403" s="363">
        <v>15.49</v>
      </c>
      <c r="F403" s="363">
        <f t="shared" si="163"/>
        <v>-7970.5317999999861</v>
      </c>
      <c r="G403" s="363">
        <f t="shared" si="164"/>
        <v>126902.75179999998</v>
      </c>
      <c r="H403" s="364">
        <f t="shared" si="165"/>
        <v>-6.2808187268953986E-2</v>
      </c>
      <c r="I403" s="363">
        <v>16.350000000000001</v>
      </c>
    </row>
    <row r="404" spans="2:9" x14ac:dyDescent="0.25">
      <c r="B404" s="620">
        <v>42616</v>
      </c>
      <c r="C404" s="362">
        <v>7678</v>
      </c>
      <c r="D404" s="621">
        <v>16.528099999999998</v>
      </c>
      <c r="E404" s="363">
        <v>15.64</v>
      </c>
      <c r="F404" s="363">
        <f>C404*(E404-D404)</f>
        <v>-6818.8317999999836</v>
      </c>
      <c r="G404" s="363">
        <f>IF(C404=0, 0,D404*C404)</f>
        <v>126902.75179999998</v>
      </c>
      <c r="H404" s="364">
        <f>IF(C404=0, D404, (E404-D404)/D404)</f>
        <v>-5.3732733950060681E-2</v>
      </c>
      <c r="I404" s="363"/>
    </row>
    <row r="405" spans="2:9" x14ac:dyDescent="0.25">
      <c r="B405" s="620">
        <v>42621</v>
      </c>
      <c r="C405" s="362">
        <v>7178</v>
      </c>
      <c r="D405" s="621">
        <v>16.545400000000001</v>
      </c>
      <c r="E405" s="363">
        <v>16.739999999999998</v>
      </c>
      <c r="F405" s="363">
        <f>C405*(E405-D405)</f>
        <v>1396.8387999999832</v>
      </c>
      <c r="G405" s="363">
        <f>IF(C405=0, 0,D405*C405)</f>
        <v>118762.8812</v>
      </c>
      <c r="H405" s="364">
        <f>IF(C405=0, D405, (E405-D405)/D405)</f>
        <v>1.1761577235968768E-2</v>
      </c>
      <c r="I405" s="363"/>
    </row>
    <row r="406" spans="2:9" x14ac:dyDescent="0.25">
      <c r="B406" s="620">
        <v>42621</v>
      </c>
      <c r="C406" s="383">
        <v>6678</v>
      </c>
      <c r="D406" s="622">
        <v>16.532299999999999</v>
      </c>
      <c r="E406" s="363">
        <v>16.739999999999998</v>
      </c>
      <c r="F406" s="363">
        <f>C406*(E406-D406)</f>
        <v>1387.0205999999941</v>
      </c>
      <c r="G406" s="363">
        <f>IF(C406=0, 0,D406*C406)</f>
        <v>110402.6994</v>
      </c>
      <c r="H406" s="364">
        <f>IF(C406=0, D406, (E406-D406)/D406)</f>
        <v>1.256328520532528E-2</v>
      </c>
      <c r="I406" s="363"/>
    </row>
    <row r="407" spans="2:9" ht="15" customHeight="1" x14ac:dyDescent="0.25">
      <c r="B407" s="620">
        <v>42621</v>
      </c>
      <c r="C407" s="362">
        <v>6458</v>
      </c>
      <c r="D407" s="621">
        <v>16.524263999999999</v>
      </c>
      <c r="E407" s="363">
        <v>16.739999999999998</v>
      </c>
      <c r="F407" s="363">
        <f>C407*(E407-D407)</f>
        <v>1393.2230879999981</v>
      </c>
      <c r="G407" s="363">
        <f>IF(C407=0, 0,D407*C407)</f>
        <v>106713.69691199998</v>
      </c>
      <c r="H407" s="364">
        <f>IF(C407=0, D407, (E407-D407)/D407)</f>
        <v>1.3055710075801242E-2</v>
      </c>
      <c r="I407" s="363"/>
    </row>
    <row r="408" spans="2:9" x14ac:dyDescent="0.25">
      <c r="B408" s="620">
        <v>42622</v>
      </c>
      <c r="C408" s="362">
        <v>7178</v>
      </c>
      <c r="D408" s="621">
        <v>16.477945999999999</v>
      </c>
      <c r="E408" s="363">
        <v>15.67</v>
      </c>
      <c r="F408" s="363">
        <f>C408*(E408-D408)</f>
        <v>-5799.4363879999955</v>
      </c>
      <c r="G408" s="363">
        <f>IF(C408=0, 0,D408*C408)</f>
        <v>118278.696388</v>
      </c>
      <c r="H408" s="364">
        <f>IF(C408=0, D408, (E408-D408)/D408)</f>
        <v>-4.9031960658203359E-2</v>
      </c>
      <c r="I408" s="363"/>
    </row>
    <row r="409" spans="2:9" x14ac:dyDescent="0.25">
      <c r="B409" s="620">
        <v>42622</v>
      </c>
      <c r="C409" s="362">
        <v>7678</v>
      </c>
      <c r="D409" s="621">
        <v>16.430541999999999</v>
      </c>
      <c r="E409" s="363">
        <v>15.67</v>
      </c>
      <c r="F409" s="363">
        <f t="shared" ref="F409:F415" si="166">C409*(E409-D409)</f>
        <v>-5839.4414759999936</v>
      </c>
      <c r="G409" s="363">
        <f t="shared" ref="G409:G415" si="167">IF(C409=0, 0,D409*C409)</f>
        <v>126153.70147599999</v>
      </c>
      <c r="H409" s="364">
        <f t="shared" ref="H409:H415" si="168">IF(C409=0, D409, (E409-D409)/D409)</f>
        <v>-4.6288308687564853E-2</v>
      </c>
      <c r="I409" s="363">
        <v>16.350000000000001</v>
      </c>
    </row>
    <row r="410" spans="2:9" x14ac:dyDescent="0.25">
      <c r="B410" s="620">
        <v>42625</v>
      </c>
      <c r="C410" s="383">
        <v>7678</v>
      </c>
      <c r="D410" s="622">
        <v>16.412330000000001</v>
      </c>
      <c r="E410" s="363">
        <v>15.47</v>
      </c>
      <c r="F410" s="363">
        <f t="shared" si="166"/>
        <v>-7235.2097400000011</v>
      </c>
      <c r="G410" s="363">
        <f t="shared" si="167"/>
        <v>126013.86974000001</v>
      </c>
      <c r="H410" s="364">
        <f t="shared" si="168"/>
        <v>-5.7415979327737135E-2</v>
      </c>
      <c r="I410" s="363"/>
    </row>
    <row r="411" spans="2:9" x14ac:dyDescent="0.25">
      <c r="B411" s="620">
        <v>42625</v>
      </c>
      <c r="C411" s="383">
        <v>7678</v>
      </c>
      <c r="D411" s="622">
        <v>16.355817999999999</v>
      </c>
      <c r="E411" s="363">
        <v>15.47</v>
      </c>
      <c r="F411" s="363">
        <f t="shared" si="166"/>
        <v>-6801.3106039999893</v>
      </c>
      <c r="G411" s="363">
        <f t="shared" si="167"/>
        <v>125579.970604</v>
      </c>
      <c r="H411" s="364">
        <f t="shared" si="168"/>
        <v>-5.4159198885680847E-2</v>
      </c>
      <c r="I411" s="363" t="s">
        <v>273</v>
      </c>
    </row>
    <row r="412" spans="2:9" x14ac:dyDescent="0.25">
      <c r="B412" s="620">
        <v>42626</v>
      </c>
      <c r="C412" s="362">
        <v>8278</v>
      </c>
      <c r="D412" s="621">
        <v>16.25066</v>
      </c>
      <c r="E412" s="363">
        <v>14.34</v>
      </c>
      <c r="F412" s="363">
        <f t="shared" si="166"/>
        <v>-15816.44348</v>
      </c>
      <c r="G412" s="363">
        <f t="shared" si="167"/>
        <v>134522.96348000001</v>
      </c>
      <c r="H412" s="365">
        <f t="shared" si="168"/>
        <v>-0.11757430159759666</v>
      </c>
      <c r="I412" s="363"/>
    </row>
    <row r="413" spans="2:9" x14ac:dyDescent="0.25">
      <c r="B413" s="620">
        <v>42626</v>
      </c>
      <c r="C413" s="362">
        <v>8678</v>
      </c>
      <c r="D413" s="621">
        <v>16.18149</v>
      </c>
      <c r="E413" s="363">
        <v>14.34</v>
      </c>
      <c r="F413" s="363">
        <f t="shared" si="166"/>
        <v>-15980.450220000002</v>
      </c>
      <c r="G413" s="363">
        <f t="shared" si="167"/>
        <v>140422.97021999999</v>
      </c>
      <c r="H413" s="365">
        <f t="shared" si="168"/>
        <v>-0.11380225183218605</v>
      </c>
      <c r="I413" s="363"/>
    </row>
    <row r="414" spans="2:9" ht="15" customHeight="1" x14ac:dyDescent="0.25">
      <c r="B414" s="620">
        <v>42626</v>
      </c>
      <c r="C414" s="362">
        <v>8978</v>
      </c>
      <c r="D414" s="621">
        <v>16.124635000000001</v>
      </c>
      <c r="E414" s="363">
        <v>14.34</v>
      </c>
      <c r="F414" s="363">
        <f t="shared" si="166"/>
        <v>-16022.453030000013</v>
      </c>
      <c r="G414" s="363">
        <f t="shared" si="167"/>
        <v>144766.97303000002</v>
      </c>
      <c r="H414" s="365">
        <f t="shared" si="168"/>
        <v>-0.11067754401882594</v>
      </c>
      <c r="I414" s="363"/>
    </row>
    <row r="415" spans="2:9" x14ac:dyDescent="0.25">
      <c r="B415" s="620">
        <v>42626</v>
      </c>
      <c r="C415" s="362">
        <v>9278</v>
      </c>
      <c r="D415" s="621">
        <v>16.064019999999999</v>
      </c>
      <c r="E415" s="363">
        <v>14.34</v>
      </c>
      <c r="F415" s="363">
        <f t="shared" si="166"/>
        <v>-15995.457559999995</v>
      </c>
      <c r="G415" s="363">
        <f t="shared" si="167"/>
        <v>149041.97756</v>
      </c>
      <c r="H415" s="365">
        <f t="shared" si="168"/>
        <v>-0.10732182853357998</v>
      </c>
      <c r="I415" s="363" t="s">
        <v>274</v>
      </c>
    </row>
    <row r="416" spans="2:9" x14ac:dyDescent="0.25">
      <c r="B416" s="620">
        <v>42627</v>
      </c>
      <c r="C416" s="362">
        <v>9478</v>
      </c>
      <c r="D416" s="621">
        <v>16.020790999999999</v>
      </c>
      <c r="E416" s="363">
        <v>14.01</v>
      </c>
      <c r="F416" s="363">
        <f t="shared" ref="F416:F423" si="169">C416*(E416-D416)</f>
        <v>-19058.277097999995</v>
      </c>
      <c r="G416" s="363">
        <f t="shared" ref="G416:G423" si="170">IF(C416=0, 0,D416*C416)</f>
        <v>151845.05709799999</v>
      </c>
      <c r="H416" s="365">
        <f t="shared" ref="H416:H423" si="171">IF(C416=0, D416, (E416-D416)/D416)</f>
        <v>-0.1255113433537707</v>
      </c>
      <c r="I416" s="363"/>
    </row>
    <row r="417" spans="2:9" x14ac:dyDescent="0.25">
      <c r="B417" s="620">
        <v>42628</v>
      </c>
      <c r="C417" s="362">
        <v>9478</v>
      </c>
      <c r="D417" s="621">
        <v>16.015726999999998</v>
      </c>
      <c r="E417" s="363">
        <v>14.26</v>
      </c>
      <c r="F417" s="363">
        <f t="shared" si="169"/>
        <v>-16640.780505999985</v>
      </c>
      <c r="G417" s="363">
        <f t="shared" si="170"/>
        <v>151797.06050599998</v>
      </c>
      <c r="H417" s="365">
        <f t="shared" si="171"/>
        <v>-0.1096251827968845</v>
      </c>
      <c r="I417" s="363"/>
    </row>
    <row r="418" spans="2:9" x14ac:dyDescent="0.25">
      <c r="B418" s="620">
        <v>42629</v>
      </c>
      <c r="C418" s="362">
        <v>9478</v>
      </c>
      <c r="D418" s="621">
        <v>16.015726999999998</v>
      </c>
      <c r="E418" s="363">
        <v>14.24</v>
      </c>
      <c r="F418" s="363">
        <f t="shared" si="169"/>
        <v>-16830.340505999982</v>
      </c>
      <c r="G418" s="363">
        <f t="shared" si="170"/>
        <v>151797.06050599998</v>
      </c>
      <c r="H418" s="365">
        <f t="shared" si="171"/>
        <v>-0.1108739553315312</v>
      </c>
      <c r="I418" s="363"/>
    </row>
    <row r="419" spans="2:9" x14ac:dyDescent="0.25">
      <c r="B419" s="620">
        <v>42632</v>
      </c>
      <c r="C419" s="362">
        <v>9678</v>
      </c>
      <c r="D419" s="621">
        <v>15.975311</v>
      </c>
      <c r="E419" s="363">
        <v>14.09</v>
      </c>
      <c r="F419" s="363">
        <f t="shared" si="169"/>
        <v>-18246.039857999996</v>
      </c>
      <c r="G419" s="363">
        <f t="shared" si="170"/>
        <v>154609.05985799999</v>
      </c>
      <c r="H419" s="364">
        <f t="shared" si="171"/>
        <v>-0.11801404054043141</v>
      </c>
      <c r="I419" s="363"/>
    </row>
    <row r="420" spans="2:9" x14ac:dyDescent="0.25">
      <c r="B420" s="620">
        <v>42633</v>
      </c>
      <c r="C420" s="362">
        <v>9878</v>
      </c>
      <c r="D420" s="621">
        <v>15.937544000000001</v>
      </c>
      <c r="E420" s="363">
        <v>13.87</v>
      </c>
      <c r="F420" s="363">
        <f t="shared" si="169"/>
        <v>-20423.199632000014</v>
      </c>
      <c r="G420" s="363">
        <f t="shared" si="170"/>
        <v>157431.05963200002</v>
      </c>
      <c r="H420" s="364">
        <f t="shared" si="171"/>
        <v>-0.12972789282966068</v>
      </c>
      <c r="I420" s="363"/>
    </row>
    <row r="421" spans="2:9" x14ac:dyDescent="0.25">
      <c r="B421" s="620">
        <v>42633</v>
      </c>
      <c r="C421" s="362">
        <v>10000</v>
      </c>
      <c r="D421" s="621">
        <v>15.915126000000001</v>
      </c>
      <c r="E421" s="363">
        <v>13.87</v>
      </c>
      <c r="F421" s="363">
        <f t="shared" si="169"/>
        <v>-20451.260000000017</v>
      </c>
      <c r="G421" s="363">
        <f t="shared" si="170"/>
        <v>159151.26</v>
      </c>
      <c r="H421" s="364">
        <f t="shared" si="171"/>
        <v>-0.12850203008132022</v>
      </c>
      <c r="I421" s="363"/>
    </row>
    <row r="422" spans="2:9" x14ac:dyDescent="0.25">
      <c r="B422" s="620">
        <v>42634</v>
      </c>
      <c r="C422" s="362">
        <v>9678</v>
      </c>
      <c r="D422" s="621">
        <v>15.969538999999999</v>
      </c>
      <c r="E422" s="363">
        <v>14.65</v>
      </c>
      <c r="F422" s="363">
        <f t="shared" si="169"/>
        <v>-12770.498441999989</v>
      </c>
      <c r="G422" s="363">
        <f t="shared" si="170"/>
        <v>154553.19844199999</v>
      </c>
      <c r="H422" s="364">
        <f t="shared" si="171"/>
        <v>-8.2628496664806608E-2</v>
      </c>
      <c r="I422" s="363"/>
    </row>
    <row r="423" spans="2:9" x14ac:dyDescent="0.25">
      <c r="B423" s="620">
        <v>42634</v>
      </c>
      <c r="C423" s="362">
        <v>9278</v>
      </c>
      <c r="D423" s="621">
        <v>16.026872999999998</v>
      </c>
      <c r="E423" s="363">
        <v>14.65</v>
      </c>
      <c r="F423" s="363">
        <f t="shared" si="169"/>
        <v>-12774.627693999981</v>
      </c>
      <c r="G423" s="363">
        <f t="shared" si="170"/>
        <v>148697.32769399998</v>
      </c>
      <c r="H423" s="364">
        <f t="shared" si="171"/>
        <v>-8.5910270830747718E-2</v>
      </c>
      <c r="I423" s="363">
        <v>16</v>
      </c>
    </row>
    <row r="424" spans="2:9" ht="15" customHeight="1" x14ac:dyDescent="0.25">
      <c r="B424" s="620">
        <v>42635</v>
      </c>
      <c r="C424" s="362">
        <v>9278</v>
      </c>
      <c r="D424" s="621">
        <v>16.026872999999998</v>
      </c>
      <c r="E424" s="363">
        <v>14.87</v>
      </c>
      <c r="F424" s="363">
        <f t="shared" ref="F424:F435" si="172">C424*(E424-D424)</f>
        <v>-10733.467693999992</v>
      </c>
      <c r="G424" s="363">
        <f t="shared" ref="G424:G435" si="173">IF(C424=0, 0,D424*C424)</f>
        <v>148697.32769399998</v>
      </c>
      <c r="H424" s="364">
        <f t="shared" ref="H424:H435" si="174">IF(C424=0, D424, (E424-D424)/D424)</f>
        <v>-7.2183326092369937E-2</v>
      </c>
      <c r="I424" s="363"/>
    </row>
    <row r="425" spans="2:9" x14ac:dyDescent="0.25">
      <c r="B425" s="620">
        <v>42636</v>
      </c>
      <c r="C425" s="362">
        <v>9478</v>
      </c>
      <c r="D425" s="621">
        <v>15.992122</v>
      </c>
      <c r="E425" s="363">
        <v>14.49</v>
      </c>
      <c r="F425" s="363">
        <f t="shared" si="172"/>
        <v>-14237.112315999999</v>
      </c>
      <c r="G425" s="363">
        <f t="shared" si="173"/>
        <v>151573.33231600001</v>
      </c>
      <c r="H425" s="364">
        <f t="shared" si="174"/>
        <v>-9.39288732289561E-2</v>
      </c>
      <c r="I425" s="363"/>
    </row>
    <row r="426" spans="2:9" x14ac:dyDescent="0.25">
      <c r="B426" s="620">
        <v>42639</v>
      </c>
      <c r="C426" s="362">
        <v>9278</v>
      </c>
      <c r="D426" s="621">
        <v>16.019549999999999</v>
      </c>
      <c r="E426" s="363">
        <v>14.41</v>
      </c>
      <c r="F426" s="363">
        <f t="shared" si="172"/>
        <v>-14933.404899999989</v>
      </c>
      <c r="G426" s="363">
        <f t="shared" si="173"/>
        <v>148629.38489999998</v>
      </c>
      <c r="H426" s="364">
        <f t="shared" si="174"/>
        <v>-0.10047410819904422</v>
      </c>
      <c r="I426" s="363">
        <v>16</v>
      </c>
    </row>
    <row r="427" spans="2:9" x14ac:dyDescent="0.25">
      <c r="B427" s="620">
        <v>42639</v>
      </c>
      <c r="C427" s="362">
        <v>9478</v>
      </c>
      <c r="D427" s="621">
        <v>15.987468</v>
      </c>
      <c r="E427" s="363">
        <v>14.41</v>
      </c>
      <c r="F427" s="363">
        <f t="shared" si="172"/>
        <v>-14951.241703999996</v>
      </c>
      <c r="G427" s="363">
        <f t="shared" si="173"/>
        <v>151529.221704</v>
      </c>
      <c r="H427" s="364">
        <f t="shared" si="174"/>
        <v>-9.8669032519721048E-2</v>
      </c>
      <c r="I427" s="363"/>
    </row>
    <row r="428" spans="2:9" x14ac:dyDescent="0.25">
      <c r="B428" s="620">
        <v>42639</v>
      </c>
      <c r="C428" s="362">
        <v>9678</v>
      </c>
      <c r="D428" s="621">
        <v>15.954266000000001</v>
      </c>
      <c r="E428" s="363">
        <v>14.41</v>
      </c>
      <c r="F428" s="363">
        <f t="shared" si="172"/>
        <v>-14945.406348000004</v>
      </c>
      <c r="G428" s="363">
        <f t="shared" si="173"/>
        <v>154405.386348</v>
      </c>
      <c r="H428" s="364">
        <f t="shared" si="174"/>
        <v>-9.6793296538994669E-2</v>
      </c>
      <c r="I428" s="363"/>
    </row>
    <row r="429" spans="2:9" x14ac:dyDescent="0.25">
      <c r="B429" s="620">
        <v>42640</v>
      </c>
      <c r="C429" s="362">
        <v>10000</v>
      </c>
      <c r="D429" s="621">
        <v>15.890373</v>
      </c>
      <c r="E429" s="363">
        <v>14.06</v>
      </c>
      <c r="F429" s="363">
        <f t="shared" si="172"/>
        <v>-18303.73</v>
      </c>
      <c r="G429" s="363">
        <f t="shared" si="173"/>
        <v>158903.73000000001</v>
      </c>
      <c r="H429" s="364">
        <f t="shared" si="174"/>
        <v>-0.11518754153851517</v>
      </c>
      <c r="I429" s="363"/>
    </row>
    <row r="430" spans="2:9" x14ac:dyDescent="0.25">
      <c r="B430" s="620">
        <v>42641</v>
      </c>
      <c r="C430" s="362">
        <v>9278</v>
      </c>
      <c r="D430" s="621">
        <v>15.968</v>
      </c>
      <c r="E430" s="363">
        <v>15.18</v>
      </c>
      <c r="F430" s="363">
        <f t="shared" si="172"/>
        <v>-7311.0640000000021</v>
      </c>
      <c r="G430" s="363">
        <f t="shared" si="173"/>
        <v>148151.10399999999</v>
      </c>
      <c r="H430" s="364">
        <f t="shared" si="174"/>
        <v>-4.9348697394789594E-2</v>
      </c>
      <c r="I430" s="363" t="s">
        <v>286</v>
      </c>
    </row>
    <row r="431" spans="2:9" ht="15" customHeight="1" x14ac:dyDescent="0.25">
      <c r="B431" s="620">
        <v>42641</v>
      </c>
      <c r="C431" s="362">
        <v>8978</v>
      </c>
      <c r="D431" s="621">
        <v>15.991466000000001</v>
      </c>
      <c r="E431" s="363">
        <v>15.18</v>
      </c>
      <c r="F431" s="363">
        <f t="shared" si="172"/>
        <v>-7285.3417480000098</v>
      </c>
      <c r="G431" s="363">
        <f t="shared" si="173"/>
        <v>143571.38174800001</v>
      </c>
      <c r="H431" s="364">
        <f t="shared" si="174"/>
        <v>-5.0743690415875634E-2</v>
      </c>
      <c r="I431" s="363"/>
    </row>
    <row r="432" spans="2:9" x14ac:dyDescent="0.25">
      <c r="B432" s="620">
        <v>42642</v>
      </c>
      <c r="C432" s="362">
        <v>8678</v>
      </c>
      <c r="D432" s="621">
        <v>16.016100000000002</v>
      </c>
      <c r="E432" s="363">
        <v>15.9</v>
      </c>
      <c r="F432" s="363">
        <f t="shared" si="172"/>
        <v>-1007.5158000000105</v>
      </c>
      <c r="G432" s="363">
        <f t="shared" si="173"/>
        <v>138987.71580000001</v>
      </c>
      <c r="H432" s="364">
        <f t="shared" si="174"/>
        <v>-7.2489557382884214E-3</v>
      </c>
      <c r="I432" s="363"/>
    </row>
    <row r="433" spans="2:9" x14ac:dyDescent="0.25">
      <c r="B433" s="620">
        <v>42642</v>
      </c>
      <c r="C433" s="362">
        <v>7978</v>
      </c>
      <c r="D433" s="621">
        <v>16.036825</v>
      </c>
      <c r="E433" s="363">
        <v>15.9</v>
      </c>
      <c r="F433" s="363">
        <f t="shared" si="172"/>
        <v>-1091.5898499999998</v>
      </c>
      <c r="G433" s="363">
        <f t="shared" si="173"/>
        <v>127941.78985</v>
      </c>
      <c r="H433" s="364">
        <f t="shared" si="174"/>
        <v>-8.5319257396648009E-3</v>
      </c>
      <c r="I433" s="363"/>
    </row>
    <row r="434" spans="2:9" x14ac:dyDescent="0.25">
      <c r="B434" s="620">
        <v>42642</v>
      </c>
      <c r="C434" s="362">
        <v>7764</v>
      </c>
      <c r="D434" s="621">
        <v>16.038399999999999</v>
      </c>
      <c r="E434" s="363">
        <v>15.9</v>
      </c>
      <c r="F434" s="363">
        <f t="shared" si="172"/>
        <v>-1074.5375999999919</v>
      </c>
      <c r="G434" s="363">
        <f t="shared" si="173"/>
        <v>124522.1376</v>
      </c>
      <c r="H434" s="364">
        <f t="shared" si="174"/>
        <v>-8.6292897047086353E-3</v>
      </c>
      <c r="I434" s="363"/>
    </row>
    <row r="435" spans="2:9" x14ac:dyDescent="0.25">
      <c r="B435" s="620">
        <v>42642</v>
      </c>
      <c r="C435" s="362">
        <v>8178</v>
      </c>
      <c r="D435" s="621">
        <v>16.019235999999999</v>
      </c>
      <c r="E435" s="363">
        <v>15.9</v>
      </c>
      <c r="F435" s="363">
        <f t="shared" si="172"/>
        <v>-975.11200799999187</v>
      </c>
      <c r="G435" s="363">
        <f t="shared" si="173"/>
        <v>131005.31200799999</v>
      </c>
      <c r="H435" s="364">
        <f t="shared" si="174"/>
        <v>-7.4433012910228059E-3</v>
      </c>
      <c r="I435" s="363" t="s">
        <v>287</v>
      </c>
    </row>
    <row r="436" spans="2:9" x14ac:dyDescent="0.25">
      <c r="B436" s="620">
        <v>42643</v>
      </c>
      <c r="C436" s="362">
        <v>8178</v>
      </c>
      <c r="D436" s="621">
        <v>16.019235999999999</v>
      </c>
      <c r="E436" s="363">
        <v>15.81</v>
      </c>
      <c r="F436" s="363">
        <f>C436*(E436-D436)</f>
        <v>-1711.1320079999907</v>
      </c>
      <c r="G436" s="363">
        <f>IF(C436=0, 0,D436*C436)</f>
        <v>131005.31200799999</v>
      </c>
      <c r="H436" s="364">
        <f>IF(C436=0, D436, (E436-D436)/D436)</f>
        <v>-1.3061546755413234E-2</v>
      </c>
      <c r="I436" s="363"/>
    </row>
    <row r="437" spans="2:9" ht="15" customHeight="1" x14ac:dyDescent="0.25">
      <c r="B437" s="620">
        <v>42646</v>
      </c>
      <c r="C437" s="362">
        <v>8178</v>
      </c>
      <c r="D437" s="621">
        <v>16.019235999999999</v>
      </c>
      <c r="E437" s="363">
        <v>15.98</v>
      </c>
      <c r="F437" s="363">
        <f t="shared" ref="F437:F446" si="175">C437*(E437-D437)</f>
        <v>-320.8720079999913</v>
      </c>
      <c r="G437" s="363">
        <f t="shared" ref="G437:G446" si="176">IF(C437=0, 0,D437*C437)</f>
        <v>131005.31200799999</v>
      </c>
      <c r="H437" s="364">
        <f t="shared" ref="H437:H446" si="177">IF(C437=0, D437, (E437-D437)/D437)</f>
        <v>-2.4493053226757469E-3</v>
      </c>
      <c r="I437" s="363"/>
    </row>
    <row r="438" spans="2:9" x14ac:dyDescent="0.25">
      <c r="B438" s="620">
        <v>42647</v>
      </c>
      <c r="C438" s="362">
        <v>8678</v>
      </c>
      <c r="D438" s="621">
        <v>16.010061</v>
      </c>
      <c r="E438" s="363">
        <v>15.63</v>
      </c>
      <c r="F438" s="363">
        <f t="shared" si="175"/>
        <v>-3298.169357999996</v>
      </c>
      <c r="G438" s="363">
        <f t="shared" si="176"/>
        <v>138935.309358</v>
      </c>
      <c r="H438" s="364">
        <f t="shared" si="177"/>
        <v>-2.3738885192255015E-2</v>
      </c>
      <c r="I438" s="363"/>
    </row>
    <row r="439" spans="2:9" x14ac:dyDescent="0.25">
      <c r="B439" s="620">
        <v>42647</v>
      </c>
      <c r="C439" s="362">
        <v>9178</v>
      </c>
      <c r="D439" s="621">
        <v>15.988811</v>
      </c>
      <c r="E439" s="363">
        <v>15.63</v>
      </c>
      <c r="F439" s="363">
        <f t="shared" si="175"/>
        <v>-3293.1673579999938</v>
      </c>
      <c r="G439" s="363">
        <f t="shared" si="176"/>
        <v>146745.30735799999</v>
      </c>
      <c r="H439" s="364">
        <f t="shared" si="177"/>
        <v>-2.2441381038277287E-2</v>
      </c>
      <c r="I439" s="363"/>
    </row>
    <row r="440" spans="2:9" x14ac:dyDescent="0.25">
      <c r="B440" s="620">
        <v>42648</v>
      </c>
      <c r="C440" s="362">
        <v>8178</v>
      </c>
      <c r="D440" s="621">
        <v>15.977725</v>
      </c>
      <c r="E440" s="363">
        <v>16.12</v>
      </c>
      <c r="F440" s="363">
        <f t="shared" si="175"/>
        <v>1163.524950000012</v>
      </c>
      <c r="G440" s="363">
        <f t="shared" si="176"/>
        <v>130665.83504999999</v>
      </c>
      <c r="H440" s="364">
        <f t="shared" si="177"/>
        <v>8.904584351026288E-3</v>
      </c>
      <c r="I440" s="363">
        <v>15.75</v>
      </c>
    </row>
    <row r="441" spans="2:9" x14ac:dyDescent="0.25">
      <c r="B441" s="620">
        <v>42648</v>
      </c>
      <c r="C441" s="383">
        <v>7678</v>
      </c>
      <c r="D441" s="622">
        <v>15.951529000000001</v>
      </c>
      <c r="E441" s="363">
        <v>16.12</v>
      </c>
      <c r="F441" s="363">
        <f t="shared" si="175"/>
        <v>1293.5203380000021</v>
      </c>
      <c r="G441" s="363">
        <f t="shared" si="176"/>
        <v>122475.839662</v>
      </c>
      <c r="H441" s="364">
        <f t="shared" si="177"/>
        <v>1.0561432700275958E-2</v>
      </c>
      <c r="I441" s="363" t="s">
        <v>291</v>
      </c>
    </row>
    <row r="442" spans="2:9" x14ac:dyDescent="0.25">
      <c r="B442" s="620">
        <v>42649</v>
      </c>
      <c r="C442" s="362">
        <v>8678</v>
      </c>
      <c r="D442" s="621">
        <v>15.941579000000001</v>
      </c>
      <c r="E442" s="363">
        <v>16.079999999999998</v>
      </c>
      <c r="F442" s="363">
        <f t="shared" si="175"/>
        <v>1201.2174379999781</v>
      </c>
      <c r="G442" s="363">
        <f t="shared" si="176"/>
        <v>138341.022562</v>
      </c>
      <c r="H442" s="364">
        <f t="shared" si="177"/>
        <v>8.683016908174369E-3</v>
      </c>
      <c r="I442" s="363"/>
    </row>
    <row r="443" spans="2:9" x14ac:dyDescent="0.25">
      <c r="B443" s="620">
        <v>42650</v>
      </c>
      <c r="C443" s="362">
        <v>8978</v>
      </c>
      <c r="D443" s="621">
        <v>15.935176999999999</v>
      </c>
      <c r="E443" s="363">
        <v>15.56</v>
      </c>
      <c r="F443" s="363">
        <f t="shared" si="175"/>
        <v>-3368.3391059999908</v>
      </c>
      <c r="G443" s="363">
        <f t="shared" si="176"/>
        <v>143066.01910599999</v>
      </c>
      <c r="H443" s="364">
        <f t="shared" si="177"/>
        <v>-2.354394933925108E-2</v>
      </c>
      <c r="I443" s="363"/>
    </row>
    <row r="444" spans="2:9" x14ac:dyDescent="0.25">
      <c r="B444" s="620">
        <v>42650</v>
      </c>
      <c r="C444" s="362">
        <v>9278</v>
      </c>
      <c r="D444" s="621">
        <v>15.923692000000001</v>
      </c>
      <c r="E444" s="363">
        <v>15.56</v>
      </c>
      <c r="F444" s="363">
        <f t="shared" si="175"/>
        <v>-3374.3343760000034</v>
      </c>
      <c r="G444" s="363">
        <f t="shared" si="176"/>
        <v>147740.01437600001</v>
      </c>
      <c r="H444" s="364">
        <f t="shared" si="177"/>
        <v>-2.2839678134945106E-2</v>
      </c>
      <c r="I444" s="363">
        <v>15.8</v>
      </c>
    </row>
    <row r="445" spans="2:9" x14ac:dyDescent="0.25">
      <c r="B445" s="620">
        <v>42653</v>
      </c>
      <c r="C445" s="383">
        <v>9678</v>
      </c>
      <c r="D445" s="622">
        <v>15.9153</v>
      </c>
      <c r="E445" s="363">
        <v>15.72</v>
      </c>
      <c r="F445" s="363">
        <f t="shared" si="175"/>
        <v>-1890.1133999999961</v>
      </c>
      <c r="G445" s="363">
        <f t="shared" si="176"/>
        <v>154028.27340000001</v>
      </c>
      <c r="H445" s="364">
        <f t="shared" si="177"/>
        <v>-1.2271210721758281E-2</v>
      </c>
      <c r="I445" s="363"/>
    </row>
    <row r="446" spans="2:9" x14ac:dyDescent="0.25">
      <c r="B446" s="620">
        <v>42661</v>
      </c>
      <c r="C446" s="383">
        <v>10000</v>
      </c>
      <c r="D446" s="622">
        <v>15.901258</v>
      </c>
      <c r="E446" s="363">
        <v>14.2</v>
      </c>
      <c r="F446" s="363">
        <f t="shared" si="175"/>
        <v>-17012.580000000009</v>
      </c>
      <c r="G446" s="363">
        <f t="shared" si="176"/>
        <v>159012.58000000002</v>
      </c>
      <c r="H446" s="364">
        <f t="shared" si="177"/>
        <v>-0.10698889358313669</v>
      </c>
      <c r="I446" s="363"/>
    </row>
    <row r="447" spans="2:9" x14ac:dyDescent="0.25">
      <c r="B447" s="620">
        <v>42663</v>
      </c>
      <c r="C447" s="362">
        <v>10000</v>
      </c>
      <c r="D447" s="621">
        <v>15.901258</v>
      </c>
      <c r="E447" s="363">
        <v>14.7</v>
      </c>
      <c r="F447" s="363">
        <f>C447*(E447-D447)</f>
        <v>-12012.580000000011</v>
      </c>
      <c r="G447" s="363">
        <f>IF(C447=0, 0,D447*C447)</f>
        <v>159012.58000000002</v>
      </c>
      <c r="H447" s="365">
        <f>IF(C447=0, D447, (E447-D447)/D447)</f>
        <v>-7.5544840540289399E-2</v>
      </c>
      <c r="I447" s="363"/>
    </row>
    <row r="448" spans="2:9" x14ac:dyDescent="0.25">
      <c r="B448" s="620">
        <v>42668</v>
      </c>
      <c r="C448" s="362">
        <v>11000</v>
      </c>
      <c r="D448" s="621">
        <v>15.74728</v>
      </c>
      <c r="E448" s="363">
        <v>14.18</v>
      </c>
      <c r="F448" s="363">
        <f>C448*(E448-D448)</f>
        <v>-17240.080000000002</v>
      </c>
      <c r="G448" s="363">
        <f>IF(C448=0, 0,D448*C448)</f>
        <v>173220.08</v>
      </c>
      <c r="H448" s="365">
        <f>IF(C448=0, D448, (E448-D448)/D448)</f>
        <v>-9.9527029429844413E-2</v>
      </c>
      <c r="I448" s="363"/>
    </row>
    <row r="449" spans="2:9" x14ac:dyDescent="0.25">
      <c r="B449" s="620">
        <v>42670</v>
      </c>
      <c r="C449" s="362">
        <v>11500</v>
      </c>
      <c r="D449" s="621">
        <v>15.679137000000001</v>
      </c>
      <c r="E449" s="363">
        <v>13.95</v>
      </c>
      <c r="F449" s="363">
        <f>C449*(E449-D449)</f>
        <v>-19885.075500000017</v>
      </c>
      <c r="G449" s="363">
        <f>IF(C449=0, 0,D449*C449)</f>
        <v>180310.07550000001</v>
      </c>
      <c r="H449" s="365">
        <f>IF(C449=0, D449, (E449-D449)/D449)</f>
        <v>-0.11028266415428357</v>
      </c>
      <c r="I449" s="363"/>
    </row>
    <row r="450" spans="2:9" x14ac:dyDescent="0.25">
      <c r="B450" s="620">
        <v>42670</v>
      </c>
      <c r="C450" s="362">
        <v>12000</v>
      </c>
      <c r="D450" s="621">
        <v>15.6113</v>
      </c>
      <c r="E450" s="363">
        <v>13.95</v>
      </c>
      <c r="F450" s="363">
        <f t="shared" ref="F450:F457" si="178">C450*(E450-D450)</f>
        <v>-19935.600000000009</v>
      </c>
      <c r="G450" s="363">
        <f t="shared" ref="G450:G457" si="179">IF(C450=0, 0,D450*C450)</f>
        <v>187335.6</v>
      </c>
      <c r="H450" s="365">
        <f t="shared" ref="H450:H457" si="180">IF(C450=0, D450, (E450-D450)/D450)</f>
        <v>-0.10641650599245422</v>
      </c>
      <c r="I450" s="363"/>
    </row>
    <row r="451" spans="2:9" x14ac:dyDescent="0.25">
      <c r="B451" s="620">
        <v>42670</v>
      </c>
      <c r="C451" s="362">
        <v>12500</v>
      </c>
      <c r="D451" s="621">
        <v>15.542006000000001</v>
      </c>
      <c r="E451" s="363">
        <v>13.95</v>
      </c>
      <c r="F451" s="363">
        <f t="shared" si="178"/>
        <v>-19900.075000000015</v>
      </c>
      <c r="G451" s="363">
        <f t="shared" si="179"/>
        <v>194275.07500000001</v>
      </c>
      <c r="H451" s="365">
        <f t="shared" si="180"/>
        <v>-0.10243246592492637</v>
      </c>
      <c r="I451" s="363"/>
    </row>
    <row r="452" spans="2:9" x14ac:dyDescent="0.25">
      <c r="B452" s="620">
        <v>42671</v>
      </c>
      <c r="C452" s="362">
        <v>12500</v>
      </c>
      <c r="D452" s="621">
        <v>15.536431</v>
      </c>
      <c r="E452" s="363">
        <v>13.72</v>
      </c>
      <c r="F452" s="363">
        <f t="shared" si="178"/>
        <v>-22705.387499999997</v>
      </c>
      <c r="G452" s="363">
        <f t="shared" si="179"/>
        <v>194205.38750000001</v>
      </c>
      <c r="H452" s="365">
        <f t="shared" si="180"/>
        <v>-0.11691430290521676</v>
      </c>
      <c r="I452" s="363"/>
    </row>
    <row r="453" spans="2:9" x14ac:dyDescent="0.25">
      <c r="B453" s="620">
        <v>42674</v>
      </c>
      <c r="C453" s="362">
        <v>12500</v>
      </c>
      <c r="D453" s="621">
        <v>15.5313</v>
      </c>
      <c r="E453" s="363">
        <v>13.18</v>
      </c>
      <c r="F453" s="363">
        <f t="shared" si="178"/>
        <v>-29391.250000000004</v>
      </c>
      <c r="G453" s="363">
        <f t="shared" si="179"/>
        <v>194141.25</v>
      </c>
      <c r="H453" s="365">
        <f t="shared" si="180"/>
        <v>-0.15139106192012261</v>
      </c>
      <c r="I453" s="363"/>
    </row>
    <row r="454" spans="2:9" x14ac:dyDescent="0.25">
      <c r="B454" s="620">
        <v>42676</v>
      </c>
      <c r="C454" s="362">
        <v>12500</v>
      </c>
      <c r="D454" s="621">
        <v>15.528746</v>
      </c>
      <c r="E454" s="363">
        <v>12.78</v>
      </c>
      <c r="F454" s="363">
        <f t="shared" si="178"/>
        <v>-34359.325000000004</v>
      </c>
      <c r="G454" s="363">
        <f t="shared" si="179"/>
        <v>194109.32500000001</v>
      </c>
      <c r="H454" s="364">
        <f t="shared" si="180"/>
        <v>-0.17701017197396368</v>
      </c>
      <c r="I454" s="363"/>
    </row>
    <row r="455" spans="2:9" x14ac:dyDescent="0.25">
      <c r="B455" s="620">
        <v>42677</v>
      </c>
      <c r="C455" s="362">
        <v>10000</v>
      </c>
      <c r="D455" s="621">
        <v>15.813000000000001</v>
      </c>
      <c r="E455" s="363">
        <v>14.15</v>
      </c>
      <c r="F455" s="363">
        <f t="shared" si="178"/>
        <v>-16630.000000000004</v>
      </c>
      <c r="G455" s="363">
        <f t="shared" si="179"/>
        <v>158130</v>
      </c>
      <c r="H455" s="364">
        <f t="shared" si="180"/>
        <v>-0.10516663504711314</v>
      </c>
      <c r="I455" s="363"/>
    </row>
    <row r="456" spans="2:9" x14ac:dyDescent="0.25">
      <c r="B456" s="620">
        <v>42678</v>
      </c>
      <c r="C456" s="362">
        <v>11000</v>
      </c>
      <c r="D456" s="621">
        <v>15.62</v>
      </c>
      <c r="E456" s="363">
        <v>13.69</v>
      </c>
      <c r="F456" s="363">
        <f t="shared" si="178"/>
        <v>-21229.999999999996</v>
      </c>
      <c r="G456" s="363">
        <f t="shared" si="179"/>
        <v>171820</v>
      </c>
      <c r="H456" s="364">
        <f t="shared" si="180"/>
        <v>-0.12355953905249678</v>
      </c>
      <c r="I456" s="363"/>
    </row>
    <row r="457" spans="2:9" x14ac:dyDescent="0.25">
      <c r="B457" s="620">
        <v>42701</v>
      </c>
      <c r="C457" s="362">
        <v>7678</v>
      </c>
      <c r="D457" s="621">
        <v>15.484220000000001</v>
      </c>
      <c r="E457" s="363">
        <v>16.28</v>
      </c>
      <c r="F457" s="363">
        <f t="shared" si="178"/>
        <v>6109.9988400000047</v>
      </c>
      <c r="G457" s="363">
        <f t="shared" si="179"/>
        <v>118887.84116000001</v>
      </c>
      <c r="H457" s="364">
        <f t="shared" si="180"/>
        <v>5.1392966516879801E-2</v>
      </c>
      <c r="I457" s="363" t="s">
        <v>302</v>
      </c>
    </row>
    <row r="458" spans="2:9" ht="15" customHeight="1" x14ac:dyDescent="0.25">
      <c r="B458" s="620">
        <v>42702</v>
      </c>
      <c r="C458" s="362">
        <v>8178</v>
      </c>
      <c r="D458" s="621">
        <v>15.519399999999999</v>
      </c>
      <c r="E458" s="363">
        <v>15.62</v>
      </c>
      <c r="F458" s="363">
        <f t="shared" ref="F458:F475" si="181">C458*(E458-D458)</f>
        <v>822.70680000000016</v>
      </c>
      <c r="G458" s="363">
        <f t="shared" ref="G458:G475" si="182">IF(C458=0, 0,D458*C458)</f>
        <v>126917.6532</v>
      </c>
      <c r="H458" s="364">
        <f t="shared" ref="H458:H475" si="183">IF(C458=0, D458, (E458-D458)/D458)</f>
        <v>6.4822093637640649E-3</v>
      </c>
      <c r="I458" s="363" t="s">
        <v>307</v>
      </c>
    </row>
    <row r="459" spans="2:9" x14ac:dyDescent="0.25">
      <c r="B459" s="620">
        <v>42702</v>
      </c>
      <c r="C459" s="362">
        <v>8678</v>
      </c>
      <c r="D459" s="621">
        <v>15.5304</v>
      </c>
      <c r="E459" s="363">
        <v>15.54</v>
      </c>
      <c r="F459" s="363">
        <f t="shared" si="181"/>
        <v>83.308799999990825</v>
      </c>
      <c r="G459" s="363">
        <f t="shared" si="182"/>
        <v>134772.8112</v>
      </c>
      <c r="H459" s="364">
        <f t="shared" si="183"/>
        <v>6.1814248184199655E-4</v>
      </c>
      <c r="I459" s="363"/>
    </row>
    <row r="460" spans="2:9" x14ac:dyDescent="0.25">
      <c r="B460" s="620">
        <v>42703</v>
      </c>
      <c r="C460" s="362">
        <v>8978</v>
      </c>
      <c r="D460" s="621">
        <v>15.5053</v>
      </c>
      <c r="E460" s="363">
        <v>14.95</v>
      </c>
      <c r="F460" s="363">
        <f t="shared" si="181"/>
        <v>-4985.4834000000074</v>
      </c>
      <c r="G460" s="363">
        <f t="shared" si="182"/>
        <v>139206.5834</v>
      </c>
      <c r="H460" s="364">
        <f t="shared" si="183"/>
        <v>-3.5813560524465882E-2</v>
      </c>
      <c r="I460" s="363"/>
    </row>
    <row r="461" spans="2:9" x14ac:dyDescent="0.25">
      <c r="B461" s="620">
        <v>42704</v>
      </c>
      <c r="C461" s="362">
        <v>5178</v>
      </c>
      <c r="D461" s="621">
        <v>14.3947</v>
      </c>
      <c r="E461" s="363">
        <v>18.059999999999999</v>
      </c>
      <c r="F461" s="363">
        <f t="shared" si="181"/>
        <v>18978.923399999992</v>
      </c>
      <c r="G461" s="363">
        <f t="shared" si="182"/>
        <v>74535.756600000008</v>
      </c>
      <c r="H461" s="364">
        <f t="shared" si="183"/>
        <v>0.25462843963403187</v>
      </c>
      <c r="I461" s="363"/>
    </row>
    <row r="462" spans="2:9" x14ac:dyDescent="0.25">
      <c r="B462" s="620">
        <v>42705</v>
      </c>
      <c r="C462" s="362">
        <v>4678</v>
      </c>
      <c r="D462" s="621">
        <v>13.905799999999999</v>
      </c>
      <c r="E462" s="363">
        <v>17.89</v>
      </c>
      <c r="F462" s="363">
        <f t="shared" si="181"/>
        <v>18638.087600000006</v>
      </c>
      <c r="G462" s="363">
        <f t="shared" si="182"/>
        <v>65051.332399999999</v>
      </c>
      <c r="H462" s="364">
        <f t="shared" si="183"/>
        <v>0.28651354111234173</v>
      </c>
      <c r="I462" s="363"/>
    </row>
    <row r="463" spans="2:9" x14ac:dyDescent="0.25">
      <c r="B463" s="620">
        <v>42705</v>
      </c>
      <c r="C463" s="362">
        <v>5000</v>
      </c>
      <c r="D463" s="621">
        <v>14.1645</v>
      </c>
      <c r="E463" s="363">
        <v>17.89</v>
      </c>
      <c r="F463" s="363">
        <f t="shared" si="181"/>
        <v>18627.5</v>
      </c>
      <c r="G463" s="363">
        <f t="shared" si="182"/>
        <v>70822.5</v>
      </c>
      <c r="H463" s="364">
        <f t="shared" si="183"/>
        <v>0.2630166966712556</v>
      </c>
      <c r="I463" s="363"/>
    </row>
    <row r="464" spans="2:9" x14ac:dyDescent="0.25">
      <c r="B464" s="620">
        <v>42708</v>
      </c>
      <c r="C464" s="362">
        <v>5000</v>
      </c>
      <c r="D464" s="621">
        <v>14.1645</v>
      </c>
      <c r="E464" s="363">
        <v>18.2</v>
      </c>
      <c r="F464" s="363">
        <f t="shared" si="181"/>
        <v>20177.499999999996</v>
      </c>
      <c r="G464" s="363">
        <f t="shared" si="182"/>
        <v>70822.5</v>
      </c>
      <c r="H464" s="364">
        <f t="shared" si="183"/>
        <v>0.28490239683716323</v>
      </c>
      <c r="I464" s="363"/>
    </row>
    <row r="465" spans="1:10" x14ac:dyDescent="0.25">
      <c r="B465" s="620">
        <v>42711</v>
      </c>
      <c r="C465" s="362">
        <v>5000</v>
      </c>
      <c r="D465" s="621">
        <v>14.143514</v>
      </c>
      <c r="E465" s="363">
        <v>18.420000000000002</v>
      </c>
      <c r="F465" s="363">
        <f t="shared" si="181"/>
        <v>21382.430000000011</v>
      </c>
      <c r="G465" s="363">
        <f t="shared" si="182"/>
        <v>70717.569999999992</v>
      </c>
      <c r="H465" s="364">
        <f t="shared" si="183"/>
        <v>0.3023637548631834</v>
      </c>
      <c r="I465" s="363"/>
    </row>
    <row r="466" spans="1:10" x14ac:dyDescent="0.25">
      <c r="B466" s="620">
        <v>42713</v>
      </c>
      <c r="C466" s="362">
        <v>5000</v>
      </c>
      <c r="D466" s="621">
        <v>14.127554</v>
      </c>
      <c r="E466" s="363">
        <v>18.25</v>
      </c>
      <c r="F466" s="363">
        <f t="shared" si="181"/>
        <v>20612.23</v>
      </c>
      <c r="G466" s="363">
        <f t="shared" si="182"/>
        <v>70637.77</v>
      </c>
      <c r="H466" s="364">
        <f t="shared" si="183"/>
        <v>0.29180182216964096</v>
      </c>
      <c r="I466" s="363"/>
    </row>
    <row r="467" spans="1:10" x14ac:dyDescent="0.25">
      <c r="B467" s="620">
        <v>42716</v>
      </c>
      <c r="C467" s="362">
        <v>5000</v>
      </c>
      <c r="D467" s="621">
        <v>14.0276</v>
      </c>
      <c r="E467" s="363">
        <v>18.489999999999998</v>
      </c>
      <c r="F467" s="363">
        <f t="shared" si="181"/>
        <v>22311.999999999993</v>
      </c>
      <c r="G467" s="363">
        <f t="shared" si="182"/>
        <v>70138</v>
      </c>
      <c r="H467" s="364">
        <f t="shared" si="183"/>
        <v>0.3181157147338104</v>
      </c>
      <c r="I467" s="363" t="s">
        <v>185</v>
      </c>
    </row>
    <row r="468" spans="1:10" x14ac:dyDescent="0.25">
      <c r="B468" s="620">
        <v>42718</v>
      </c>
      <c r="C468" s="362">
        <v>5000</v>
      </c>
      <c r="D468" s="621">
        <v>14.025399999999999</v>
      </c>
      <c r="E468" s="363">
        <v>18.2</v>
      </c>
      <c r="F468" s="363">
        <f t="shared" si="181"/>
        <v>20873</v>
      </c>
      <c r="G468" s="363">
        <f t="shared" si="182"/>
        <v>70127</v>
      </c>
      <c r="H468" s="364">
        <f t="shared" si="183"/>
        <v>0.29764569994438661</v>
      </c>
      <c r="I468" s="363">
        <v>13.8</v>
      </c>
    </row>
    <row r="469" spans="1:10" x14ac:dyDescent="0.25">
      <c r="B469" s="620">
        <v>42726</v>
      </c>
      <c r="C469" s="362">
        <v>5000</v>
      </c>
      <c r="D469" s="621">
        <v>14.025399999999999</v>
      </c>
      <c r="E469" s="363">
        <v>18.04</v>
      </c>
      <c r="F469" s="363">
        <f t="shared" si="181"/>
        <v>20073</v>
      </c>
      <c r="G469" s="363">
        <f t="shared" si="182"/>
        <v>70127</v>
      </c>
      <c r="H469" s="364">
        <f t="shared" si="183"/>
        <v>0.28623782565916123</v>
      </c>
      <c r="I469" s="363"/>
    </row>
    <row r="470" spans="1:10" x14ac:dyDescent="0.25">
      <c r="B470" s="620">
        <v>42733</v>
      </c>
      <c r="C470" s="362">
        <v>6000</v>
      </c>
      <c r="D470" s="621">
        <v>14.627558000000001</v>
      </c>
      <c r="E470" s="363">
        <v>17.57</v>
      </c>
      <c r="F470" s="443">
        <f t="shared" si="181"/>
        <v>17654.651999999998</v>
      </c>
      <c r="G470" s="363">
        <f t="shared" si="182"/>
        <v>87765.347999999998</v>
      </c>
      <c r="H470" s="365">
        <f t="shared" si="183"/>
        <v>0.20115743174629694</v>
      </c>
      <c r="I470" s="363"/>
      <c r="J470" s="3"/>
    </row>
    <row r="471" spans="1:10" x14ac:dyDescent="0.25">
      <c r="B471" s="620">
        <v>42734</v>
      </c>
      <c r="C471" s="362">
        <v>6000</v>
      </c>
      <c r="D471" s="621">
        <v>14.562623</v>
      </c>
      <c r="E471" s="363">
        <v>17.309999999999999</v>
      </c>
      <c r="F471" s="443">
        <f t="shared" si="181"/>
        <v>16484.261999999992</v>
      </c>
      <c r="G471" s="363">
        <f t="shared" si="182"/>
        <v>87375.737999999998</v>
      </c>
      <c r="H471" s="365">
        <f t="shared" si="183"/>
        <v>0.18865948806063293</v>
      </c>
      <c r="I471" s="363"/>
    </row>
    <row r="472" spans="1:10" x14ac:dyDescent="0.25">
      <c r="B472" s="620">
        <v>42739</v>
      </c>
      <c r="C472" s="362">
        <v>5500</v>
      </c>
      <c r="D472" s="621">
        <v>14.242898</v>
      </c>
      <c r="E472" s="363">
        <v>18.05</v>
      </c>
      <c r="F472" s="443">
        <f t="shared" si="181"/>
        <v>20939.061000000002</v>
      </c>
      <c r="G472" s="363">
        <f t="shared" si="182"/>
        <v>78335.938999999998</v>
      </c>
      <c r="H472" s="365">
        <f t="shared" si="183"/>
        <v>0.26729827033796072</v>
      </c>
      <c r="I472" s="363"/>
    </row>
    <row r="473" spans="1:10" x14ac:dyDescent="0.25">
      <c r="B473" s="620">
        <v>42741</v>
      </c>
      <c r="C473" s="362">
        <v>6000</v>
      </c>
      <c r="D473" s="621">
        <v>14.54599</v>
      </c>
      <c r="E473" s="363">
        <v>17.98</v>
      </c>
      <c r="F473" s="443">
        <f t="shared" si="181"/>
        <v>20604.060000000005</v>
      </c>
      <c r="G473" s="363">
        <f t="shared" si="182"/>
        <v>87275.94</v>
      </c>
      <c r="H473" s="365">
        <f t="shared" si="183"/>
        <v>0.23607949682352322</v>
      </c>
      <c r="I473" s="363"/>
    </row>
    <row r="474" spans="1:10" x14ac:dyDescent="0.25">
      <c r="B474" s="620">
        <v>42748</v>
      </c>
      <c r="C474" s="362">
        <v>6000</v>
      </c>
      <c r="D474" s="621">
        <v>14.527687999999999</v>
      </c>
      <c r="E474" s="363">
        <v>17.46</v>
      </c>
      <c r="F474" s="443">
        <f t="shared" si="181"/>
        <v>17593.872000000007</v>
      </c>
      <c r="G474" s="363">
        <f t="shared" si="182"/>
        <v>87166.127999999997</v>
      </c>
      <c r="H474" s="365">
        <f t="shared" si="183"/>
        <v>0.20184299112150547</v>
      </c>
      <c r="I474" s="363"/>
    </row>
    <row r="475" spans="1:10" x14ac:dyDescent="0.25">
      <c r="A475" s="226" t="s">
        <v>331</v>
      </c>
      <c r="B475" s="620">
        <v>42754</v>
      </c>
      <c r="C475" s="362">
        <v>6000</v>
      </c>
      <c r="D475" s="621">
        <v>14.527687999999999</v>
      </c>
      <c r="E475" s="363">
        <v>17.27</v>
      </c>
      <c r="F475" s="443">
        <f t="shared" si="181"/>
        <v>16453.871999999999</v>
      </c>
      <c r="G475" s="363">
        <f t="shared" si="182"/>
        <v>87166.127999999997</v>
      </c>
      <c r="H475" s="365">
        <f t="shared" si="183"/>
        <v>0.1887645164185795</v>
      </c>
      <c r="I475" s="363"/>
    </row>
    <row r="476" spans="1:10" x14ac:dyDescent="0.25">
      <c r="A476" t="s">
        <v>331</v>
      </c>
      <c r="B476" s="620">
        <v>42760</v>
      </c>
      <c r="C476" s="362">
        <v>6000</v>
      </c>
      <c r="D476" s="621">
        <v>14.527687999999999</v>
      </c>
      <c r="E476" s="363">
        <v>17.75</v>
      </c>
      <c r="F476" s="443">
        <f t="shared" ref="F476:F490" si="184">C476*(E476-D476)</f>
        <v>19333.872000000003</v>
      </c>
      <c r="G476" s="363">
        <f t="shared" ref="G476:G490" si="185">IF(C476=0, 0,D476*C476)</f>
        <v>87166.127999999997</v>
      </c>
      <c r="H476" s="365">
        <f t="shared" ref="H476:H490" si="186">IF(C476=0, D476, (E476-D476)/D476)</f>
        <v>0.22180487356281334</v>
      </c>
      <c r="I476" s="363"/>
    </row>
    <row r="477" spans="1:10" x14ac:dyDescent="0.25">
      <c r="A477" t="s">
        <v>363</v>
      </c>
      <c r="B477" s="620">
        <v>42761</v>
      </c>
      <c r="C477" s="362">
        <v>6000</v>
      </c>
      <c r="D477" s="621">
        <v>14.50817</v>
      </c>
      <c r="E477" s="363">
        <v>17.75</v>
      </c>
      <c r="F477" s="443">
        <f t="shared" si="184"/>
        <v>19450.98</v>
      </c>
      <c r="G477" s="363">
        <f t="shared" si="185"/>
        <v>87049.02</v>
      </c>
      <c r="H477" s="365">
        <f t="shared" si="186"/>
        <v>0.22344858104088938</v>
      </c>
      <c r="I477" s="363"/>
    </row>
    <row r="478" spans="1:10" ht="15" customHeight="1" x14ac:dyDescent="0.25">
      <c r="A478" t="s">
        <v>366</v>
      </c>
      <c r="B478" s="620">
        <v>42762</v>
      </c>
      <c r="C478" s="362">
        <v>6100</v>
      </c>
      <c r="D478" s="621">
        <v>14.553610000000001</v>
      </c>
      <c r="E478" s="363">
        <v>17.41</v>
      </c>
      <c r="F478" s="443">
        <f t="shared" si="184"/>
        <v>17423.978999999996</v>
      </c>
      <c r="G478" s="363">
        <f t="shared" si="185"/>
        <v>88777.021000000008</v>
      </c>
      <c r="H478" s="365">
        <f t="shared" si="186"/>
        <v>0.19626676817641803</v>
      </c>
      <c r="I478" s="363"/>
    </row>
    <row r="479" spans="1:10" x14ac:dyDescent="0.25">
      <c r="A479" t="s">
        <v>376</v>
      </c>
      <c r="B479" s="620">
        <v>42765</v>
      </c>
      <c r="C479" s="362">
        <v>6900</v>
      </c>
      <c r="D479" s="621">
        <v>14.793915999999999</v>
      </c>
      <c r="E479" s="363">
        <v>16.53</v>
      </c>
      <c r="F479" s="443">
        <f t="shared" si="184"/>
        <v>11978.979600000011</v>
      </c>
      <c r="G479" s="363">
        <f t="shared" si="185"/>
        <v>102078.02039999999</v>
      </c>
      <c r="H479" s="365">
        <f t="shared" si="186"/>
        <v>0.11735121383682331</v>
      </c>
      <c r="I479" s="363"/>
    </row>
    <row r="480" spans="1:10" x14ac:dyDescent="0.25">
      <c r="A480" t="s">
        <v>377</v>
      </c>
      <c r="B480" s="620">
        <v>42766</v>
      </c>
      <c r="C480" s="362">
        <v>6900</v>
      </c>
      <c r="D480" s="621">
        <v>14.783497000000001</v>
      </c>
      <c r="E480" s="363">
        <v>16.75</v>
      </c>
      <c r="F480" s="443">
        <f t="shared" si="184"/>
        <v>13568.870699999996</v>
      </c>
      <c r="G480" s="363">
        <f t="shared" si="185"/>
        <v>102006.1293</v>
      </c>
      <c r="H480" s="365">
        <f t="shared" si="186"/>
        <v>0.13302015078029233</v>
      </c>
      <c r="I480" s="363"/>
    </row>
    <row r="481" spans="1:9" x14ac:dyDescent="0.25">
      <c r="B481" s="620">
        <v>42767</v>
      </c>
      <c r="C481" s="362">
        <v>6000</v>
      </c>
      <c r="D481" s="621">
        <v>14.442175000000001</v>
      </c>
      <c r="E481" s="363">
        <v>16.59</v>
      </c>
      <c r="F481" s="443">
        <f t="shared" si="184"/>
        <v>12886.949999999995</v>
      </c>
      <c r="G481" s="363">
        <f t="shared" si="185"/>
        <v>86653.05</v>
      </c>
      <c r="H481" s="365">
        <f t="shared" si="186"/>
        <v>0.14871894295699914</v>
      </c>
      <c r="I481" s="363"/>
    </row>
    <row r="482" spans="1:9" x14ac:dyDescent="0.25">
      <c r="B482" s="620">
        <v>42767</v>
      </c>
      <c r="C482" s="362">
        <v>7000</v>
      </c>
      <c r="D482" s="621">
        <v>14.725436</v>
      </c>
      <c r="E482" s="363">
        <v>16.59</v>
      </c>
      <c r="F482" s="443">
        <f t="shared" si="184"/>
        <v>13051.947999999999</v>
      </c>
      <c r="G482" s="363">
        <f t="shared" si="185"/>
        <v>103078.052</v>
      </c>
      <c r="H482" s="365">
        <f t="shared" si="186"/>
        <v>0.1266219893251378</v>
      </c>
      <c r="I482" s="363"/>
    </row>
    <row r="483" spans="1:9" x14ac:dyDescent="0.25">
      <c r="B483" s="620">
        <v>42767</v>
      </c>
      <c r="C483" s="362">
        <v>7200</v>
      </c>
      <c r="D483" s="621">
        <v>14.771951</v>
      </c>
      <c r="E483" s="363">
        <v>16.59</v>
      </c>
      <c r="F483" s="443">
        <f t="shared" si="184"/>
        <v>13089.952800000001</v>
      </c>
      <c r="G483" s="363">
        <f t="shared" si="185"/>
        <v>106358.0472</v>
      </c>
      <c r="H483" s="365">
        <f t="shared" si="186"/>
        <v>0.12307439958337259</v>
      </c>
      <c r="I483" s="363"/>
    </row>
    <row r="484" spans="1:9" x14ac:dyDescent="0.25">
      <c r="A484" t="s">
        <v>381</v>
      </c>
      <c r="B484" s="620">
        <v>42767</v>
      </c>
      <c r="C484" s="362">
        <v>6500</v>
      </c>
      <c r="D484" s="621">
        <v>14.578353999999999</v>
      </c>
      <c r="E484" s="363">
        <v>16.59</v>
      </c>
      <c r="F484" s="443">
        <f t="shared" si="184"/>
        <v>13075.699000000004</v>
      </c>
      <c r="G484" s="363">
        <f t="shared" si="185"/>
        <v>94759.300999999992</v>
      </c>
      <c r="H484" s="365">
        <f t="shared" si="186"/>
        <v>0.13798855481215511</v>
      </c>
      <c r="I484" s="363"/>
    </row>
    <row r="485" spans="1:9" x14ac:dyDescent="0.25">
      <c r="A485" t="s">
        <v>383</v>
      </c>
      <c r="B485" s="620">
        <v>42768</v>
      </c>
      <c r="C485" s="362">
        <v>6000</v>
      </c>
      <c r="D485" s="621">
        <v>14.368788</v>
      </c>
      <c r="E485" s="363">
        <v>16.68</v>
      </c>
      <c r="F485" s="443">
        <f t="shared" si="184"/>
        <v>13867.271999999995</v>
      </c>
      <c r="G485" s="363">
        <f>IF(C485=0, 0,D485*C485)</f>
        <v>86212.728000000003</v>
      </c>
      <c r="H485" s="365">
        <f t="shared" si="186"/>
        <v>0.16084947456946261</v>
      </c>
      <c r="I485" s="363"/>
    </row>
    <row r="486" spans="1:9" x14ac:dyDescent="0.25">
      <c r="A486" t="s">
        <v>390</v>
      </c>
      <c r="B486" s="620">
        <v>42769</v>
      </c>
      <c r="C486" s="362">
        <v>5300</v>
      </c>
      <c r="D486" s="621">
        <v>14.006677</v>
      </c>
      <c r="E486" s="363">
        <v>17.23</v>
      </c>
      <c r="F486" s="443">
        <f t="shared" si="184"/>
        <v>17083.611900000004</v>
      </c>
      <c r="G486" s="363">
        <f t="shared" si="185"/>
        <v>74235.388099999996</v>
      </c>
      <c r="H486" s="365">
        <f t="shared" si="186"/>
        <v>0.2301276027140485</v>
      </c>
      <c r="I486" s="363"/>
    </row>
    <row r="487" spans="1:9" ht="15" customHeight="1" x14ac:dyDescent="0.25">
      <c r="A487" t="s">
        <v>400</v>
      </c>
      <c r="B487" s="620">
        <v>42772</v>
      </c>
      <c r="C487" s="362">
        <v>6000</v>
      </c>
      <c r="D487" s="621">
        <v>14.311230999999999</v>
      </c>
      <c r="E487" s="363">
        <v>16.52</v>
      </c>
      <c r="F487" s="443">
        <f t="shared" si="184"/>
        <v>13252.614000000001</v>
      </c>
      <c r="G487" s="363">
        <f t="shared" si="185"/>
        <v>85867.385999999999</v>
      </c>
      <c r="H487" s="365">
        <f t="shared" si="186"/>
        <v>0.15433815581622576</v>
      </c>
      <c r="I487" s="363"/>
    </row>
    <row r="488" spans="1:9" x14ac:dyDescent="0.25">
      <c r="A488" t="s">
        <v>405</v>
      </c>
      <c r="B488" s="620">
        <v>42773</v>
      </c>
      <c r="C488" s="362">
        <v>6600</v>
      </c>
      <c r="D488" s="621">
        <v>14.461574000000001</v>
      </c>
      <c r="E488" s="363">
        <v>16.03</v>
      </c>
      <c r="F488" s="443">
        <f t="shared" si="184"/>
        <v>10351.611600000004</v>
      </c>
      <c r="G488" s="363">
        <f t="shared" si="185"/>
        <v>95446.388400000011</v>
      </c>
      <c r="H488" s="365">
        <f t="shared" si="186"/>
        <v>0.10845472283998965</v>
      </c>
      <c r="I488" s="363"/>
    </row>
    <row r="489" spans="1:9" x14ac:dyDescent="0.25">
      <c r="A489" t="s">
        <v>428</v>
      </c>
      <c r="B489" s="620">
        <v>42781</v>
      </c>
      <c r="C489" s="362">
        <v>5700</v>
      </c>
      <c r="D489" s="621">
        <v>14.140828000000001</v>
      </c>
      <c r="E489" s="363">
        <v>16.3</v>
      </c>
      <c r="F489" s="443">
        <f t="shared" si="184"/>
        <v>12307.2804</v>
      </c>
      <c r="G489" s="363">
        <f t="shared" si="185"/>
        <v>80602.719600000011</v>
      </c>
      <c r="H489" s="365">
        <f t="shared" si="186"/>
        <v>0.1526906345229572</v>
      </c>
      <c r="I489" s="363"/>
    </row>
    <row r="490" spans="1:9" x14ac:dyDescent="0.25">
      <c r="A490" t="s">
        <v>430</v>
      </c>
      <c r="B490" s="620">
        <v>42782</v>
      </c>
      <c r="C490" s="362">
        <v>5700</v>
      </c>
      <c r="D490" s="621">
        <v>14.103</v>
      </c>
      <c r="E490" s="363">
        <v>16.170000000000002</v>
      </c>
      <c r="F490" s="443">
        <f t="shared" si="184"/>
        <v>11781.900000000011</v>
      </c>
      <c r="G490" s="363">
        <f t="shared" si="185"/>
        <v>80387.100000000006</v>
      </c>
      <c r="H490" s="365">
        <f t="shared" si="186"/>
        <v>0.14656456073175933</v>
      </c>
      <c r="I490" s="363"/>
    </row>
    <row r="491" spans="1:9" x14ac:dyDescent="0.25">
      <c r="B491" s="620"/>
      <c r="C491" s="362"/>
      <c r="D491" s="621"/>
      <c r="E491" s="363"/>
      <c r="F491" s="443"/>
      <c r="G491" s="363"/>
      <c r="H491" s="365"/>
      <c r="I491" s="363"/>
    </row>
    <row r="492" spans="1:9" x14ac:dyDescent="0.25">
      <c r="B492" s="620"/>
      <c r="C492" s="362"/>
      <c r="D492" s="621"/>
      <c r="E492" s="363"/>
      <c r="F492" s="443"/>
      <c r="G492" s="363"/>
      <c r="H492" s="365"/>
      <c r="I492" s="363"/>
    </row>
    <row r="493" spans="1:9" x14ac:dyDescent="0.25">
      <c r="B493" s="620"/>
      <c r="C493" s="362"/>
      <c r="D493" s="621"/>
      <c r="E493" s="363"/>
      <c r="F493" s="443"/>
      <c r="G493" s="363"/>
      <c r="H493" s="365"/>
      <c r="I493" s="363"/>
    </row>
    <row r="494" spans="1:9" x14ac:dyDescent="0.25">
      <c r="B494" s="620"/>
      <c r="C494" s="362"/>
      <c r="D494" s="621"/>
      <c r="E494" s="363"/>
      <c r="F494" s="443"/>
      <c r="G494" s="363"/>
      <c r="H494" s="365"/>
      <c r="I494" s="363"/>
    </row>
    <row r="498" spans="1:13" x14ac:dyDescent="0.25">
      <c r="L498" t="s">
        <v>65</v>
      </c>
      <c r="M498" s="227">
        <f>K761+M761-F761</f>
        <v>14615.571000001626</v>
      </c>
    </row>
    <row r="499" spans="1:13" x14ac:dyDescent="0.25">
      <c r="A499" s="510" t="s">
        <v>1</v>
      </c>
      <c r="B499" s="587" t="s">
        <v>2</v>
      </c>
      <c r="C499" s="510" t="s">
        <v>4</v>
      </c>
      <c r="D499" s="588" t="s">
        <v>5</v>
      </c>
      <c r="E499" s="511" t="s">
        <v>90</v>
      </c>
      <c r="F499" s="511" t="s">
        <v>60</v>
      </c>
      <c r="G499" s="510" t="s">
        <v>3</v>
      </c>
      <c r="H499" s="589" t="s">
        <v>6</v>
      </c>
      <c r="I499" s="588" t="s">
        <v>7</v>
      </c>
      <c r="J499" s="511" t="s">
        <v>89</v>
      </c>
      <c r="K499" s="511" t="s">
        <v>61</v>
      </c>
      <c r="L499" s="510" t="s">
        <v>37</v>
      </c>
      <c r="M499" s="511" t="s">
        <v>38</v>
      </c>
    </row>
    <row r="500" spans="1:13" x14ac:dyDescent="0.25">
      <c r="A500" s="512" t="s">
        <v>50</v>
      </c>
      <c r="B500" s="545">
        <v>42187</v>
      </c>
      <c r="C500" s="497">
        <v>1000</v>
      </c>
      <c r="D500" s="498">
        <v>27.25</v>
      </c>
      <c r="E500" s="499">
        <v>0</v>
      </c>
      <c r="F500" s="499">
        <f>C500*D500+E500</f>
        <v>27250</v>
      </c>
      <c r="G500" s="496">
        <v>42187</v>
      </c>
      <c r="H500" s="513">
        <v>2000</v>
      </c>
      <c r="I500" s="498">
        <v>27.34</v>
      </c>
      <c r="J500" s="499">
        <v>-5.49</v>
      </c>
      <c r="K500" s="499">
        <f>H500*I500-J500</f>
        <v>54685.49</v>
      </c>
      <c r="L500" s="496">
        <v>42257</v>
      </c>
      <c r="M500" s="499">
        <v>850.5</v>
      </c>
    </row>
    <row r="501" spans="1:13" x14ac:dyDescent="0.25">
      <c r="A501" s="514" t="s">
        <v>71</v>
      </c>
      <c r="B501" s="545">
        <v>42187</v>
      </c>
      <c r="C501" s="497">
        <v>80</v>
      </c>
      <c r="D501" s="498">
        <v>27.152249999999999</v>
      </c>
      <c r="E501" s="499">
        <v>0</v>
      </c>
      <c r="F501" s="499">
        <f t="shared" ref="F501:F564" si="187">C501*D501+E501</f>
        <v>2172.1799999999998</v>
      </c>
      <c r="G501" s="496">
        <v>42199</v>
      </c>
      <c r="H501" s="513">
        <v>102</v>
      </c>
      <c r="I501" s="498">
        <v>25.28</v>
      </c>
      <c r="J501" s="499">
        <v>0.05</v>
      </c>
      <c r="K501" s="499">
        <f t="shared" ref="K501:K528" si="188">H501*I501-J501</f>
        <v>2578.5099999999998</v>
      </c>
      <c r="L501" s="496">
        <v>42439</v>
      </c>
      <c r="M501" s="499">
        <v>483.9</v>
      </c>
    </row>
    <row r="502" spans="1:13" x14ac:dyDescent="0.25">
      <c r="A502" s="497"/>
      <c r="B502" s="545">
        <v>42187</v>
      </c>
      <c r="C502" s="497">
        <v>1000</v>
      </c>
      <c r="D502" s="498">
        <v>27.1</v>
      </c>
      <c r="E502" s="499">
        <v>0</v>
      </c>
      <c r="F502" s="499">
        <f t="shared" si="187"/>
        <v>27100</v>
      </c>
      <c r="G502" s="496">
        <v>42227</v>
      </c>
      <c r="H502" s="513">
        <v>200</v>
      </c>
      <c r="I502" s="498">
        <v>19.649999999999999</v>
      </c>
      <c r="J502" s="499">
        <v>7.0000000000000007E-2</v>
      </c>
      <c r="K502" s="499">
        <f t="shared" si="188"/>
        <v>3929.9299999999994</v>
      </c>
      <c r="L502" s="496">
        <v>42531</v>
      </c>
      <c r="M502" s="499">
        <v>483.9</v>
      </c>
    </row>
    <row r="503" spans="1:13" x14ac:dyDescent="0.25">
      <c r="A503" s="497"/>
      <c r="B503" s="608">
        <v>42187</v>
      </c>
      <c r="C503" s="497">
        <v>500</v>
      </c>
      <c r="D503" s="498">
        <v>27.039332999999999</v>
      </c>
      <c r="E503" s="499">
        <v>0</v>
      </c>
      <c r="F503" s="499">
        <f t="shared" si="187"/>
        <v>13519.666499999999</v>
      </c>
      <c r="G503" s="496">
        <v>42227</v>
      </c>
      <c r="H503" s="513">
        <v>200</v>
      </c>
      <c r="I503" s="498">
        <v>18.7</v>
      </c>
      <c r="J503" s="499">
        <v>7.0000000000000007E-2</v>
      </c>
      <c r="K503" s="499">
        <f t="shared" si="188"/>
        <v>3739.93</v>
      </c>
      <c r="L503" s="496">
        <v>42625</v>
      </c>
      <c r="M503" s="499">
        <v>433.9</v>
      </c>
    </row>
    <row r="504" spans="1:13" x14ac:dyDescent="0.25">
      <c r="A504" s="497"/>
      <c r="B504" s="608"/>
      <c r="C504" s="497">
        <v>500</v>
      </c>
      <c r="D504" s="498">
        <v>27.039332999999999</v>
      </c>
      <c r="E504" s="499">
        <v>0</v>
      </c>
      <c r="F504" s="499">
        <f t="shared" si="187"/>
        <v>13519.666499999999</v>
      </c>
      <c r="G504" s="496">
        <v>42257</v>
      </c>
      <c r="H504" s="513">
        <v>1600</v>
      </c>
      <c r="I504" s="498">
        <v>16.445</v>
      </c>
      <c r="J504" s="499">
        <v>0.48</v>
      </c>
      <c r="K504" s="499">
        <f t="shared" si="188"/>
        <v>26311.52</v>
      </c>
      <c r="L504" s="496">
        <v>42716</v>
      </c>
      <c r="M504" s="499">
        <v>500</v>
      </c>
    </row>
    <row r="505" spans="1:13" x14ac:dyDescent="0.25">
      <c r="A505" s="497"/>
      <c r="B505" s="608"/>
      <c r="C505" s="497">
        <v>500</v>
      </c>
      <c r="D505" s="498">
        <v>27.039332999999999</v>
      </c>
      <c r="E505" s="499">
        <v>0</v>
      </c>
      <c r="F505" s="499">
        <f t="shared" si="187"/>
        <v>13519.666499999999</v>
      </c>
      <c r="G505" s="609">
        <v>42265</v>
      </c>
      <c r="H505" s="513">
        <v>200</v>
      </c>
      <c r="I505" s="498">
        <v>15.65</v>
      </c>
      <c r="J505" s="499">
        <v>0.05</v>
      </c>
      <c r="K505" s="499">
        <f t="shared" si="188"/>
        <v>3129.95</v>
      </c>
      <c r="L505" s="497"/>
      <c r="M505" s="499"/>
    </row>
    <row r="506" spans="1:13" x14ac:dyDescent="0.25">
      <c r="A506" s="497"/>
      <c r="B506" s="608"/>
      <c r="C506" s="497">
        <v>500</v>
      </c>
      <c r="D506" s="498">
        <v>27.039332999999999</v>
      </c>
      <c r="E506" s="499">
        <v>0</v>
      </c>
      <c r="F506" s="499">
        <f t="shared" si="187"/>
        <v>13519.666499999999</v>
      </c>
      <c r="G506" s="609"/>
      <c r="H506" s="513">
        <v>2400</v>
      </c>
      <c r="I506" s="498">
        <v>15.7</v>
      </c>
      <c r="J506" s="499">
        <v>0.7</v>
      </c>
      <c r="K506" s="499">
        <f t="shared" si="188"/>
        <v>37679.300000000003</v>
      </c>
      <c r="L506" s="497"/>
      <c r="M506" s="499"/>
    </row>
    <row r="507" spans="1:13" x14ac:dyDescent="0.25">
      <c r="A507" s="497"/>
      <c r="B507" s="608"/>
      <c r="C507" s="497">
        <v>1000</v>
      </c>
      <c r="D507" s="498">
        <v>27.039332999999999</v>
      </c>
      <c r="E507" s="499">
        <v>0</v>
      </c>
      <c r="F507" s="499">
        <f t="shared" si="187"/>
        <v>27039.332999999999</v>
      </c>
      <c r="G507" s="496">
        <v>42271</v>
      </c>
      <c r="H507" s="590">
        <v>918</v>
      </c>
      <c r="I507" s="591">
        <v>16.45</v>
      </c>
      <c r="J507" s="592">
        <v>0.28000000000000003</v>
      </c>
      <c r="K507" s="592">
        <f t="shared" si="188"/>
        <v>15100.819999999998</v>
      </c>
      <c r="L507" s="497"/>
      <c r="M507" s="499"/>
    </row>
    <row r="508" spans="1:13" ht="60" x14ac:dyDescent="0.25">
      <c r="A508" s="497"/>
      <c r="B508" s="545">
        <v>42198</v>
      </c>
      <c r="C508" s="497">
        <v>100</v>
      </c>
      <c r="D508" s="498">
        <v>24.77</v>
      </c>
      <c r="E508" s="499">
        <v>0</v>
      </c>
      <c r="F508" s="499">
        <f t="shared" si="187"/>
        <v>2477</v>
      </c>
      <c r="G508" s="610" t="s">
        <v>139</v>
      </c>
      <c r="H508" s="513">
        <v>500</v>
      </c>
      <c r="I508" s="498">
        <v>15.95</v>
      </c>
      <c r="J508" s="499">
        <v>0.15</v>
      </c>
      <c r="K508" s="592">
        <f t="shared" si="188"/>
        <v>7974.85</v>
      </c>
      <c r="L508" s="497"/>
      <c r="M508" s="499"/>
    </row>
    <row r="509" spans="1:13" x14ac:dyDescent="0.25">
      <c r="A509" s="497"/>
      <c r="B509" s="545">
        <v>42205</v>
      </c>
      <c r="C509" s="497">
        <v>50</v>
      </c>
      <c r="D509" s="498">
        <v>24.35</v>
      </c>
      <c r="E509" s="499">
        <v>0</v>
      </c>
      <c r="F509" s="499">
        <f t="shared" si="187"/>
        <v>1217.5</v>
      </c>
      <c r="G509" s="610"/>
      <c r="H509" s="513">
        <v>500</v>
      </c>
      <c r="I509" s="498">
        <v>16.100000000000001</v>
      </c>
      <c r="J509" s="499">
        <v>0.15</v>
      </c>
      <c r="K509" s="592">
        <f t="shared" si="188"/>
        <v>8049.8500000000013</v>
      </c>
      <c r="L509" s="497"/>
      <c r="M509" s="499"/>
    </row>
    <row r="510" spans="1:13" x14ac:dyDescent="0.25">
      <c r="A510" s="497"/>
      <c r="B510" s="545">
        <v>42207</v>
      </c>
      <c r="C510" s="497">
        <v>20</v>
      </c>
      <c r="D510" s="498">
        <v>24.02</v>
      </c>
      <c r="E510" s="499">
        <v>0</v>
      </c>
      <c r="F510" s="499">
        <f t="shared" si="187"/>
        <v>480.4</v>
      </c>
      <c r="G510" s="610"/>
      <c r="H510" s="513">
        <v>500</v>
      </c>
      <c r="I510" s="498">
        <v>16.170000000000002</v>
      </c>
      <c r="J510" s="499">
        <v>0.15</v>
      </c>
      <c r="K510" s="592">
        <f t="shared" si="188"/>
        <v>8084.8500000000013</v>
      </c>
      <c r="L510" s="497"/>
      <c r="M510" s="499"/>
    </row>
    <row r="511" spans="1:13" x14ac:dyDescent="0.25">
      <c r="A511" s="497"/>
      <c r="B511" s="545">
        <v>42207</v>
      </c>
      <c r="C511" s="497">
        <v>20</v>
      </c>
      <c r="D511" s="498">
        <v>23.91</v>
      </c>
      <c r="E511" s="499">
        <v>0</v>
      </c>
      <c r="F511" s="499">
        <f t="shared" si="187"/>
        <v>478.2</v>
      </c>
      <c r="G511" s="610"/>
      <c r="H511" s="513">
        <v>500</v>
      </c>
      <c r="I511" s="498">
        <v>16.28</v>
      </c>
      <c r="J511" s="499">
        <v>0.15</v>
      </c>
      <c r="K511" s="592">
        <f t="shared" si="188"/>
        <v>8139.8500000000013</v>
      </c>
      <c r="L511" s="499"/>
      <c r="M511" s="499"/>
    </row>
    <row r="512" spans="1:13" ht="15" customHeight="1" x14ac:dyDescent="0.25">
      <c r="A512" s="497"/>
      <c r="B512" s="545">
        <v>42207</v>
      </c>
      <c r="C512" s="497">
        <v>20</v>
      </c>
      <c r="D512" s="498">
        <v>23.7</v>
      </c>
      <c r="E512" s="499">
        <v>0</v>
      </c>
      <c r="F512" s="499">
        <f t="shared" si="187"/>
        <v>474</v>
      </c>
      <c r="G512" s="610"/>
      <c r="H512" s="513">
        <v>500</v>
      </c>
      <c r="I512" s="498">
        <v>16.39</v>
      </c>
      <c r="J512" s="499">
        <v>0.15</v>
      </c>
      <c r="K512" s="592">
        <f t="shared" si="188"/>
        <v>8194.85</v>
      </c>
      <c r="L512" s="497"/>
      <c r="M512" s="499"/>
    </row>
    <row r="513" spans="1:13" x14ac:dyDescent="0.25">
      <c r="A513" s="497"/>
      <c r="B513" s="545">
        <v>42207</v>
      </c>
      <c r="C513" s="497">
        <v>20</v>
      </c>
      <c r="D513" s="498">
        <v>23.6</v>
      </c>
      <c r="E513" s="499">
        <v>0</v>
      </c>
      <c r="F513" s="499">
        <f t="shared" si="187"/>
        <v>472</v>
      </c>
      <c r="G513" s="610"/>
      <c r="H513" s="513">
        <v>500</v>
      </c>
      <c r="I513" s="498">
        <v>16.55</v>
      </c>
      <c r="J513" s="499">
        <v>0.17</v>
      </c>
      <c r="K513" s="592">
        <f t="shared" si="188"/>
        <v>8274.83</v>
      </c>
      <c r="L513" s="497"/>
      <c r="M513" s="499"/>
    </row>
    <row r="514" spans="1:13" x14ac:dyDescent="0.25">
      <c r="A514" s="497"/>
      <c r="B514" s="545">
        <v>42209</v>
      </c>
      <c r="C514" s="497">
        <v>40</v>
      </c>
      <c r="D514" s="498">
        <v>22.3</v>
      </c>
      <c r="E514" s="499">
        <v>0</v>
      </c>
      <c r="F514" s="499">
        <f t="shared" si="187"/>
        <v>892</v>
      </c>
      <c r="G514" s="610"/>
      <c r="H514" s="513">
        <v>50</v>
      </c>
      <c r="I514" s="498">
        <v>16.55</v>
      </c>
      <c r="J514" s="499">
        <v>0</v>
      </c>
      <c r="K514" s="592">
        <f t="shared" si="188"/>
        <v>827.5</v>
      </c>
      <c r="L514" s="497"/>
      <c r="M514" s="499"/>
    </row>
    <row r="515" spans="1:13" x14ac:dyDescent="0.25">
      <c r="A515" s="499"/>
      <c r="B515" s="545">
        <v>42221</v>
      </c>
      <c r="C515" s="497">
        <v>12</v>
      </c>
      <c r="D515" s="498">
        <v>20.95</v>
      </c>
      <c r="E515" s="499">
        <v>0</v>
      </c>
      <c r="F515" s="499">
        <f t="shared" si="187"/>
        <v>251.39999999999998</v>
      </c>
      <c r="G515" s="610"/>
      <c r="H515" s="513">
        <v>28</v>
      </c>
      <c r="I515" s="498">
        <v>16.68</v>
      </c>
      <c r="J515" s="499">
        <v>0.01</v>
      </c>
      <c r="K515" s="592">
        <f t="shared" si="188"/>
        <v>467.03</v>
      </c>
      <c r="L515" s="513"/>
      <c r="M515" s="499"/>
    </row>
    <row r="516" spans="1:13" x14ac:dyDescent="0.25">
      <c r="A516" s="497"/>
      <c r="B516" s="545">
        <v>42223</v>
      </c>
      <c r="C516" s="497">
        <v>100</v>
      </c>
      <c r="D516" s="498">
        <v>20.399999999999999</v>
      </c>
      <c r="E516" s="499">
        <v>0</v>
      </c>
      <c r="F516" s="499">
        <f t="shared" si="187"/>
        <v>2039.9999999999998</v>
      </c>
      <c r="G516" s="496">
        <v>42285</v>
      </c>
      <c r="H516" s="513">
        <v>632</v>
      </c>
      <c r="I516" s="498">
        <v>17.850000000000001</v>
      </c>
      <c r="J516" s="499">
        <v>0.21</v>
      </c>
      <c r="K516" s="592">
        <f t="shared" si="188"/>
        <v>11280.990000000002</v>
      </c>
      <c r="L516" s="499"/>
      <c r="M516" s="499"/>
    </row>
    <row r="517" spans="1:13" x14ac:dyDescent="0.25">
      <c r="A517" s="499"/>
      <c r="B517" s="545">
        <v>42226</v>
      </c>
      <c r="C517" s="497">
        <v>200</v>
      </c>
      <c r="D517" s="498">
        <v>19.95</v>
      </c>
      <c r="E517" s="499">
        <v>0</v>
      </c>
      <c r="F517" s="499">
        <f t="shared" si="187"/>
        <v>3990</v>
      </c>
      <c r="G517" s="496">
        <v>42297</v>
      </c>
      <c r="H517" s="513">
        <v>500</v>
      </c>
      <c r="I517" s="498">
        <v>19.149999999999999</v>
      </c>
      <c r="J517" s="499">
        <v>0.18</v>
      </c>
      <c r="K517" s="592">
        <f t="shared" si="188"/>
        <v>9574.82</v>
      </c>
      <c r="L517" s="497"/>
      <c r="M517" s="499"/>
    </row>
    <row r="518" spans="1:13" x14ac:dyDescent="0.25">
      <c r="A518" s="497"/>
      <c r="B518" s="545">
        <v>42226</v>
      </c>
      <c r="C518" s="497">
        <v>50</v>
      </c>
      <c r="D518" s="498">
        <v>20.010000000000002</v>
      </c>
      <c r="E518" s="499">
        <v>0</v>
      </c>
      <c r="F518" s="499">
        <f t="shared" si="187"/>
        <v>1000.5000000000001</v>
      </c>
      <c r="G518" s="496">
        <v>42300</v>
      </c>
      <c r="H518" s="513">
        <v>1000</v>
      </c>
      <c r="I518" s="498">
        <v>18.62</v>
      </c>
      <c r="J518" s="499">
        <v>0.34</v>
      </c>
      <c r="K518" s="592">
        <f t="shared" si="188"/>
        <v>18619.66</v>
      </c>
      <c r="L518" s="497"/>
      <c r="M518" s="499"/>
    </row>
    <row r="519" spans="1:13" x14ac:dyDescent="0.25">
      <c r="A519" s="497"/>
      <c r="B519" s="545">
        <v>42226</v>
      </c>
      <c r="C519" s="497">
        <v>100</v>
      </c>
      <c r="D519" s="498">
        <v>20.2</v>
      </c>
      <c r="E519" s="499">
        <v>0</v>
      </c>
      <c r="F519" s="499">
        <f t="shared" si="187"/>
        <v>2020</v>
      </c>
      <c r="G519" s="496">
        <v>42312</v>
      </c>
      <c r="H519" s="513">
        <v>2500</v>
      </c>
      <c r="I519" s="498">
        <v>18.48</v>
      </c>
      <c r="J519" s="499">
        <v>7.8</v>
      </c>
      <c r="K519" s="499">
        <f t="shared" si="188"/>
        <v>46192.2</v>
      </c>
      <c r="L519" s="497"/>
      <c r="M519" s="499"/>
    </row>
    <row r="520" spans="1:13" x14ac:dyDescent="0.25">
      <c r="A520" s="497"/>
      <c r="B520" s="545">
        <v>42227</v>
      </c>
      <c r="C520" s="497">
        <v>200</v>
      </c>
      <c r="D520" s="498">
        <v>18.399999999999999</v>
      </c>
      <c r="E520" s="499">
        <v>0</v>
      </c>
      <c r="F520" s="499">
        <f t="shared" si="187"/>
        <v>3679.9999999999995</v>
      </c>
      <c r="G520" s="496">
        <v>42313</v>
      </c>
      <c r="H520" s="513">
        <v>3000</v>
      </c>
      <c r="I520" s="498">
        <v>19.059999999999999</v>
      </c>
      <c r="J520" s="499">
        <v>1.05</v>
      </c>
      <c r="K520" s="499">
        <f t="shared" si="188"/>
        <v>57178.94999999999</v>
      </c>
      <c r="L520" s="497"/>
      <c r="M520" s="499"/>
    </row>
    <row r="521" spans="1:13" x14ac:dyDescent="0.25">
      <c r="A521" s="497"/>
      <c r="B521" s="545">
        <v>42227</v>
      </c>
      <c r="C521" s="497">
        <v>200</v>
      </c>
      <c r="D521" s="498">
        <v>19.55</v>
      </c>
      <c r="E521" s="499">
        <v>0</v>
      </c>
      <c r="F521" s="499">
        <f t="shared" si="187"/>
        <v>3910</v>
      </c>
      <c r="G521" s="496">
        <v>42324</v>
      </c>
      <c r="H521" s="513">
        <v>2500</v>
      </c>
      <c r="I521" s="498">
        <v>18.8</v>
      </c>
      <c r="J521" s="499">
        <v>0.86</v>
      </c>
      <c r="K521" s="499">
        <f t="shared" si="188"/>
        <v>46999.14</v>
      </c>
      <c r="L521" s="499"/>
      <c r="M521" s="499"/>
    </row>
    <row r="522" spans="1:13" x14ac:dyDescent="0.25">
      <c r="A522" s="497"/>
      <c r="B522" s="545">
        <v>42234</v>
      </c>
      <c r="C522" s="497">
        <v>40</v>
      </c>
      <c r="D522" s="498">
        <v>18.149999999999999</v>
      </c>
      <c r="E522" s="499">
        <v>0</v>
      </c>
      <c r="F522" s="499">
        <f t="shared" si="187"/>
        <v>726</v>
      </c>
      <c r="G522" s="496">
        <v>42335</v>
      </c>
      <c r="H522" s="513">
        <v>3078</v>
      </c>
      <c r="I522" s="498">
        <v>17.649999999999999</v>
      </c>
      <c r="J522" s="499">
        <v>1</v>
      </c>
      <c r="K522" s="499">
        <f t="shared" si="188"/>
        <v>54325.7</v>
      </c>
      <c r="L522" s="497"/>
      <c r="M522" s="499"/>
    </row>
    <row r="523" spans="1:13" x14ac:dyDescent="0.25">
      <c r="A523" s="497"/>
      <c r="B523" s="545">
        <v>42234</v>
      </c>
      <c r="C523" s="497">
        <v>100</v>
      </c>
      <c r="D523" s="498">
        <v>18</v>
      </c>
      <c r="E523" s="499">
        <v>0</v>
      </c>
      <c r="F523" s="499">
        <f t="shared" si="187"/>
        <v>1800</v>
      </c>
      <c r="G523" s="496">
        <v>42347</v>
      </c>
      <c r="H523" s="513">
        <v>500</v>
      </c>
      <c r="I523" s="498">
        <v>16.149999999999999</v>
      </c>
      <c r="J523" s="499">
        <v>0.15</v>
      </c>
      <c r="K523" s="499">
        <f t="shared" si="188"/>
        <v>8074.8499999999995</v>
      </c>
      <c r="L523" s="497"/>
      <c r="M523" s="499"/>
    </row>
    <row r="524" spans="1:13" x14ac:dyDescent="0.25">
      <c r="A524" s="497"/>
      <c r="B524" s="545">
        <v>42235</v>
      </c>
      <c r="C524" s="497">
        <v>100</v>
      </c>
      <c r="D524" s="498">
        <v>17.78</v>
      </c>
      <c r="E524" s="499">
        <v>0</v>
      </c>
      <c r="F524" s="499">
        <f t="shared" si="187"/>
        <v>1778</v>
      </c>
      <c r="G524" s="496">
        <v>42353</v>
      </c>
      <c r="H524" s="513">
        <v>600</v>
      </c>
      <c r="I524" s="498">
        <v>14.95</v>
      </c>
      <c r="J524" s="499">
        <v>0.17</v>
      </c>
      <c r="K524" s="499">
        <f t="shared" si="188"/>
        <v>8969.83</v>
      </c>
      <c r="L524" s="497"/>
      <c r="M524" s="499"/>
    </row>
    <row r="525" spans="1:13" x14ac:dyDescent="0.25">
      <c r="A525" s="497"/>
      <c r="B525" s="545">
        <v>42235</v>
      </c>
      <c r="C525" s="497">
        <v>100</v>
      </c>
      <c r="D525" s="498">
        <v>17.68</v>
      </c>
      <c r="E525" s="499">
        <v>0</v>
      </c>
      <c r="F525" s="499">
        <f t="shared" si="187"/>
        <v>1768</v>
      </c>
      <c r="G525" s="496">
        <v>42354</v>
      </c>
      <c r="H525" s="513">
        <v>500</v>
      </c>
      <c r="I525" s="498">
        <v>14.32</v>
      </c>
      <c r="J525" s="499">
        <v>0.13</v>
      </c>
      <c r="K525" s="499">
        <f t="shared" si="188"/>
        <v>7159.87</v>
      </c>
      <c r="L525" s="497"/>
      <c r="M525" s="499"/>
    </row>
    <row r="526" spans="1:13" x14ac:dyDescent="0.25">
      <c r="A526" s="497"/>
      <c r="B526" s="545">
        <v>42240</v>
      </c>
      <c r="C526" s="497">
        <v>100</v>
      </c>
      <c r="D526" s="498">
        <v>16.649999999999999</v>
      </c>
      <c r="E526" s="499">
        <v>0</v>
      </c>
      <c r="F526" s="499">
        <f t="shared" si="187"/>
        <v>1664.9999999999998</v>
      </c>
      <c r="G526" s="496">
        <v>42361</v>
      </c>
      <c r="H526" s="513">
        <v>500</v>
      </c>
      <c r="I526" s="498">
        <v>12.83</v>
      </c>
      <c r="J526" s="499">
        <v>0.12</v>
      </c>
      <c r="K526" s="499">
        <f t="shared" si="188"/>
        <v>6414.88</v>
      </c>
      <c r="L526" s="497"/>
      <c r="M526" s="499"/>
    </row>
    <row r="527" spans="1:13" x14ac:dyDescent="0.25">
      <c r="A527" s="497"/>
      <c r="B527" s="545">
        <v>42240</v>
      </c>
      <c r="C527" s="497">
        <v>100</v>
      </c>
      <c r="D527" s="498">
        <v>16.100000000000001</v>
      </c>
      <c r="E527" s="499">
        <v>0</v>
      </c>
      <c r="F527" s="499">
        <f t="shared" si="187"/>
        <v>1610.0000000000002</v>
      </c>
      <c r="G527" s="496">
        <v>42362</v>
      </c>
      <c r="H527" s="513">
        <v>1222</v>
      </c>
      <c r="I527" s="498">
        <v>12.75</v>
      </c>
      <c r="J527" s="499">
        <v>0.28999999999999998</v>
      </c>
      <c r="K527" s="499">
        <f t="shared" si="188"/>
        <v>15580.21</v>
      </c>
      <c r="L527" s="497"/>
      <c r="M527" s="499"/>
    </row>
    <row r="528" spans="1:13" x14ac:dyDescent="0.25">
      <c r="A528" s="497"/>
      <c r="B528" s="545">
        <v>42257</v>
      </c>
      <c r="C528" s="497">
        <v>1500</v>
      </c>
      <c r="D528" s="498">
        <v>16.350000000000001</v>
      </c>
      <c r="E528" s="499">
        <v>0</v>
      </c>
      <c r="F528" s="499">
        <f t="shared" si="187"/>
        <v>24525.000000000004</v>
      </c>
      <c r="G528" s="496">
        <v>42367</v>
      </c>
      <c r="H528" s="513">
        <v>1000</v>
      </c>
      <c r="I528" s="498">
        <v>13.15</v>
      </c>
      <c r="J528" s="499">
        <v>0.24</v>
      </c>
      <c r="K528" s="499">
        <f t="shared" si="188"/>
        <v>13149.76</v>
      </c>
      <c r="L528" s="497"/>
      <c r="M528" s="499"/>
    </row>
    <row r="529" spans="1:13" x14ac:dyDescent="0.25">
      <c r="A529" s="497"/>
      <c r="B529" s="545">
        <v>42258</v>
      </c>
      <c r="C529" s="497">
        <v>100</v>
      </c>
      <c r="D529" s="498">
        <v>16.100000000000001</v>
      </c>
      <c r="E529" s="499">
        <v>0</v>
      </c>
      <c r="F529" s="499">
        <f t="shared" si="187"/>
        <v>1610.0000000000002</v>
      </c>
      <c r="G529" s="496">
        <v>42367</v>
      </c>
      <c r="H529" s="513">
        <v>2178</v>
      </c>
      <c r="I529" s="498">
        <v>13.75</v>
      </c>
      <c r="J529" s="499">
        <v>0.55000000000000004</v>
      </c>
      <c r="K529" s="499">
        <f>H529*I529-J529</f>
        <v>29946.95</v>
      </c>
      <c r="L529" s="497"/>
      <c r="M529" s="499"/>
    </row>
    <row r="530" spans="1:13" x14ac:dyDescent="0.25">
      <c r="A530" s="497"/>
      <c r="B530" s="545">
        <v>42261</v>
      </c>
      <c r="C530" s="497">
        <v>1000</v>
      </c>
      <c r="D530" s="498">
        <v>15.416</v>
      </c>
      <c r="E530" s="499">
        <v>0</v>
      </c>
      <c r="F530" s="499">
        <f t="shared" si="187"/>
        <v>15416</v>
      </c>
      <c r="G530" s="496">
        <v>42010</v>
      </c>
      <c r="H530" s="513">
        <v>1000</v>
      </c>
      <c r="I530" s="498">
        <v>12.63</v>
      </c>
      <c r="J530" s="499">
        <v>0.23</v>
      </c>
      <c r="K530" s="499">
        <f>H530*I530-J530</f>
        <v>12629.77</v>
      </c>
      <c r="L530" s="497"/>
      <c r="M530" s="499"/>
    </row>
    <row r="531" spans="1:13" x14ac:dyDescent="0.25">
      <c r="A531" s="497"/>
      <c r="B531" s="545">
        <v>42261</v>
      </c>
      <c r="C531" s="497">
        <v>1000</v>
      </c>
      <c r="D531" s="498">
        <v>15.1</v>
      </c>
      <c r="E531" s="499">
        <v>0</v>
      </c>
      <c r="F531" s="499">
        <f t="shared" si="187"/>
        <v>15100</v>
      </c>
      <c r="G531" s="593">
        <v>42374</v>
      </c>
      <c r="H531" s="513">
        <v>2000</v>
      </c>
      <c r="I531" s="498">
        <v>12.81</v>
      </c>
      <c r="J531" s="499">
        <v>0.47</v>
      </c>
      <c r="K531" s="499">
        <f t="shared" ref="K531:K543" si="189">H531*I531-J531</f>
        <v>25619.53</v>
      </c>
      <c r="L531" s="497"/>
      <c r="M531" s="499"/>
    </row>
    <row r="532" spans="1:13" x14ac:dyDescent="0.25">
      <c r="A532" s="497"/>
      <c r="B532" s="545">
        <v>42261</v>
      </c>
      <c r="C532" s="497">
        <v>200</v>
      </c>
      <c r="D532" s="498">
        <v>14.87</v>
      </c>
      <c r="E532" s="499">
        <v>0</v>
      </c>
      <c r="F532" s="499">
        <f t="shared" si="187"/>
        <v>2974</v>
      </c>
      <c r="G532" s="496">
        <v>42374</v>
      </c>
      <c r="H532" s="513">
        <v>1000</v>
      </c>
      <c r="I532" s="498">
        <v>12.82</v>
      </c>
      <c r="J532" s="499">
        <v>0.24</v>
      </c>
      <c r="K532" s="499">
        <f t="shared" si="189"/>
        <v>12819.76</v>
      </c>
      <c r="L532" s="497"/>
      <c r="M532" s="499"/>
    </row>
    <row r="533" spans="1:13" x14ac:dyDescent="0.25">
      <c r="A533" s="497"/>
      <c r="B533" s="545">
        <v>42261</v>
      </c>
      <c r="C533" s="497">
        <v>300</v>
      </c>
      <c r="D533" s="498">
        <v>14.87</v>
      </c>
      <c r="E533" s="499">
        <v>0</v>
      </c>
      <c r="F533" s="499">
        <f t="shared" si="187"/>
        <v>4461</v>
      </c>
      <c r="G533" s="496">
        <v>42398</v>
      </c>
      <c r="H533" s="513">
        <v>400</v>
      </c>
      <c r="I533" s="498">
        <v>9.5500000000000007</v>
      </c>
      <c r="J533" s="499">
        <v>7.0000000000000007E-2</v>
      </c>
      <c r="K533" s="499">
        <f t="shared" si="189"/>
        <v>3819.9300000000003</v>
      </c>
      <c r="L533" s="497"/>
      <c r="M533" s="499"/>
    </row>
    <row r="534" spans="1:13" x14ac:dyDescent="0.25">
      <c r="A534" s="497"/>
      <c r="B534" s="545">
        <v>42270</v>
      </c>
      <c r="C534" s="497">
        <v>478</v>
      </c>
      <c r="D534" s="498">
        <v>15.85</v>
      </c>
      <c r="E534" s="499">
        <v>0</v>
      </c>
      <c r="F534" s="499">
        <f t="shared" si="187"/>
        <v>7576.3</v>
      </c>
      <c r="G534" s="496">
        <v>42411</v>
      </c>
      <c r="H534" s="513">
        <v>500</v>
      </c>
      <c r="I534" s="498">
        <v>6.97</v>
      </c>
      <c r="J534" s="499">
        <v>0.08</v>
      </c>
      <c r="K534" s="499">
        <f t="shared" si="189"/>
        <v>3484.92</v>
      </c>
      <c r="L534" s="497"/>
      <c r="M534" s="499"/>
    </row>
    <row r="535" spans="1:13" x14ac:dyDescent="0.25">
      <c r="A535" s="497"/>
      <c r="B535" s="545">
        <v>42292</v>
      </c>
      <c r="C535" s="497">
        <v>500</v>
      </c>
      <c r="D535" s="498">
        <v>18.55</v>
      </c>
      <c r="E535" s="499">
        <v>0</v>
      </c>
      <c r="F535" s="499">
        <f t="shared" si="187"/>
        <v>9275</v>
      </c>
      <c r="G535" s="496">
        <v>42412</v>
      </c>
      <c r="H535" s="513">
        <v>200</v>
      </c>
      <c r="I535" s="498">
        <v>7.45</v>
      </c>
      <c r="J535" s="499">
        <v>0.03</v>
      </c>
      <c r="K535" s="499">
        <f t="shared" si="189"/>
        <v>1489.97</v>
      </c>
      <c r="L535" s="497"/>
      <c r="M535" s="499"/>
    </row>
    <row r="536" spans="1:13" x14ac:dyDescent="0.25">
      <c r="A536" s="497"/>
      <c r="B536" s="545">
        <v>42299</v>
      </c>
      <c r="C536" s="497">
        <v>500</v>
      </c>
      <c r="D536" s="498">
        <v>18.55</v>
      </c>
      <c r="E536" s="499">
        <v>0</v>
      </c>
      <c r="F536" s="499">
        <f t="shared" si="187"/>
        <v>9275</v>
      </c>
      <c r="G536" s="496">
        <v>42416</v>
      </c>
      <c r="H536" s="513">
        <v>500</v>
      </c>
      <c r="I536" s="498">
        <v>7.75</v>
      </c>
      <c r="J536" s="499">
        <v>0.08</v>
      </c>
      <c r="K536" s="499">
        <f t="shared" si="189"/>
        <v>3874.92</v>
      </c>
      <c r="L536" s="497"/>
      <c r="M536" s="499"/>
    </row>
    <row r="537" spans="1:13" x14ac:dyDescent="0.25">
      <c r="A537" s="497"/>
      <c r="B537" s="545">
        <v>42299</v>
      </c>
      <c r="C537" s="497">
        <v>500</v>
      </c>
      <c r="D537" s="498">
        <v>18.28</v>
      </c>
      <c r="E537" s="499">
        <v>0</v>
      </c>
      <c r="F537" s="499">
        <f t="shared" si="187"/>
        <v>9140</v>
      </c>
      <c r="G537" s="496">
        <v>42422</v>
      </c>
      <c r="H537" s="513">
        <v>2500</v>
      </c>
      <c r="I537" s="498">
        <v>7.47</v>
      </c>
      <c r="J537" s="499">
        <v>0.41</v>
      </c>
      <c r="K537" s="499">
        <f t="shared" si="189"/>
        <v>18674.59</v>
      </c>
      <c r="L537" s="497"/>
      <c r="M537" s="499"/>
    </row>
    <row r="538" spans="1:13" x14ac:dyDescent="0.25">
      <c r="A538" s="497"/>
      <c r="B538" s="545">
        <v>42299</v>
      </c>
      <c r="C538" s="497">
        <v>1000</v>
      </c>
      <c r="D538" s="498">
        <v>18.100000000000001</v>
      </c>
      <c r="E538" s="499">
        <v>0</v>
      </c>
      <c r="F538" s="499">
        <f t="shared" si="187"/>
        <v>18100</v>
      </c>
      <c r="G538" s="496">
        <v>42422</v>
      </c>
      <c r="H538" s="513">
        <v>1000</v>
      </c>
      <c r="I538" s="498">
        <v>7.49</v>
      </c>
      <c r="J538" s="499">
        <v>0.16</v>
      </c>
      <c r="K538" s="499">
        <f t="shared" si="189"/>
        <v>7489.84</v>
      </c>
      <c r="L538" s="497"/>
      <c r="M538" s="499"/>
    </row>
    <row r="539" spans="1:13" x14ac:dyDescent="0.25">
      <c r="A539" s="497"/>
      <c r="B539" s="608">
        <v>42306</v>
      </c>
      <c r="C539" s="497">
        <v>660</v>
      </c>
      <c r="D539" s="498">
        <v>17.8</v>
      </c>
      <c r="E539" s="499">
        <v>0</v>
      </c>
      <c r="F539" s="499">
        <f t="shared" si="187"/>
        <v>11748</v>
      </c>
      <c r="G539" s="496">
        <v>42426</v>
      </c>
      <c r="H539" s="513">
        <v>900</v>
      </c>
      <c r="I539" s="498">
        <v>7.7</v>
      </c>
      <c r="J539" s="499">
        <v>0.15</v>
      </c>
      <c r="K539" s="499">
        <f t="shared" si="189"/>
        <v>6929.85</v>
      </c>
      <c r="L539" s="497"/>
      <c r="M539" s="499"/>
    </row>
    <row r="540" spans="1:13" ht="30" x14ac:dyDescent="0.25">
      <c r="A540" s="497"/>
      <c r="B540" s="608"/>
      <c r="C540" s="497">
        <v>340</v>
      </c>
      <c r="D540" s="498">
        <v>17.8</v>
      </c>
      <c r="E540" s="499">
        <v>0</v>
      </c>
      <c r="F540" s="499">
        <f t="shared" si="187"/>
        <v>6052</v>
      </c>
      <c r="G540" s="611" t="s">
        <v>181</v>
      </c>
      <c r="H540" s="513">
        <v>500</v>
      </c>
      <c r="I540" s="498">
        <v>7.73</v>
      </c>
      <c r="J540" s="499">
        <v>0.08</v>
      </c>
      <c r="K540" s="499">
        <f t="shared" si="189"/>
        <v>3864.92</v>
      </c>
      <c r="L540" s="497"/>
      <c r="M540" s="499"/>
    </row>
    <row r="541" spans="1:13" x14ac:dyDescent="0.25">
      <c r="A541" s="497"/>
      <c r="B541" s="545">
        <v>42312</v>
      </c>
      <c r="C541" s="594">
        <v>500</v>
      </c>
      <c r="D541" s="591">
        <v>17.559999999999999</v>
      </c>
      <c r="E541" s="592">
        <v>6.95</v>
      </c>
      <c r="F541" s="592">
        <f t="shared" si="187"/>
        <v>8786.9500000000007</v>
      </c>
      <c r="G541" s="611"/>
      <c r="H541" s="513">
        <v>500</v>
      </c>
      <c r="I541" s="498">
        <v>7.96</v>
      </c>
      <c r="J541" s="499">
        <v>0.09</v>
      </c>
      <c r="K541" s="499">
        <f t="shared" si="189"/>
        <v>3979.91</v>
      </c>
      <c r="L541" s="497"/>
      <c r="M541" s="499"/>
    </row>
    <row r="542" spans="1:13" x14ac:dyDescent="0.25">
      <c r="A542" s="497"/>
      <c r="B542" s="545">
        <v>42313</v>
      </c>
      <c r="C542" s="497">
        <v>3000</v>
      </c>
      <c r="D542" s="498">
        <v>19.05</v>
      </c>
      <c r="E542" s="499">
        <v>0</v>
      </c>
      <c r="F542" s="499">
        <f t="shared" si="187"/>
        <v>57150</v>
      </c>
      <c r="G542" s="611"/>
      <c r="H542" s="513">
        <v>500</v>
      </c>
      <c r="I542" s="498">
        <v>8.0299999999999994</v>
      </c>
      <c r="J542" s="499">
        <v>0.09</v>
      </c>
      <c r="K542" s="499">
        <f t="shared" si="189"/>
        <v>4014.9099999999994</v>
      </c>
      <c r="L542" s="497"/>
      <c r="M542" s="498"/>
    </row>
    <row r="543" spans="1:13" x14ac:dyDescent="0.25">
      <c r="A543" s="497"/>
      <c r="B543" s="545">
        <v>42320</v>
      </c>
      <c r="C543" s="497">
        <v>500</v>
      </c>
      <c r="D543" s="498">
        <v>18.079999999999998</v>
      </c>
      <c r="E543" s="499">
        <v>0</v>
      </c>
      <c r="F543" s="499">
        <f t="shared" si="187"/>
        <v>9040</v>
      </c>
      <c r="G543" s="611"/>
      <c r="H543" s="513">
        <v>1500</v>
      </c>
      <c r="I543" s="498">
        <v>8.1</v>
      </c>
      <c r="J543" s="499">
        <v>0.26</v>
      </c>
      <c r="K543" s="499">
        <f t="shared" si="189"/>
        <v>12149.74</v>
      </c>
      <c r="L543" s="497"/>
      <c r="M543" s="499"/>
    </row>
    <row r="544" spans="1:13" x14ac:dyDescent="0.25">
      <c r="A544" s="497"/>
      <c r="B544" s="545">
        <v>42320</v>
      </c>
      <c r="C544" s="497">
        <v>1000</v>
      </c>
      <c r="D544" s="498">
        <v>18.05</v>
      </c>
      <c r="E544" s="499">
        <v>0</v>
      </c>
      <c r="F544" s="499">
        <f t="shared" si="187"/>
        <v>18050</v>
      </c>
      <c r="G544" s="496">
        <v>42429</v>
      </c>
      <c r="H544" s="513">
        <v>1000</v>
      </c>
      <c r="I544" s="498">
        <v>8.5399999999999991</v>
      </c>
      <c r="J544" s="499">
        <v>0.19</v>
      </c>
      <c r="K544" s="499">
        <f>H544*I544-J544</f>
        <v>8539.81</v>
      </c>
      <c r="L544" s="497"/>
      <c r="M544" s="595"/>
    </row>
    <row r="545" spans="1:13" x14ac:dyDescent="0.25">
      <c r="A545" s="497"/>
      <c r="B545" s="545">
        <v>42320</v>
      </c>
      <c r="C545" s="497">
        <v>1000</v>
      </c>
      <c r="D545" s="498">
        <v>17.82</v>
      </c>
      <c r="E545" s="499">
        <v>0</v>
      </c>
      <c r="F545" s="499">
        <f t="shared" si="187"/>
        <v>17820</v>
      </c>
      <c r="G545" s="496">
        <v>42429</v>
      </c>
      <c r="H545" s="513">
        <v>500</v>
      </c>
      <c r="I545" s="498">
        <v>7.95</v>
      </c>
      <c r="J545" s="499">
        <v>0.09</v>
      </c>
      <c r="K545" s="499">
        <f>H545*I545-J545</f>
        <v>3974.91</v>
      </c>
      <c r="L545" s="497"/>
      <c r="M545" s="499"/>
    </row>
    <row r="546" spans="1:13" x14ac:dyDescent="0.25">
      <c r="A546" s="497"/>
      <c r="B546" s="545">
        <v>42328</v>
      </c>
      <c r="C546" s="497">
        <v>3078</v>
      </c>
      <c r="D546" s="498">
        <v>17.47</v>
      </c>
      <c r="E546" s="499">
        <v>0</v>
      </c>
      <c r="F546" s="499">
        <f t="shared" si="187"/>
        <v>53772.659999999996</v>
      </c>
      <c r="G546" s="496">
        <v>42429</v>
      </c>
      <c r="H546" s="513">
        <v>500</v>
      </c>
      <c r="I546" s="498">
        <v>7.97</v>
      </c>
      <c r="J546" s="499">
        <v>0.09</v>
      </c>
      <c r="K546" s="499">
        <f t="shared" ref="K546:K605" si="190">H546*I546-J546</f>
        <v>3984.91</v>
      </c>
      <c r="L546" s="497"/>
      <c r="M546" s="499"/>
    </row>
    <row r="547" spans="1:13" x14ac:dyDescent="0.25">
      <c r="A547" s="497"/>
      <c r="B547" s="545">
        <v>42340</v>
      </c>
      <c r="C547" s="497">
        <v>3078</v>
      </c>
      <c r="D547" s="498">
        <v>17.739999999999998</v>
      </c>
      <c r="E547" s="499">
        <v>0</v>
      </c>
      <c r="F547" s="499">
        <f t="shared" si="187"/>
        <v>54603.719999999994</v>
      </c>
      <c r="G547" s="496">
        <v>42430</v>
      </c>
      <c r="H547" s="513">
        <v>500</v>
      </c>
      <c r="I547" s="498">
        <v>7.85</v>
      </c>
      <c r="J547" s="499">
        <v>0.09</v>
      </c>
      <c r="K547" s="499">
        <f t="shared" si="190"/>
        <v>3924.91</v>
      </c>
      <c r="L547" s="497"/>
      <c r="M547" s="499"/>
    </row>
    <row r="548" spans="1:13" x14ac:dyDescent="0.25">
      <c r="A548" s="497"/>
      <c r="B548" s="545">
        <v>42340</v>
      </c>
      <c r="C548" s="497">
        <v>500</v>
      </c>
      <c r="D548" s="498">
        <v>17.5</v>
      </c>
      <c r="E548" s="499">
        <v>0</v>
      </c>
      <c r="F548" s="499">
        <f t="shared" si="187"/>
        <v>8750</v>
      </c>
      <c r="G548" s="496">
        <v>42430</v>
      </c>
      <c r="H548" s="513">
        <v>500</v>
      </c>
      <c r="I548" s="498">
        <v>8.0299999999999994</v>
      </c>
      <c r="J548" s="499">
        <v>0.09</v>
      </c>
      <c r="K548" s="499">
        <f t="shared" si="190"/>
        <v>4014.9099999999994</v>
      </c>
      <c r="L548" s="499"/>
      <c r="M548" s="499"/>
    </row>
    <row r="549" spans="1:13" x14ac:dyDescent="0.25">
      <c r="A549" s="497"/>
      <c r="B549" s="545">
        <v>42345</v>
      </c>
      <c r="C549" s="497">
        <v>100</v>
      </c>
      <c r="D549" s="498">
        <v>16.7</v>
      </c>
      <c r="E549" s="499">
        <v>0</v>
      </c>
      <c r="F549" s="499">
        <f t="shared" si="187"/>
        <v>1670</v>
      </c>
      <c r="G549" s="496">
        <v>42431</v>
      </c>
      <c r="H549" s="513">
        <v>500</v>
      </c>
      <c r="I549" s="498">
        <v>8.3800000000000008</v>
      </c>
      <c r="J549" s="499">
        <v>0.09</v>
      </c>
      <c r="K549" s="499">
        <f t="shared" si="190"/>
        <v>4189.91</v>
      </c>
      <c r="L549" s="499"/>
      <c r="M549" s="499"/>
    </row>
    <row r="550" spans="1:13" x14ac:dyDescent="0.25">
      <c r="A550" s="497"/>
      <c r="B550" s="545">
        <v>42345</v>
      </c>
      <c r="C550" s="497">
        <v>500</v>
      </c>
      <c r="D550" s="498">
        <v>16.850000000000001</v>
      </c>
      <c r="E550" s="499">
        <v>0</v>
      </c>
      <c r="F550" s="499">
        <f t="shared" si="187"/>
        <v>8425</v>
      </c>
      <c r="G550" s="496">
        <v>42431</v>
      </c>
      <c r="H550" s="513">
        <v>500</v>
      </c>
      <c r="I550" s="498">
        <v>8.58</v>
      </c>
      <c r="J550" s="499">
        <v>0.09</v>
      </c>
      <c r="K550" s="499">
        <f t="shared" si="190"/>
        <v>4289.91</v>
      </c>
      <c r="L550" s="497"/>
      <c r="M550" s="499"/>
    </row>
    <row r="551" spans="1:13" ht="30" x14ac:dyDescent="0.25">
      <c r="A551" s="497"/>
      <c r="B551" s="545">
        <v>42347</v>
      </c>
      <c r="C551" s="497">
        <v>500</v>
      </c>
      <c r="D551" s="498">
        <v>15.84</v>
      </c>
      <c r="E551" s="499">
        <v>0</v>
      </c>
      <c r="F551" s="499">
        <f t="shared" si="187"/>
        <v>7920</v>
      </c>
      <c r="G551" s="610" t="s">
        <v>183</v>
      </c>
      <c r="H551" s="513">
        <v>400</v>
      </c>
      <c r="I551" s="498">
        <v>9.09</v>
      </c>
      <c r="J551" s="499">
        <v>0.1</v>
      </c>
      <c r="K551" s="499">
        <f t="shared" si="190"/>
        <v>3635.9</v>
      </c>
      <c r="L551" s="497"/>
      <c r="M551" s="499"/>
    </row>
    <row r="552" spans="1:13" x14ac:dyDescent="0.25">
      <c r="A552" s="497"/>
      <c r="B552" s="545">
        <v>42348</v>
      </c>
      <c r="C552" s="497">
        <v>500</v>
      </c>
      <c r="D552" s="498">
        <v>14.78</v>
      </c>
      <c r="E552" s="499">
        <v>0</v>
      </c>
      <c r="F552" s="499">
        <f t="shared" si="187"/>
        <v>7390</v>
      </c>
      <c r="G552" s="610"/>
      <c r="H552" s="513">
        <v>100</v>
      </c>
      <c r="I552" s="498">
        <v>9.09</v>
      </c>
      <c r="J552" s="499">
        <v>0</v>
      </c>
      <c r="K552" s="499">
        <f t="shared" si="190"/>
        <v>909</v>
      </c>
      <c r="L552" s="497"/>
      <c r="M552" s="499"/>
    </row>
    <row r="553" spans="1:13" x14ac:dyDescent="0.25">
      <c r="A553" s="497"/>
      <c r="B553" s="545">
        <v>42352</v>
      </c>
      <c r="C553" s="497">
        <v>100</v>
      </c>
      <c r="D553" s="498">
        <v>14.57</v>
      </c>
      <c r="E553" s="499">
        <v>0</v>
      </c>
      <c r="F553" s="499">
        <f t="shared" si="187"/>
        <v>1457</v>
      </c>
      <c r="G553" s="610"/>
      <c r="H553" s="513">
        <v>500</v>
      </c>
      <c r="I553" s="498">
        <v>8.81</v>
      </c>
      <c r="J553" s="499">
        <v>0.1</v>
      </c>
      <c r="K553" s="499">
        <f t="shared" si="190"/>
        <v>4404.8999999999996</v>
      </c>
      <c r="L553" s="497"/>
      <c r="M553" s="499"/>
    </row>
    <row r="554" spans="1:13" x14ac:dyDescent="0.25">
      <c r="A554" s="497"/>
      <c r="B554" s="545">
        <v>42355</v>
      </c>
      <c r="C554" s="497">
        <v>500</v>
      </c>
      <c r="D554" s="498">
        <v>13.89</v>
      </c>
      <c r="E554" s="499">
        <v>0</v>
      </c>
      <c r="F554" s="499">
        <f t="shared" si="187"/>
        <v>6945</v>
      </c>
      <c r="G554" s="496">
        <v>42432</v>
      </c>
      <c r="H554" s="513">
        <v>600</v>
      </c>
      <c r="I554" s="498">
        <v>9.65</v>
      </c>
      <c r="J554" s="499">
        <v>0.13</v>
      </c>
      <c r="K554" s="499">
        <f t="shared" si="190"/>
        <v>5789.87</v>
      </c>
      <c r="L554" s="497"/>
      <c r="M554" s="499"/>
    </row>
    <row r="555" spans="1:13" x14ac:dyDescent="0.25">
      <c r="A555" s="497"/>
      <c r="B555" s="545">
        <v>42360</v>
      </c>
      <c r="C555" s="497">
        <v>500</v>
      </c>
      <c r="D555" s="498">
        <v>12.95</v>
      </c>
      <c r="E555" s="499">
        <v>0</v>
      </c>
      <c r="F555" s="499">
        <f t="shared" si="187"/>
        <v>6475</v>
      </c>
      <c r="G555" s="496">
        <v>42433</v>
      </c>
      <c r="H555" s="513">
        <v>600</v>
      </c>
      <c r="I555" s="498">
        <v>10.45</v>
      </c>
      <c r="J555" s="499">
        <v>0.14000000000000001</v>
      </c>
      <c r="K555" s="499">
        <f t="shared" si="190"/>
        <v>6269.86</v>
      </c>
      <c r="L555" s="497"/>
      <c r="M555" s="499"/>
    </row>
    <row r="556" spans="1:13" x14ac:dyDescent="0.25">
      <c r="A556" s="497"/>
      <c r="B556" s="545">
        <v>42361</v>
      </c>
      <c r="C556" s="497">
        <v>500</v>
      </c>
      <c r="D556" s="498">
        <v>12.75</v>
      </c>
      <c r="E556" s="499">
        <v>0</v>
      </c>
      <c r="F556" s="499">
        <f t="shared" si="187"/>
        <v>6375</v>
      </c>
      <c r="G556" s="496">
        <v>42440</v>
      </c>
      <c r="H556" s="513">
        <v>400</v>
      </c>
      <c r="I556" s="498">
        <v>11.25</v>
      </c>
      <c r="J556" s="499">
        <v>0.1</v>
      </c>
      <c r="K556" s="499">
        <f t="shared" si="190"/>
        <v>4499.8999999999996</v>
      </c>
      <c r="L556" s="497"/>
      <c r="M556" s="499"/>
    </row>
    <row r="557" spans="1:13" x14ac:dyDescent="0.25">
      <c r="A557" s="497"/>
      <c r="B557" s="545">
        <v>42361</v>
      </c>
      <c r="C557" s="497">
        <v>500</v>
      </c>
      <c r="D557" s="498">
        <v>12.8</v>
      </c>
      <c r="E557" s="499">
        <v>0</v>
      </c>
      <c r="F557" s="499">
        <f t="shared" si="187"/>
        <v>6400</v>
      </c>
      <c r="G557" s="496">
        <v>42446</v>
      </c>
      <c r="H557" s="513">
        <v>1500</v>
      </c>
      <c r="I557" s="498">
        <v>11.49</v>
      </c>
      <c r="J557" s="499">
        <v>0.38</v>
      </c>
      <c r="K557" s="499">
        <f t="shared" si="190"/>
        <v>17234.62</v>
      </c>
      <c r="L557" s="497"/>
      <c r="M557" s="499"/>
    </row>
    <row r="558" spans="1:13" x14ac:dyDescent="0.25">
      <c r="A558" s="497"/>
      <c r="B558" s="545">
        <v>42361</v>
      </c>
      <c r="C558" s="497">
        <v>1000</v>
      </c>
      <c r="D558" s="498">
        <v>12.67</v>
      </c>
      <c r="E558" s="499">
        <v>0</v>
      </c>
      <c r="F558" s="499">
        <f t="shared" si="187"/>
        <v>12670</v>
      </c>
      <c r="G558" s="496">
        <v>42447</v>
      </c>
      <c r="H558" s="513">
        <v>1500</v>
      </c>
      <c r="I558" s="498">
        <v>11.44</v>
      </c>
      <c r="J558" s="499">
        <v>0.37</v>
      </c>
      <c r="K558" s="499">
        <f t="shared" si="190"/>
        <v>17159.63</v>
      </c>
      <c r="L558" s="497"/>
      <c r="M558" s="499"/>
    </row>
    <row r="559" spans="1:13" x14ac:dyDescent="0.25">
      <c r="A559" s="497"/>
      <c r="B559" s="545">
        <v>42361</v>
      </c>
      <c r="C559" s="497">
        <v>222</v>
      </c>
      <c r="D559" s="498">
        <v>12.44</v>
      </c>
      <c r="E559" s="499">
        <v>0</v>
      </c>
      <c r="F559" s="499">
        <f t="shared" si="187"/>
        <v>2761.68</v>
      </c>
      <c r="G559" s="496">
        <v>42447</v>
      </c>
      <c r="H559" s="513">
        <v>500</v>
      </c>
      <c r="I559" s="498">
        <v>11.484999999999999</v>
      </c>
      <c r="J559" s="499">
        <v>0.13</v>
      </c>
      <c r="K559" s="499">
        <f t="shared" si="190"/>
        <v>5742.37</v>
      </c>
      <c r="L559" s="497"/>
      <c r="M559" s="499"/>
    </row>
    <row r="560" spans="1:13" x14ac:dyDescent="0.25">
      <c r="A560" s="497"/>
      <c r="B560" s="545">
        <v>42367</v>
      </c>
      <c r="C560" s="497">
        <v>2178</v>
      </c>
      <c r="D560" s="498">
        <v>13.68</v>
      </c>
      <c r="E560" s="499">
        <v>0</v>
      </c>
      <c r="F560" s="499">
        <f t="shared" si="187"/>
        <v>29795.040000000001</v>
      </c>
      <c r="G560" s="609">
        <v>42447</v>
      </c>
      <c r="H560" s="513">
        <v>650</v>
      </c>
      <c r="I560" s="498">
        <v>11.56</v>
      </c>
      <c r="J560" s="499">
        <v>0.25</v>
      </c>
      <c r="K560" s="499">
        <f t="shared" si="190"/>
        <v>7513.75</v>
      </c>
      <c r="L560" s="497"/>
      <c r="M560" s="499"/>
    </row>
    <row r="561" spans="1:13" x14ac:dyDescent="0.25">
      <c r="A561" s="497"/>
      <c r="B561" s="545">
        <v>42369</v>
      </c>
      <c r="C561" s="497">
        <v>2500</v>
      </c>
      <c r="D561" s="498">
        <v>13.04</v>
      </c>
      <c r="E561" s="499">
        <v>0</v>
      </c>
      <c r="F561" s="499">
        <f t="shared" si="187"/>
        <v>32599.999999999996</v>
      </c>
      <c r="G561" s="609"/>
      <c r="H561" s="513">
        <v>350</v>
      </c>
      <c r="I561" s="498">
        <v>11.56</v>
      </c>
      <c r="J561" s="499">
        <v>0</v>
      </c>
      <c r="K561" s="499">
        <f t="shared" si="190"/>
        <v>4046</v>
      </c>
      <c r="L561" s="497"/>
      <c r="M561" s="499"/>
    </row>
    <row r="562" spans="1:13" x14ac:dyDescent="0.25">
      <c r="A562" s="497"/>
      <c r="B562" s="545">
        <v>42008</v>
      </c>
      <c r="C562" s="497">
        <v>2000</v>
      </c>
      <c r="D562" s="498">
        <v>13.01</v>
      </c>
      <c r="E562" s="499">
        <v>0</v>
      </c>
      <c r="F562" s="499">
        <f t="shared" si="187"/>
        <v>26020</v>
      </c>
      <c r="G562" s="496">
        <v>42447</v>
      </c>
      <c r="H562" s="513">
        <v>1000</v>
      </c>
      <c r="I562" s="498">
        <v>11.62</v>
      </c>
      <c r="J562" s="499">
        <v>0.25</v>
      </c>
      <c r="K562" s="499">
        <f t="shared" si="190"/>
        <v>11619.75</v>
      </c>
      <c r="L562" s="497"/>
      <c r="M562" s="499"/>
    </row>
    <row r="563" spans="1:13" x14ac:dyDescent="0.25">
      <c r="A563" s="497"/>
      <c r="B563" s="545">
        <v>42009</v>
      </c>
      <c r="C563" s="497">
        <v>500</v>
      </c>
      <c r="D563" s="498">
        <v>12.62</v>
      </c>
      <c r="E563" s="499">
        <v>0</v>
      </c>
      <c r="F563" s="499">
        <f t="shared" si="187"/>
        <v>6310</v>
      </c>
      <c r="G563" s="496">
        <v>42451</v>
      </c>
      <c r="H563" s="513">
        <v>1000</v>
      </c>
      <c r="I563" s="498">
        <v>11.45</v>
      </c>
      <c r="J563" s="499">
        <v>0.25</v>
      </c>
      <c r="K563" s="499">
        <f t="shared" si="190"/>
        <v>11449.75</v>
      </c>
      <c r="L563" s="497"/>
      <c r="M563" s="499"/>
    </row>
    <row r="564" spans="1:13" x14ac:dyDescent="0.25">
      <c r="A564" s="497"/>
      <c r="B564" s="545">
        <v>42009</v>
      </c>
      <c r="C564" s="497">
        <v>500</v>
      </c>
      <c r="D564" s="498">
        <v>12.45</v>
      </c>
      <c r="E564" s="499">
        <v>0</v>
      </c>
      <c r="F564" s="499">
        <f t="shared" si="187"/>
        <v>6225</v>
      </c>
      <c r="G564" s="496">
        <v>42451</v>
      </c>
      <c r="H564" s="513">
        <v>50</v>
      </c>
      <c r="I564" s="498">
        <v>11.28</v>
      </c>
      <c r="J564" s="499">
        <v>0.01</v>
      </c>
      <c r="K564" s="499">
        <f t="shared" si="190"/>
        <v>563.99</v>
      </c>
      <c r="L564" s="497"/>
      <c r="M564" s="499"/>
    </row>
    <row r="565" spans="1:13" x14ac:dyDescent="0.25">
      <c r="A565" s="497"/>
      <c r="B565" s="596">
        <v>42374</v>
      </c>
      <c r="C565" s="497">
        <v>2000</v>
      </c>
      <c r="D565" s="498">
        <v>12.73</v>
      </c>
      <c r="E565" s="499">
        <v>0</v>
      </c>
      <c r="F565" s="499">
        <f t="shared" ref="F565:F628" si="191">C565*D565+E565</f>
        <v>25460</v>
      </c>
      <c r="G565" s="496">
        <v>42459</v>
      </c>
      <c r="H565" s="513">
        <v>2000</v>
      </c>
      <c r="I565" s="498">
        <v>10.75</v>
      </c>
      <c r="J565" s="499">
        <v>0.47</v>
      </c>
      <c r="K565" s="499">
        <f t="shared" si="190"/>
        <v>21499.53</v>
      </c>
      <c r="L565" s="497"/>
      <c r="M565" s="499"/>
    </row>
    <row r="566" spans="1:13" x14ac:dyDescent="0.25">
      <c r="A566" s="497"/>
      <c r="B566" s="545">
        <v>42375</v>
      </c>
      <c r="C566" s="497">
        <v>1000</v>
      </c>
      <c r="D566" s="498">
        <v>12.5</v>
      </c>
      <c r="E566" s="499">
        <v>0</v>
      </c>
      <c r="F566" s="499">
        <f t="shared" si="191"/>
        <v>12500</v>
      </c>
      <c r="G566" s="496">
        <v>42460</v>
      </c>
      <c r="H566" s="513">
        <v>1600</v>
      </c>
      <c r="I566" s="498">
        <v>10.95</v>
      </c>
      <c r="J566" s="499">
        <v>2.88</v>
      </c>
      <c r="K566" s="499">
        <f t="shared" si="190"/>
        <v>17517.12</v>
      </c>
      <c r="L566" s="497"/>
      <c r="M566" s="499"/>
    </row>
    <row r="567" spans="1:13" x14ac:dyDescent="0.25">
      <c r="A567" s="497"/>
      <c r="B567" s="545">
        <v>42375</v>
      </c>
      <c r="C567" s="497">
        <v>1000</v>
      </c>
      <c r="D567" s="498">
        <v>11.7</v>
      </c>
      <c r="E567" s="499">
        <v>0</v>
      </c>
      <c r="F567" s="499">
        <f t="shared" si="191"/>
        <v>11700</v>
      </c>
      <c r="G567" s="496">
        <v>42461</v>
      </c>
      <c r="H567" s="513">
        <v>2000</v>
      </c>
      <c r="I567" s="498">
        <v>10.52</v>
      </c>
      <c r="J567" s="499">
        <v>0.46</v>
      </c>
      <c r="K567" s="499">
        <f t="shared" si="190"/>
        <v>21039.54</v>
      </c>
      <c r="L567" s="497"/>
      <c r="M567" s="499"/>
    </row>
    <row r="568" spans="1:13" x14ac:dyDescent="0.25">
      <c r="A568" s="497"/>
      <c r="B568" s="545">
        <v>42402</v>
      </c>
      <c r="C568" s="497">
        <v>400</v>
      </c>
      <c r="D568" s="498">
        <v>9.1</v>
      </c>
      <c r="E568" s="499">
        <v>0</v>
      </c>
      <c r="F568" s="499">
        <f t="shared" si="191"/>
        <v>3640</v>
      </c>
      <c r="G568" s="496">
        <v>42461</v>
      </c>
      <c r="H568" s="513">
        <v>2000</v>
      </c>
      <c r="I568" s="498">
        <v>10.55</v>
      </c>
      <c r="J568" s="499">
        <v>0.46</v>
      </c>
      <c r="K568" s="499">
        <f t="shared" si="190"/>
        <v>21099.54</v>
      </c>
      <c r="L568" s="497"/>
      <c r="M568" s="499"/>
    </row>
    <row r="569" spans="1:13" x14ac:dyDescent="0.25">
      <c r="A569" s="497"/>
      <c r="B569" s="545">
        <v>42411</v>
      </c>
      <c r="C569" s="497">
        <v>500</v>
      </c>
      <c r="D569" s="498">
        <v>6.835</v>
      </c>
      <c r="E569" s="499">
        <v>0</v>
      </c>
      <c r="F569" s="499">
        <f t="shared" si="191"/>
        <v>3417.5</v>
      </c>
      <c r="G569" s="496">
        <v>42465</v>
      </c>
      <c r="H569" s="513">
        <v>100</v>
      </c>
      <c r="I569" s="498">
        <v>10.75</v>
      </c>
      <c r="J569" s="499">
        <v>0.02</v>
      </c>
      <c r="K569" s="499">
        <f t="shared" si="190"/>
        <v>1074.98</v>
      </c>
      <c r="L569" s="497"/>
      <c r="M569" s="499"/>
    </row>
    <row r="570" spans="1:13" x14ac:dyDescent="0.25">
      <c r="A570" s="497"/>
      <c r="B570" s="545">
        <v>42412</v>
      </c>
      <c r="C570" s="497">
        <v>200</v>
      </c>
      <c r="D570" s="498">
        <v>7.23</v>
      </c>
      <c r="E570" s="499">
        <v>0</v>
      </c>
      <c r="F570" s="499">
        <f t="shared" si="191"/>
        <v>1446</v>
      </c>
      <c r="G570" s="496">
        <v>42468</v>
      </c>
      <c r="H570" s="513">
        <v>1000</v>
      </c>
      <c r="I570" s="498">
        <v>11.77</v>
      </c>
      <c r="J570" s="499">
        <v>0.26</v>
      </c>
      <c r="K570" s="499">
        <f t="shared" si="190"/>
        <v>11769.74</v>
      </c>
      <c r="L570" s="497"/>
      <c r="M570" s="499"/>
    </row>
    <row r="571" spans="1:13" x14ac:dyDescent="0.25">
      <c r="A571" s="497"/>
      <c r="B571" s="545">
        <v>42416</v>
      </c>
      <c r="C571" s="497">
        <v>500</v>
      </c>
      <c r="D571" s="498">
        <v>7.5</v>
      </c>
      <c r="E571" s="499">
        <v>0</v>
      </c>
      <c r="F571" s="499">
        <f t="shared" si="191"/>
        <v>3750</v>
      </c>
      <c r="G571" s="609">
        <v>42472</v>
      </c>
      <c r="H571" s="513">
        <v>420</v>
      </c>
      <c r="I571" s="498">
        <v>13.35</v>
      </c>
      <c r="J571" s="499">
        <v>0.15</v>
      </c>
      <c r="K571" s="499">
        <f t="shared" si="190"/>
        <v>5606.85</v>
      </c>
      <c r="L571" s="497"/>
      <c r="M571" s="499"/>
    </row>
    <row r="572" spans="1:13" ht="30" x14ac:dyDescent="0.25">
      <c r="A572" s="497"/>
      <c r="B572" s="612" t="s">
        <v>179</v>
      </c>
      <c r="C572" s="497">
        <v>3000</v>
      </c>
      <c r="D572" s="498">
        <v>7.55</v>
      </c>
      <c r="E572" s="499">
        <v>0</v>
      </c>
      <c r="F572" s="499">
        <f t="shared" si="191"/>
        <v>22650</v>
      </c>
      <c r="G572" s="609"/>
      <c r="H572" s="513">
        <v>80</v>
      </c>
      <c r="I572" s="498">
        <v>13.35</v>
      </c>
      <c r="J572" s="499">
        <v>0</v>
      </c>
      <c r="K572" s="499">
        <f t="shared" si="190"/>
        <v>1068</v>
      </c>
      <c r="L572" s="497"/>
      <c r="M572" s="499"/>
    </row>
    <row r="573" spans="1:13" x14ac:dyDescent="0.25">
      <c r="A573" s="497"/>
      <c r="B573" s="612"/>
      <c r="C573" s="497">
        <v>500</v>
      </c>
      <c r="D573" s="498">
        <v>6.75</v>
      </c>
      <c r="E573" s="499">
        <v>0</v>
      </c>
      <c r="F573" s="499">
        <f t="shared" si="191"/>
        <v>3375</v>
      </c>
      <c r="G573" s="496">
        <v>42472</v>
      </c>
      <c r="H573" s="513">
        <v>500</v>
      </c>
      <c r="I573" s="498">
        <v>13.15</v>
      </c>
      <c r="J573" s="499">
        <v>0.14000000000000001</v>
      </c>
      <c r="K573" s="499">
        <f t="shared" si="190"/>
        <v>6574.86</v>
      </c>
      <c r="L573" s="497"/>
      <c r="M573" s="499"/>
    </row>
    <row r="574" spans="1:13" x14ac:dyDescent="0.25">
      <c r="A574" s="497"/>
      <c r="B574" s="612"/>
      <c r="C574" s="497">
        <v>300</v>
      </c>
      <c r="D574" s="498">
        <v>6.75</v>
      </c>
      <c r="E574" s="499">
        <v>0</v>
      </c>
      <c r="F574" s="499">
        <f t="shared" si="191"/>
        <v>2025</v>
      </c>
      <c r="G574" s="496">
        <v>42472</v>
      </c>
      <c r="H574" s="513">
        <v>500</v>
      </c>
      <c r="I574" s="498">
        <v>12.92</v>
      </c>
      <c r="J574" s="499">
        <v>0.14000000000000001</v>
      </c>
      <c r="K574" s="499">
        <f t="shared" si="190"/>
        <v>6459.86</v>
      </c>
      <c r="L574" s="497"/>
      <c r="M574" s="499"/>
    </row>
    <row r="575" spans="1:13" x14ac:dyDescent="0.25">
      <c r="A575" s="497"/>
      <c r="B575" s="545">
        <v>42426</v>
      </c>
      <c r="C575" s="497">
        <v>600</v>
      </c>
      <c r="D575" s="498">
        <v>7.63</v>
      </c>
      <c r="E575" s="499">
        <v>0</v>
      </c>
      <c r="F575" s="499">
        <f t="shared" si="191"/>
        <v>4578</v>
      </c>
      <c r="G575" s="496">
        <v>42472</v>
      </c>
      <c r="H575" s="513">
        <v>500</v>
      </c>
      <c r="I575" s="498">
        <v>12.59</v>
      </c>
      <c r="J575" s="499">
        <v>0.14000000000000001</v>
      </c>
      <c r="K575" s="499">
        <f t="shared" si="190"/>
        <v>6294.86</v>
      </c>
      <c r="L575" s="497"/>
      <c r="M575" s="499"/>
    </row>
    <row r="576" spans="1:13" x14ac:dyDescent="0.25">
      <c r="A576" s="497"/>
      <c r="B576" s="545">
        <v>42426</v>
      </c>
      <c r="C576" s="497">
        <v>2000</v>
      </c>
      <c r="D576" s="498">
        <v>7.95</v>
      </c>
      <c r="E576" s="499">
        <v>0</v>
      </c>
      <c r="F576" s="499">
        <f t="shared" si="191"/>
        <v>15900</v>
      </c>
      <c r="G576" s="496">
        <v>42474</v>
      </c>
      <c r="H576" s="513">
        <v>500</v>
      </c>
      <c r="I576" s="498">
        <v>13.18</v>
      </c>
      <c r="J576" s="499">
        <v>0.14000000000000001</v>
      </c>
      <c r="K576" s="499">
        <f t="shared" si="190"/>
        <v>6589.86</v>
      </c>
      <c r="L576" s="497"/>
      <c r="M576" s="499"/>
    </row>
    <row r="577" spans="1:13" x14ac:dyDescent="0.25">
      <c r="A577" s="497"/>
      <c r="B577" s="545">
        <v>42429</v>
      </c>
      <c r="C577" s="497">
        <v>2000</v>
      </c>
      <c r="D577" s="498">
        <v>8.1999999999999993</v>
      </c>
      <c r="E577" s="499">
        <v>0</v>
      </c>
      <c r="F577" s="499">
        <f t="shared" si="191"/>
        <v>16400</v>
      </c>
      <c r="G577" s="496">
        <v>42478</v>
      </c>
      <c r="H577" s="513">
        <v>500</v>
      </c>
      <c r="I577" s="498">
        <v>13.4</v>
      </c>
      <c r="J577" s="499">
        <v>0.15</v>
      </c>
      <c r="K577" s="499">
        <f t="shared" si="190"/>
        <v>6699.85</v>
      </c>
      <c r="L577" s="497"/>
      <c r="M577" s="499"/>
    </row>
    <row r="578" spans="1:13" x14ac:dyDescent="0.25">
      <c r="A578" s="499"/>
      <c r="B578" s="545">
        <v>42429</v>
      </c>
      <c r="C578" s="497">
        <v>500</v>
      </c>
      <c r="D578" s="498">
        <v>7.88</v>
      </c>
      <c r="E578" s="499">
        <v>0</v>
      </c>
      <c r="F578" s="499">
        <f t="shared" si="191"/>
        <v>3940</v>
      </c>
      <c r="G578" s="496">
        <v>42486</v>
      </c>
      <c r="H578" s="513">
        <v>500</v>
      </c>
      <c r="I578" s="498">
        <v>14.35</v>
      </c>
      <c r="J578" s="499">
        <v>0.16</v>
      </c>
      <c r="K578" s="499">
        <f t="shared" si="190"/>
        <v>7174.84</v>
      </c>
      <c r="L578" s="497"/>
      <c r="M578" s="499"/>
    </row>
    <row r="579" spans="1:13" x14ac:dyDescent="0.25">
      <c r="A579" s="497"/>
      <c r="B579" s="545">
        <v>42430</v>
      </c>
      <c r="C579" s="497">
        <v>1000</v>
      </c>
      <c r="D579" s="498">
        <v>7.77</v>
      </c>
      <c r="E579" s="499">
        <v>0</v>
      </c>
      <c r="F579" s="499">
        <f t="shared" si="191"/>
        <v>7770</v>
      </c>
      <c r="G579" s="496">
        <v>42487</v>
      </c>
      <c r="H579" s="513">
        <v>600</v>
      </c>
      <c r="I579" s="498">
        <v>14.85</v>
      </c>
      <c r="J579" s="499">
        <v>0.19</v>
      </c>
      <c r="K579" s="499">
        <f t="shared" si="190"/>
        <v>8909.81</v>
      </c>
      <c r="L579" s="497"/>
      <c r="M579" s="499"/>
    </row>
    <row r="580" spans="1:13" x14ac:dyDescent="0.25">
      <c r="A580" s="497"/>
      <c r="B580" s="545">
        <v>42430</v>
      </c>
      <c r="C580" s="497">
        <v>500</v>
      </c>
      <c r="D580" s="498">
        <v>7.94</v>
      </c>
      <c r="E580" s="499">
        <v>0</v>
      </c>
      <c r="F580" s="499">
        <f t="shared" si="191"/>
        <v>3970</v>
      </c>
      <c r="G580" s="496">
        <v>42489</v>
      </c>
      <c r="H580" s="513">
        <v>3000</v>
      </c>
      <c r="I580" s="498">
        <v>14.15</v>
      </c>
      <c r="J580" s="499">
        <v>0.93</v>
      </c>
      <c r="K580" s="499">
        <f t="shared" si="190"/>
        <v>42449.07</v>
      </c>
      <c r="L580" s="497"/>
      <c r="M580" s="499"/>
    </row>
    <row r="581" spans="1:13" x14ac:dyDescent="0.25">
      <c r="A581" s="497"/>
      <c r="B581" s="545">
        <v>42431</v>
      </c>
      <c r="C581" s="497">
        <v>1000</v>
      </c>
      <c r="D581" s="498">
        <v>8.3699999999999992</v>
      </c>
      <c r="E581" s="499">
        <v>0</v>
      </c>
      <c r="F581" s="499">
        <f t="shared" si="191"/>
        <v>8370</v>
      </c>
      <c r="G581" s="496">
        <v>42492</v>
      </c>
      <c r="H581" s="513">
        <v>1000</v>
      </c>
      <c r="I581" s="498">
        <v>13.48</v>
      </c>
      <c r="J581" s="499">
        <v>0.28999999999999998</v>
      </c>
      <c r="K581" s="499">
        <f t="shared" si="190"/>
        <v>13479.71</v>
      </c>
      <c r="L581" s="497"/>
      <c r="M581" s="499"/>
    </row>
    <row r="582" spans="1:13" x14ac:dyDescent="0.25">
      <c r="A582" s="497"/>
      <c r="B582" s="545">
        <v>42432</v>
      </c>
      <c r="C582" s="497">
        <v>600</v>
      </c>
      <c r="D582" s="498">
        <v>9.3699999999999992</v>
      </c>
      <c r="E582" s="499">
        <v>0</v>
      </c>
      <c r="F582" s="499">
        <f t="shared" si="191"/>
        <v>5621.9999999999991</v>
      </c>
      <c r="G582" s="496">
        <v>42492</v>
      </c>
      <c r="H582" s="513">
        <v>1000</v>
      </c>
      <c r="I582" s="498">
        <v>13.61</v>
      </c>
      <c r="J582" s="499">
        <v>0.3</v>
      </c>
      <c r="K582" s="499">
        <f t="shared" si="190"/>
        <v>13609.7</v>
      </c>
      <c r="L582" s="497"/>
      <c r="M582" s="499"/>
    </row>
    <row r="583" spans="1:13" x14ac:dyDescent="0.25">
      <c r="A583" s="497"/>
      <c r="B583" s="545">
        <v>42432</v>
      </c>
      <c r="C583" s="497">
        <v>600</v>
      </c>
      <c r="D583" s="498">
        <v>8.8800000000000008</v>
      </c>
      <c r="E583" s="499">
        <v>0</v>
      </c>
      <c r="F583" s="499">
        <f t="shared" si="191"/>
        <v>5328.0000000000009</v>
      </c>
      <c r="G583" s="496">
        <v>42493</v>
      </c>
      <c r="H583" s="513">
        <v>322</v>
      </c>
      <c r="I583" s="498">
        <v>13.28</v>
      </c>
      <c r="J583" s="499">
        <v>0.09</v>
      </c>
      <c r="K583" s="499">
        <f t="shared" si="190"/>
        <v>4276.07</v>
      </c>
      <c r="L583" s="497"/>
      <c r="M583" s="499"/>
    </row>
    <row r="584" spans="1:13" x14ac:dyDescent="0.25">
      <c r="A584" s="497"/>
      <c r="B584" s="545">
        <v>42433</v>
      </c>
      <c r="C584" s="497">
        <v>600</v>
      </c>
      <c r="D584" s="498">
        <v>10.42</v>
      </c>
      <c r="E584" s="499">
        <v>0</v>
      </c>
      <c r="F584" s="499">
        <f t="shared" si="191"/>
        <v>6252</v>
      </c>
      <c r="G584" s="496">
        <v>42495</v>
      </c>
      <c r="H584" s="513">
        <v>1000</v>
      </c>
      <c r="I584" s="498">
        <v>12.05</v>
      </c>
      <c r="J584" s="499">
        <v>0.26</v>
      </c>
      <c r="K584" s="499">
        <f t="shared" si="190"/>
        <v>12049.74</v>
      </c>
      <c r="L584" s="497"/>
      <c r="M584" s="499"/>
    </row>
    <row r="585" spans="1:13" x14ac:dyDescent="0.25">
      <c r="A585" s="497"/>
      <c r="B585" s="545">
        <v>42440</v>
      </c>
      <c r="C585" s="497">
        <v>400</v>
      </c>
      <c r="D585" s="498">
        <v>11.12</v>
      </c>
      <c r="E585" s="499">
        <v>0</v>
      </c>
      <c r="F585" s="499">
        <f t="shared" si="191"/>
        <v>4448</v>
      </c>
      <c r="G585" s="496">
        <v>42495</v>
      </c>
      <c r="H585" s="513">
        <v>2000</v>
      </c>
      <c r="I585" s="498">
        <v>12.63</v>
      </c>
      <c r="J585" s="499">
        <v>0.55000000000000004</v>
      </c>
      <c r="K585" s="499">
        <f t="shared" si="190"/>
        <v>25259.45</v>
      </c>
      <c r="L585" s="497"/>
      <c r="M585" s="499"/>
    </row>
    <row r="586" spans="1:13" x14ac:dyDescent="0.25">
      <c r="A586" s="497"/>
      <c r="B586" s="545">
        <v>42446</v>
      </c>
      <c r="C586" s="497">
        <v>1500</v>
      </c>
      <c r="D586" s="498">
        <v>11.445</v>
      </c>
      <c r="E586" s="499">
        <v>0</v>
      </c>
      <c r="F586" s="499">
        <f t="shared" si="191"/>
        <v>17167.5</v>
      </c>
      <c r="G586" s="496">
        <v>42500</v>
      </c>
      <c r="H586" s="513">
        <v>1000</v>
      </c>
      <c r="I586" s="498">
        <v>11.66</v>
      </c>
      <c r="J586" s="499">
        <v>5.25</v>
      </c>
      <c r="K586" s="499">
        <f t="shared" si="190"/>
        <v>11654.75</v>
      </c>
      <c r="L586" s="497"/>
      <c r="M586" s="499"/>
    </row>
    <row r="587" spans="1:13" x14ac:dyDescent="0.25">
      <c r="A587" s="497"/>
      <c r="B587" s="608">
        <v>42447</v>
      </c>
      <c r="C587" s="497">
        <v>1500</v>
      </c>
      <c r="D587" s="498">
        <v>11.42</v>
      </c>
      <c r="E587" s="499">
        <v>0</v>
      </c>
      <c r="F587" s="499">
        <f t="shared" si="191"/>
        <v>17130</v>
      </c>
      <c r="G587" s="496">
        <v>42502</v>
      </c>
      <c r="H587" s="513">
        <v>1500</v>
      </c>
      <c r="I587" s="498">
        <v>12.36</v>
      </c>
      <c r="J587" s="499">
        <v>0.4</v>
      </c>
      <c r="K587" s="499">
        <f t="shared" si="190"/>
        <v>18539.599999999999</v>
      </c>
      <c r="L587" s="497"/>
      <c r="M587" s="499"/>
    </row>
    <row r="588" spans="1:13" x14ac:dyDescent="0.25">
      <c r="A588" s="497"/>
      <c r="B588" s="613"/>
      <c r="C588" s="497">
        <v>500</v>
      </c>
      <c r="D588" s="498">
        <v>11.42</v>
      </c>
      <c r="E588" s="499">
        <v>0</v>
      </c>
      <c r="F588" s="499">
        <f t="shared" si="191"/>
        <v>5710</v>
      </c>
      <c r="G588" s="496">
        <v>42503</v>
      </c>
      <c r="H588" s="513">
        <v>500</v>
      </c>
      <c r="I588" s="498">
        <v>12.49</v>
      </c>
      <c r="J588" s="499">
        <v>0.14000000000000001</v>
      </c>
      <c r="K588" s="499">
        <f t="shared" si="190"/>
        <v>6244.86</v>
      </c>
      <c r="L588" s="497"/>
      <c r="M588" s="499"/>
    </row>
    <row r="589" spans="1:13" x14ac:dyDescent="0.25">
      <c r="A589" s="497"/>
      <c r="B589" s="545">
        <v>42447</v>
      </c>
      <c r="C589" s="497">
        <v>650</v>
      </c>
      <c r="D589" s="498">
        <v>11.545</v>
      </c>
      <c r="E589" s="499">
        <v>0.75</v>
      </c>
      <c r="F589" s="499">
        <f t="shared" si="191"/>
        <v>7505</v>
      </c>
      <c r="G589" s="496">
        <v>42506</v>
      </c>
      <c r="H589" s="513">
        <v>300</v>
      </c>
      <c r="I589" s="498">
        <v>12.85</v>
      </c>
      <c r="J589" s="499">
        <v>0.08</v>
      </c>
      <c r="K589" s="499">
        <f t="shared" si="190"/>
        <v>3854.92</v>
      </c>
      <c r="L589" s="497"/>
      <c r="M589" s="499"/>
    </row>
    <row r="590" spans="1:13" x14ac:dyDescent="0.25">
      <c r="A590" s="497"/>
      <c r="B590" s="545">
        <v>42450</v>
      </c>
      <c r="C590" s="497">
        <v>1350</v>
      </c>
      <c r="D590" s="498">
        <v>11.42</v>
      </c>
      <c r="E590" s="499">
        <v>0</v>
      </c>
      <c r="F590" s="499">
        <f t="shared" si="191"/>
        <v>15417</v>
      </c>
      <c r="G590" s="496">
        <v>42513</v>
      </c>
      <c r="H590" s="513">
        <v>500</v>
      </c>
      <c r="I590" s="498">
        <v>13.05</v>
      </c>
      <c r="J590" s="499">
        <v>0.14000000000000001</v>
      </c>
      <c r="K590" s="499">
        <f t="shared" si="190"/>
        <v>6524.86</v>
      </c>
      <c r="L590" s="497"/>
      <c r="M590" s="499"/>
    </row>
    <row r="591" spans="1:13" x14ac:dyDescent="0.25">
      <c r="A591" s="497"/>
      <c r="B591" s="545">
        <v>42451</v>
      </c>
      <c r="C591" s="497">
        <v>1000</v>
      </c>
      <c r="D591" s="498">
        <v>11.38</v>
      </c>
      <c r="E591" s="499">
        <v>0</v>
      </c>
      <c r="F591" s="499">
        <f t="shared" si="191"/>
        <v>11380</v>
      </c>
      <c r="G591" s="496">
        <v>42515</v>
      </c>
      <c r="H591" s="513">
        <v>500</v>
      </c>
      <c r="I591" s="498">
        <v>13.59</v>
      </c>
      <c r="J591" s="499">
        <v>0.15</v>
      </c>
      <c r="K591" s="499">
        <f t="shared" si="190"/>
        <v>6794.85</v>
      </c>
      <c r="L591" s="497"/>
      <c r="M591" s="499"/>
    </row>
    <row r="592" spans="1:13" x14ac:dyDescent="0.25">
      <c r="A592" s="497"/>
      <c r="B592" s="608">
        <v>42451</v>
      </c>
      <c r="C592" s="497">
        <v>50</v>
      </c>
      <c r="D592" s="498">
        <v>11.22</v>
      </c>
      <c r="E592" s="499">
        <v>0</v>
      </c>
      <c r="F592" s="499">
        <f t="shared" si="191"/>
        <v>561</v>
      </c>
      <c r="G592" s="496">
        <v>42515</v>
      </c>
      <c r="H592" s="513">
        <v>500</v>
      </c>
      <c r="I592" s="498">
        <v>13.57</v>
      </c>
      <c r="J592" s="499">
        <v>0.15</v>
      </c>
      <c r="K592" s="499">
        <f t="shared" si="190"/>
        <v>6784.85</v>
      </c>
      <c r="L592" s="497"/>
      <c r="M592" s="499"/>
    </row>
    <row r="593" spans="1:13" x14ac:dyDescent="0.25">
      <c r="A593" s="497"/>
      <c r="B593" s="608"/>
      <c r="C593" s="497">
        <v>350</v>
      </c>
      <c r="D593" s="498">
        <v>11.22</v>
      </c>
      <c r="E593" s="499">
        <v>0</v>
      </c>
      <c r="F593" s="499">
        <f t="shared" si="191"/>
        <v>3927</v>
      </c>
      <c r="G593" s="496">
        <v>42517</v>
      </c>
      <c r="H593" s="513">
        <v>500</v>
      </c>
      <c r="I593" s="498">
        <v>12.87</v>
      </c>
      <c r="J593" s="499">
        <v>0.14000000000000001</v>
      </c>
      <c r="K593" s="499">
        <f t="shared" si="190"/>
        <v>6434.86</v>
      </c>
      <c r="L593" s="497"/>
      <c r="M593" s="499"/>
    </row>
    <row r="594" spans="1:13" ht="45" x14ac:dyDescent="0.25">
      <c r="A594" s="497"/>
      <c r="B594" s="612" t="s">
        <v>192</v>
      </c>
      <c r="C594" s="497">
        <v>650</v>
      </c>
      <c r="D594" s="498">
        <v>11.22</v>
      </c>
      <c r="E594" s="499">
        <v>0</v>
      </c>
      <c r="F594" s="499">
        <f t="shared" si="191"/>
        <v>7293</v>
      </c>
      <c r="G594" s="496">
        <v>42524</v>
      </c>
      <c r="H594" s="513">
        <v>400</v>
      </c>
      <c r="I594" s="498">
        <v>13.38</v>
      </c>
      <c r="J594" s="499">
        <v>0.12</v>
      </c>
      <c r="K594" s="499">
        <f t="shared" si="190"/>
        <v>5351.88</v>
      </c>
      <c r="L594" s="497"/>
      <c r="M594" s="499"/>
    </row>
    <row r="595" spans="1:13" x14ac:dyDescent="0.25">
      <c r="A595" s="497"/>
      <c r="B595" s="612"/>
      <c r="C595" s="497">
        <v>500</v>
      </c>
      <c r="D595" s="498">
        <v>11.01</v>
      </c>
      <c r="E595" s="499">
        <v>0</v>
      </c>
      <c r="F595" s="499">
        <f t="shared" si="191"/>
        <v>5505</v>
      </c>
      <c r="G595" s="496">
        <v>42527</v>
      </c>
      <c r="H595" s="513">
        <v>1000</v>
      </c>
      <c r="I595" s="498">
        <v>13.82</v>
      </c>
      <c r="J595" s="499">
        <v>0.3</v>
      </c>
      <c r="K595" s="499">
        <f t="shared" si="190"/>
        <v>13819.7</v>
      </c>
      <c r="L595" s="497"/>
      <c r="M595" s="499"/>
    </row>
    <row r="596" spans="1:13" x14ac:dyDescent="0.25">
      <c r="A596" s="497"/>
      <c r="B596" s="612"/>
      <c r="C596" s="497">
        <v>500</v>
      </c>
      <c r="D596" s="498">
        <v>10.75</v>
      </c>
      <c r="E596" s="499">
        <v>0</v>
      </c>
      <c r="F596" s="499">
        <f t="shared" si="191"/>
        <v>5375</v>
      </c>
      <c r="G596" s="496">
        <v>42527</v>
      </c>
      <c r="H596" s="513">
        <v>500</v>
      </c>
      <c r="I596" s="498">
        <v>13.97</v>
      </c>
      <c r="J596" s="499">
        <v>1.1499999999999999</v>
      </c>
      <c r="K596" s="499">
        <f t="shared" si="190"/>
        <v>6983.85</v>
      </c>
      <c r="L596" s="497"/>
      <c r="M596" s="499"/>
    </row>
    <row r="597" spans="1:13" x14ac:dyDescent="0.25">
      <c r="A597" s="497"/>
      <c r="B597" s="612"/>
      <c r="C597" s="497">
        <v>1000</v>
      </c>
      <c r="D597" s="498">
        <v>10.4</v>
      </c>
      <c r="E597" s="499">
        <v>0</v>
      </c>
      <c r="F597" s="499">
        <f t="shared" si="191"/>
        <v>10400</v>
      </c>
      <c r="G597" s="496">
        <v>42528</v>
      </c>
      <c r="H597" s="513">
        <v>500</v>
      </c>
      <c r="I597" s="498">
        <v>14.65</v>
      </c>
      <c r="J597" s="499">
        <v>0.16</v>
      </c>
      <c r="K597" s="499">
        <f t="shared" si="190"/>
        <v>7324.84</v>
      </c>
      <c r="L597" s="497"/>
      <c r="M597" s="499"/>
    </row>
    <row r="598" spans="1:13" x14ac:dyDescent="0.25">
      <c r="A598" s="497"/>
      <c r="B598" s="612"/>
      <c r="C598" s="497">
        <v>1000</v>
      </c>
      <c r="D598" s="498">
        <v>10.185</v>
      </c>
      <c r="E598" s="499">
        <v>0</v>
      </c>
      <c r="F598" s="499">
        <f t="shared" si="191"/>
        <v>10185</v>
      </c>
      <c r="G598" s="496">
        <v>42536</v>
      </c>
      <c r="H598" s="513">
        <v>400</v>
      </c>
      <c r="I598" s="498">
        <v>13.43</v>
      </c>
      <c r="J598" s="499">
        <v>0.12</v>
      </c>
      <c r="K598" s="499">
        <f t="shared" si="190"/>
        <v>5371.88</v>
      </c>
      <c r="L598" s="497"/>
      <c r="M598" s="499"/>
    </row>
    <row r="599" spans="1:13" x14ac:dyDescent="0.25">
      <c r="A599" s="497"/>
      <c r="B599" s="545">
        <v>42461</v>
      </c>
      <c r="C599" s="497">
        <v>2000</v>
      </c>
      <c r="D599" s="498">
        <v>10.43</v>
      </c>
      <c r="E599" s="499">
        <v>0</v>
      </c>
      <c r="F599" s="499">
        <f t="shared" si="191"/>
        <v>20860</v>
      </c>
      <c r="G599" s="496">
        <v>42537</v>
      </c>
      <c r="H599" s="513">
        <v>400</v>
      </c>
      <c r="I599" s="498">
        <v>12.69</v>
      </c>
      <c r="J599" s="499">
        <v>0.11</v>
      </c>
      <c r="K599" s="499">
        <f t="shared" si="190"/>
        <v>5075.8900000000003</v>
      </c>
      <c r="L599" s="497"/>
      <c r="M599" s="499"/>
    </row>
    <row r="600" spans="1:13" x14ac:dyDescent="0.25">
      <c r="A600" s="497"/>
      <c r="B600" s="545">
        <v>42461</v>
      </c>
      <c r="C600" s="497">
        <v>2000</v>
      </c>
      <c r="D600" s="498">
        <v>10.42</v>
      </c>
      <c r="E600" s="499">
        <v>0</v>
      </c>
      <c r="F600" s="499">
        <f t="shared" si="191"/>
        <v>20840</v>
      </c>
      <c r="G600" s="496">
        <v>42538</v>
      </c>
      <c r="H600" s="513">
        <v>500</v>
      </c>
      <c r="I600" s="498">
        <v>13.34</v>
      </c>
      <c r="J600" s="499">
        <v>0.15</v>
      </c>
      <c r="K600" s="499">
        <f t="shared" si="190"/>
        <v>6669.85</v>
      </c>
      <c r="L600" s="497"/>
      <c r="M600" s="499"/>
    </row>
    <row r="601" spans="1:13" ht="45" x14ac:dyDescent="0.25">
      <c r="A601" s="497"/>
      <c r="B601" s="545">
        <v>42465</v>
      </c>
      <c r="C601" s="497">
        <v>100</v>
      </c>
      <c r="D601" s="498">
        <v>10.4</v>
      </c>
      <c r="E601" s="499">
        <v>0</v>
      </c>
      <c r="F601" s="499">
        <f t="shared" si="191"/>
        <v>1040</v>
      </c>
      <c r="G601" s="614" t="s">
        <v>219</v>
      </c>
      <c r="H601" s="513">
        <v>500</v>
      </c>
      <c r="I601" s="498">
        <v>13.91</v>
      </c>
      <c r="J601" s="499">
        <v>0.15</v>
      </c>
      <c r="K601" s="499">
        <f t="shared" si="190"/>
        <v>6954.85</v>
      </c>
      <c r="L601" s="497"/>
      <c r="M601" s="499"/>
    </row>
    <row r="602" spans="1:13" x14ac:dyDescent="0.25">
      <c r="A602" s="497"/>
      <c r="B602" s="545">
        <v>42471</v>
      </c>
      <c r="C602" s="497">
        <v>500</v>
      </c>
      <c r="D602" s="498">
        <v>11.77</v>
      </c>
      <c r="E602" s="499">
        <v>0</v>
      </c>
      <c r="F602" s="499">
        <f t="shared" si="191"/>
        <v>5885</v>
      </c>
      <c r="G602" s="614"/>
      <c r="H602" s="513">
        <v>600</v>
      </c>
      <c r="I602" s="498">
        <v>14.36</v>
      </c>
      <c r="J602" s="499">
        <v>0.19</v>
      </c>
      <c r="K602" s="499">
        <f t="shared" si="190"/>
        <v>8615.81</v>
      </c>
      <c r="L602" s="497"/>
      <c r="M602" s="499"/>
    </row>
    <row r="603" spans="1:13" x14ac:dyDescent="0.25">
      <c r="A603" s="497"/>
      <c r="B603" s="545">
        <v>42471</v>
      </c>
      <c r="C603" s="497">
        <v>500</v>
      </c>
      <c r="D603" s="498">
        <v>11.55</v>
      </c>
      <c r="E603" s="499">
        <v>0</v>
      </c>
      <c r="F603" s="499">
        <f t="shared" si="191"/>
        <v>5775</v>
      </c>
      <c r="G603" s="614"/>
      <c r="H603" s="513">
        <v>500</v>
      </c>
      <c r="I603" s="498">
        <v>14.65</v>
      </c>
      <c r="J603" s="499">
        <v>0.16</v>
      </c>
      <c r="K603" s="499">
        <f t="shared" si="190"/>
        <v>7324.84</v>
      </c>
      <c r="L603" s="497"/>
      <c r="M603" s="499"/>
    </row>
    <row r="604" spans="1:13" x14ac:dyDescent="0.25">
      <c r="A604" s="497"/>
      <c r="B604" s="545">
        <v>42472</v>
      </c>
      <c r="C604" s="497">
        <v>610</v>
      </c>
      <c r="D604" s="498">
        <v>12.95</v>
      </c>
      <c r="E604" s="499">
        <v>0</v>
      </c>
      <c r="F604" s="499">
        <f t="shared" si="191"/>
        <v>7899.5</v>
      </c>
      <c r="G604" s="496">
        <v>42542</v>
      </c>
      <c r="H604" s="513">
        <v>500</v>
      </c>
      <c r="I604" s="498">
        <v>14.95</v>
      </c>
      <c r="J604" s="499">
        <v>0.16</v>
      </c>
      <c r="K604" s="499">
        <f t="shared" si="190"/>
        <v>7474.84</v>
      </c>
      <c r="L604" s="497"/>
      <c r="M604" s="499"/>
    </row>
    <row r="605" spans="1:13" x14ac:dyDescent="0.25">
      <c r="A605" s="497"/>
      <c r="B605" s="545">
        <v>42473</v>
      </c>
      <c r="C605" s="497">
        <v>970</v>
      </c>
      <c r="D605" s="498">
        <v>12.76</v>
      </c>
      <c r="E605" s="499">
        <v>4.0999999999999996</v>
      </c>
      <c r="F605" s="499">
        <f t="shared" si="191"/>
        <v>12381.3</v>
      </c>
      <c r="G605" s="496">
        <v>42542</v>
      </c>
      <c r="H605" s="513">
        <v>378</v>
      </c>
      <c r="I605" s="498">
        <v>15.2</v>
      </c>
      <c r="J605" s="499">
        <v>0.13</v>
      </c>
      <c r="K605" s="499">
        <f t="shared" si="190"/>
        <v>5745.4699999999993</v>
      </c>
      <c r="L605" s="497"/>
      <c r="M605" s="499"/>
    </row>
    <row r="606" spans="1:13" x14ac:dyDescent="0.25">
      <c r="A606" s="497"/>
      <c r="B606" s="545">
        <v>42474</v>
      </c>
      <c r="C606" s="497">
        <v>420</v>
      </c>
      <c r="D606" s="498">
        <v>12.755000000000001</v>
      </c>
      <c r="E606" s="499">
        <v>0.34</v>
      </c>
      <c r="F606" s="499">
        <f t="shared" si="191"/>
        <v>5357.4400000000005</v>
      </c>
      <c r="G606" s="497"/>
      <c r="H606" s="513"/>
      <c r="I606" s="498"/>
      <c r="J606" s="499"/>
      <c r="K606" s="499"/>
      <c r="L606" s="497"/>
      <c r="M606" s="499"/>
    </row>
    <row r="607" spans="1:13" x14ac:dyDescent="0.25">
      <c r="A607" s="497"/>
      <c r="B607" s="545">
        <v>42475</v>
      </c>
      <c r="C607" s="497">
        <v>500</v>
      </c>
      <c r="D607" s="498">
        <v>13.02</v>
      </c>
      <c r="E607" s="499">
        <v>-1.75</v>
      </c>
      <c r="F607" s="499">
        <f t="shared" si="191"/>
        <v>6508.25</v>
      </c>
      <c r="G607" s="497"/>
      <c r="H607" s="513"/>
      <c r="I607" s="498"/>
      <c r="J607" s="499"/>
      <c r="K607" s="499"/>
      <c r="L607" s="497"/>
      <c r="M607" s="499"/>
    </row>
    <row r="608" spans="1:13" x14ac:dyDescent="0.25">
      <c r="A608" s="497"/>
      <c r="B608" s="545">
        <v>42485</v>
      </c>
      <c r="C608" s="497">
        <v>500</v>
      </c>
      <c r="D608" s="498">
        <v>13.95</v>
      </c>
      <c r="E608" s="499">
        <v>0</v>
      </c>
      <c r="F608" s="499">
        <f t="shared" si="191"/>
        <v>6975</v>
      </c>
      <c r="G608" s="497"/>
      <c r="H608" s="513"/>
      <c r="I608" s="498"/>
      <c r="J608" s="499"/>
      <c r="K608" s="499"/>
      <c r="L608" s="497"/>
      <c r="M608" s="499"/>
    </row>
    <row r="609" spans="1:13" x14ac:dyDescent="0.25">
      <c r="A609" s="497"/>
      <c r="B609" s="545">
        <v>42487</v>
      </c>
      <c r="C609" s="497">
        <v>600</v>
      </c>
      <c r="D609" s="498">
        <v>14.63</v>
      </c>
      <c r="E609" s="499">
        <v>0</v>
      </c>
      <c r="F609" s="499">
        <f t="shared" si="191"/>
        <v>8778</v>
      </c>
      <c r="G609" s="497"/>
      <c r="H609" s="513"/>
      <c r="I609" s="498"/>
      <c r="J609" s="499"/>
      <c r="K609" s="499"/>
      <c r="L609" s="497"/>
      <c r="M609" s="499"/>
    </row>
    <row r="610" spans="1:13" x14ac:dyDescent="0.25">
      <c r="A610" s="497"/>
      <c r="B610" s="545">
        <v>42488</v>
      </c>
      <c r="C610" s="497">
        <v>500</v>
      </c>
      <c r="D610" s="498">
        <v>14.52</v>
      </c>
      <c r="E610" s="499">
        <v>0</v>
      </c>
      <c r="F610" s="499">
        <f t="shared" si="191"/>
        <v>7260</v>
      </c>
      <c r="G610" s="497"/>
      <c r="H610" s="513"/>
      <c r="I610" s="498"/>
      <c r="J610" s="499"/>
      <c r="K610" s="499"/>
      <c r="L610" s="497"/>
      <c r="M610" s="499"/>
    </row>
    <row r="611" spans="1:13" ht="30" x14ac:dyDescent="0.25">
      <c r="A611" s="615" t="s">
        <v>197</v>
      </c>
      <c r="B611" s="545">
        <v>42489</v>
      </c>
      <c r="C611" s="497">
        <v>500</v>
      </c>
      <c r="D611" s="498">
        <v>14.35</v>
      </c>
      <c r="E611" s="499">
        <v>0</v>
      </c>
      <c r="F611" s="499">
        <f t="shared" si="191"/>
        <v>7175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615"/>
      <c r="B612" s="545">
        <v>42489</v>
      </c>
      <c r="C612" s="497">
        <v>500</v>
      </c>
      <c r="D612" s="498">
        <v>14.15</v>
      </c>
      <c r="E612" s="499">
        <v>0</v>
      </c>
      <c r="F612" s="499">
        <f t="shared" si="191"/>
        <v>7075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615"/>
      <c r="B613" s="545">
        <v>42489</v>
      </c>
      <c r="C613" s="497">
        <v>1000</v>
      </c>
      <c r="D613" s="498">
        <v>13.92</v>
      </c>
      <c r="E613" s="499">
        <v>0</v>
      </c>
      <c r="F613" s="499">
        <f t="shared" si="191"/>
        <v>13920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615"/>
      <c r="B614" s="545">
        <v>42489</v>
      </c>
      <c r="C614" s="497">
        <v>1000</v>
      </c>
      <c r="D614" s="498">
        <v>13.8</v>
      </c>
      <c r="E614" s="499">
        <v>0</v>
      </c>
      <c r="F614" s="499">
        <f t="shared" si="191"/>
        <v>13800</v>
      </c>
      <c r="G614" s="497"/>
      <c r="H614" s="513"/>
      <c r="I614" s="498"/>
      <c r="J614" s="499"/>
      <c r="K614" s="499"/>
      <c r="L614" s="497"/>
      <c r="M614" s="499"/>
    </row>
    <row r="615" spans="1:13" x14ac:dyDescent="0.25">
      <c r="A615" s="497"/>
      <c r="B615" s="545">
        <v>42492</v>
      </c>
      <c r="C615" s="497">
        <v>1500</v>
      </c>
      <c r="D615" s="498">
        <v>13.25</v>
      </c>
      <c r="E615" s="499">
        <v>0</v>
      </c>
      <c r="F615" s="499">
        <f t="shared" si="191"/>
        <v>19875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497"/>
      <c r="B616" s="545">
        <v>42492</v>
      </c>
      <c r="C616" s="497">
        <v>500</v>
      </c>
      <c r="D616" s="498">
        <v>13.6</v>
      </c>
      <c r="E616" s="499">
        <v>0</v>
      </c>
      <c r="F616" s="499">
        <f t="shared" si="191"/>
        <v>6800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497"/>
      <c r="B617" s="545">
        <v>42493</v>
      </c>
      <c r="C617" s="497">
        <v>322</v>
      </c>
      <c r="D617" s="498">
        <v>12.85</v>
      </c>
      <c r="E617" s="499">
        <v>0</v>
      </c>
      <c r="F617" s="499">
        <f t="shared" si="191"/>
        <v>4137.7</v>
      </c>
      <c r="G617" s="497"/>
      <c r="H617" s="513"/>
      <c r="I617" s="498"/>
      <c r="J617" s="499"/>
      <c r="K617" s="499"/>
      <c r="L617" s="497"/>
      <c r="M617" s="499"/>
    </row>
    <row r="618" spans="1:13" ht="30" x14ac:dyDescent="0.25">
      <c r="A618" s="599" t="s">
        <v>201</v>
      </c>
      <c r="B618" s="545">
        <v>42494</v>
      </c>
      <c r="C618" s="497">
        <v>1000</v>
      </c>
      <c r="D618" s="498">
        <v>12.25</v>
      </c>
      <c r="E618" s="499">
        <v>0</v>
      </c>
      <c r="F618" s="499">
        <f t="shared" si="191"/>
        <v>12250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599"/>
      <c r="B619" s="545">
        <v>42494</v>
      </c>
      <c r="C619" s="497">
        <v>500</v>
      </c>
      <c r="D619" s="498">
        <v>12.53</v>
      </c>
      <c r="E619" s="499">
        <v>0</v>
      </c>
      <c r="F619" s="499">
        <f t="shared" si="191"/>
        <v>6265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599"/>
      <c r="B620" s="545">
        <v>42494</v>
      </c>
      <c r="C620" s="497">
        <v>500</v>
      </c>
      <c r="D620" s="498">
        <v>12.65</v>
      </c>
      <c r="E620" s="499">
        <v>0</v>
      </c>
      <c r="F620" s="499">
        <f t="shared" si="191"/>
        <v>6325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42495</v>
      </c>
      <c r="C621" s="497">
        <v>1000</v>
      </c>
      <c r="D621" s="498">
        <v>11.95</v>
      </c>
      <c r="E621" s="499">
        <v>0</v>
      </c>
      <c r="F621" s="499">
        <f t="shared" si="191"/>
        <v>11950</v>
      </c>
      <c r="G621" s="497"/>
      <c r="H621" s="513"/>
      <c r="I621" s="498"/>
      <c r="J621" s="499"/>
      <c r="K621" s="499"/>
      <c r="L621" s="497"/>
      <c r="M621" s="499"/>
    </row>
    <row r="622" spans="1:13" x14ac:dyDescent="0.25">
      <c r="A622" s="497"/>
      <c r="B622" s="545">
        <v>42499</v>
      </c>
      <c r="C622" s="497">
        <v>500</v>
      </c>
      <c r="D622" s="498">
        <v>11.48</v>
      </c>
      <c r="E622" s="499">
        <v>0</v>
      </c>
      <c r="F622" s="499">
        <f t="shared" si="191"/>
        <v>5740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497"/>
      <c r="B623" s="545">
        <v>42499</v>
      </c>
      <c r="C623" s="497">
        <v>500</v>
      </c>
      <c r="D623" s="498">
        <v>11.32</v>
      </c>
      <c r="E623" s="499">
        <v>0</v>
      </c>
      <c r="F623" s="499">
        <f t="shared" si="191"/>
        <v>5660</v>
      </c>
      <c r="G623" s="497"/>
      <c r="H623" s="513"/>
      <c r="I623" s="498"/>
      <c r="J623" s="499"/>
      <c r="K623" s="499"/>
      <c r="L623" s="497"/>
      <c r="M623" s="499"/>
    </row>
    <row r="624" spans="1:13" ht="30" x14ac:dyDescent="0.25">
      <c r="A624" s="615" t="s">
        <v>204</v>
      </c>
      <c r="B624" s="545">
        <v>42502</v>
      </c>
      <c r="C624" s="497">
        <v>500</v>
      </c>
      <c r="D624" s="498">
        <v>12.38</v>
      </c>
      <c r="E624" s="499">
        <v>0</v>
      </c>
      <c r="F624" s="499">
        <f t="shared" si="191"/>
        <v>6190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615"/>
      <c r="B625" s="545">
        <v>42502</v>
      </c>
      <c r="C625" s="497">
        <v>500</v>
      </c>
      <c r="D625" s="498">
        <v>12.3</v>
      </c>
      <c r="E625" s="499">
        <v>0</v>
      </c>
      <c r="F625" s="499">
        <f t="shared" si="191"/>
        <v>6150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615"/>
      <c r="B626" s="545">
        <v>42502</v>
      </c>
      <c r="C626" s="497">
        <v>500</v>
      </c>
      <c r="D626" s="498">
        <v>12.23</v>
      </c>
      <c r="E626" s="499">
        <v>0</v>
      </c>
      <c r="F626" s="499">
        <f t="shared" si="191"/>
        <v>6115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42503</v>
      </c>
      <c r="C627" s="497">
        <v>500</v>
      </c>
      <c r="D627" s="498">
        <v>12.41</v>
      </c>
      <c r="E627" s="499">
        <v>0</v>
      </c>
      <c r="F627" s="499">
        <f t="shared" si="191"/>
        <v>6205</v>
      </c>
      <c r="G627" s="497"/>
      <c r="H627" s="513"/>
      <c r="I627" s="498"/>
      <c r="J627" s="499"/>
      <c r="K627" s="499"/>
      <c r="L627" s="497"/>
      <c r="M627" s="499"/>
    </row>
    <row r="628" spans="1:13" x14ac:dyDescent="0.25">
      <c r="A628" s="497"/>
      <c r="B628" s="545">
        <v>42506</v>
      </c>
      <c r="C628" s="497">
        <v>300</v>
      </c>
      <c r="D628" s="498">
        <v>12.8</v>
      </c>
      <c r="E628" s="499">
        <v>0</v>
      </c>
      <c r="F628" s="499">
        <f t="shared" si="191"/>
        <v>3840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497"/>
      <c r="B629" s="545">
        <v>42514</v>
      </c>
      <c r="C629" s="497">
        <v>500</v>
      </c>
      <c r="D629" s="498">
        <v>13.02</v>
      </c>
      <c r="E629" s="499">
        <v>-1.65</v>
      </c>
      <c r="F629" s="499">
        <f t="shared" ref="F629:F692" si="192">C629*D629+E629</f>
        <v>6508.35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497"/>
      <c r="B630" s="545">
        <v>42515</v>
      </c>
      <c r="C630" s="497">
        <v>500</v>
      </c>
      <c r="D630" s="498">
        <v>13.45</v>
      </c>
      <c r="E630" s="499">
        <v>1</v>
      </c>
      <c r="F630" s="499">
        <f t="shared" si="192"/>
        <v>6726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42516</v>
      </c>
      <c r="C631" s="497">
        <v>500</v>
      </c>
      <c r="D631" s="498">
        <v>13.28</v>
      </c>
      <c r="E631" s="499">
        <v>-1.04</v>
      </c>
      <c r="F631" s="499">
        <f t="shared" si="192"/>
        <v>6638.96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42517</v>
      </c>
      <c r="C632" s="497">
        <v>500</v>
      </c>
      <c r="D632" s="498">
        <v>12.79</v>
      </c>
      <c r="E632" s="499">
        <v>0</v>
      </c>
      <c r="F632" s="499">
        <f t="shared" si="192"/>
        <v>6395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42524</v>
      </c>
      <c r="C633" s="497">
        <v>400</v>
      </c>
      <c r="D633" s="498">
        <v>13.28</v>
      </c>
      <c r="E633" s="499">
        <v>0</v>
      </c>
      <c r="F633" s="499">
        <f t="shared" si="192"/>
        <v>5312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42529</v>
      </c>
      <c r="C634" s="497">
        <v>500</v>
      </c>
      <c r="D634" s="498">
        <v>14.59</v>
      </c>
      <c r="E634" s="499">
        <v>0</v>
      </c>
      <c r="F634" s="499">
        <f t="shared" si="192"/>
        <v>7295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42531</v>
      </c>
      <c r="C635" s="497">
        <v>800</v>
      </c>
      <c r="D635" s="498">
        <v>13.79</v>
      </c>
      <c r="E635" s="499">
        <v>0</v>
      </c>
      <c r="F635" s="499">
        <f t="shared" si="192"/>
        <v>11032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42531</v>
      </c>
      <c r="C636" s="497">
        <v>300</v>
      </c>
      <c r="D636" s="498">
        <v>13.4</v>
      </c>
      <c r="E636" s="499">
        <v>0</v>
      </c>
      <c r="F636" s="499">
        <f t="shared" si="192"/>
        <v>4020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42535</v>
      </c>
      <c r="C637" s="497">
        <v>400</v>
      </c>
      <c r="D637" s="498">
        <v>12.85</v>
      </c>
      <c r="E637" s="499">
        <v>0</v>
      </c>
      <c r="F637" s="499">
        <f t="shared" si="192"/>
        <v>5140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42537</v>
      </c>
      <c r="C638" s="497">
        <v>400</v>
      </c>
      <c r="D638" s="498">
        <v>12.43</v>
      </c>
      <c r="E638" s="499">
        <v>-0.04</v>
      </c>
      <c r="F638" s="499">
        <f t="shared" si="192"/>
        <v>4971.96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42538</v>
      </c>
      <c r="C639" s="497">
        <v>500</v>
      </c>
      <c r="D639" s="498">
        <v>13.14</v>
      </c>
      <c r="E639" s="499">
        <v>0</v>
      </c>
      <c r="F639" s="499">
        <f t="shared" si="192"/>
        <v>6570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42543</v>
      </c>
      <c r="C640" s="497">
        <v>500</v>
      </c>
      <c r="D640" s="498">
        <v>14.75</v>
      </c>
      <c r="E640" s="499">
        <v>0</v>
      </c>
      <c r="F640" s="499">
        <f t="shared" si="192"/>
        <v>7375</v>
      </c>
      <c r="G640" s="496">
        <v>42544</v>
      </c>
      <c r="H640" s="513">
        <v>500</v>
      </c>
      <c r="I640" s="498">
        <v>15.24</v>
      </c>
      <c r="J640" s="499">
        <v>0.17</v>
      </c>
      <c r="K640" s="499">
        <f>H640*I640-J640</f>
        <v>7619.83</v>
      </c>
      <c r="L640" s="497"/>
      <c r="M640" s="499"/>
    </row>
    <row r="641" spans="1:13" x14ac:dyDescent="0.25">
      <c r="A641" s="497"/>
      <c r="B641" s="545">
        <v>42545</v>
      </c>
      <c r="C641" s="497">
        <v>878</v>
      </c>
      <c r="D641" s="498">
        <v>14.41</v>
      </c>
      <c r="E641" s="499">
        <v>0</v>
      </c>
      <c r="F641" s="499">
        <f t="shared" si="192"/>
        <v>12651.98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42545</v>
      </c>
      <c r="C642" s="497">
        <v>335</v>
      </c>
      <c r="D642" s="498">
        <v>14.08</v>
      </c>
      <c r="E642" s="499">
        <v>0</v>
      </c>
      <c r="F642" s="499">
        <f t="shared" si="192"/>
        <v>4716.8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42548</v>
      </c>
      <c r="C643" s="497">
        <v>965</v>
      </c>
      <c r="D643" s="498">
        <v>13.81</v>
      </c>
      <c r="E643" s="499">
        <v>0</v>
      </c>
      <c r="F643" s="499">
        <f t="shared" si="192"/>
        <v>13326.65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42548</v>
      </c>
      <c r="C644" s="497">
        <v>300</v>
      </c>
      <c r="D644" s="498">
        <v>13.58</v>
      </c>
      <c r="E644" s="499">
        <v>0</v>
      </c>
      <c r="F644" s="499">
        <f t="shared" si="192"/>
        <v>4074</v>
      </c>
      <c r="G644" s="496">
        <v>42549</v>
      </c>
      <c r="H644" s="513">
        <v>1100</v>
      </c>
      <c r="I644" s="498">
        <v>14.68</v>
      </c>
      <c r="J644" s="499">
        <v>0.35</v>
      </c>
      <c r="K644" s="499">
        <f t="shared" ref="K644:K729" si="193">H644*I644-J644</f>
        <v>16147.65</v>
      </c>
      <c r="L644" s="497"/>
      <c r="M644" s="499"/>
    </row>
    <row r="645" spans="1:13" ht="45" x14ac:dyDescent="0.25">
      <c r="A645" s="497"/>
      <c r="B645" s="545">
        <v>42556</v>
      </c>
      <c r="C645" s="497">
        <v>2178</v>
      </c>
      <c r="D645" s="498">
        <v>15.08</v>
      </c>
      <c r="E645" s="499">
        <v>0</v>
      </c>
      <c r="F645" s="499">
        <f t="shared" si="192"/>
        <v>32844.239999999998</v>
      </c>
      <c r="G645" s="611" t="s">
        <v>228</v>
      </c>
      <c r="H645" s="513">
        <v>500</v>
      </c>
      <c r="I645" s="498">
        <v>15.48</v>
      </c>
      <c r="J645" s="499">
        <v>0.17</v>
      </c>
      <c r="K645" s="499">
        <f t="shared" si="193"/>
        <v>7739.83</v>
      </c>
      <c r="L645" s="497"/>
      <c r="M645" s="499"/>
    </row>
    <row r="646" spans="1:13" x14ac:dyDescent="0.25">
      <c r="A646" s="497"/>
      <c r="B646" s="545">
        <v>42556</v>
      </c>
      <c r="C646" s="497">
        <v>500</v>
      </c>
      <c r="D646" s="498">
        <v>14.62</v>
      </c>
      <c r="E646" s="499">
        <v>0</v>
      </c>
      <c r="F646" s="499">
        <f t="shared" si="192"/>
        <v>7310</v>
      </c>
      <c r="G646" s="611"/>
      <c r="H646" s="513">
        <v>378</v>
      </c>
      <c r="I646" s="498">
        <v>15.65</v>
      </c>
      <c r="J646" s="499">
        <v>0.13</v>
      </c>
      <c r="K646" s="499">
        <f t="shared" si="193"/>
        <v>5915.57</v>
      </c>
      <c r="L646" s="497"/>
      <c r="M646" s="499"/>
    </row>
    <row r="647" spans="1:13" x14ac:dyDescent="0.25">
      <c r="A647" s="497"/>
      <c r="B647" s="545">
        <v>42557</v>
      </c>
      <c r="C647" s="497">
        <v>500</v>
      </c>
      <c r="D647" s="498">
        <v>14.78</v>
      </c>
      <c r="E647" s="499">
        <v>0</v>
      </c>
      <c r="F647" s="499">
        <f t="shared" si="192"/>
        <v>7390</v>
      </c>
      <c r="G647" s="611"/>
      <c r="H647" s="513">
        <v>500</v>
      </c>
      <c r="I647" s="498">
        <v>15.51</v>
      </c>
      <c r="J647" s="499">
        <v>0.17</v>
      </c>
      <c r="K647" s="499">
        <f t="shared" si="193"/>
        <v>7754.83</v>
      </c>
      <c r="L647" s="497"/>
      <c r="M647" s="499"/>
    </row>
    <row r="648" spans="1:13" x14ac:dyDescent="0.25">
      <c r="A648" s="497"/>
      <c r="B648" s="597">
        <v>42564</v>
      </c>
      <c r="C648" s="497">
        <v>320</v>
      </c>
      <c r="D648" s="498">
        <v>15.48</v>
      </c>
      <c r="E648" s="499">
        <v>0</v>
      </c>
      <c r="F648" s="499">
        <f t="shared" si="192"/>
        <v>4953.6000000000004</v>
      </c>
      <c r="G648" s="611"/>
      <c r="H648" s="513">
        <v>800</v>
      </c>
      <c r="I648" s="498">
        <v>15.78</v>
      </c>
      <c r="J648" s="499">
        <v>0.28000000000000003</v>
      </c>
      <c r="K648" s="499">
        <f t="shared" si="193"/>
        <v>12623.72</v>
      </c>
      <c r="L648" s="497"/>
      <c r="M648" s="499"/>
    </row>
    <row r="649" spans="1:13" x14ac:dyDescent="0.25">
      <c r="A649" s="598"/>
      <c r="B649" s="597">
        <v>42564</v>
      </c>
      <c r="C649" s="497">
        <v>160</v>
      </c>
      <c r="D649" s="498">
        <v>15.48</v>
      </c>
      <c r="E649" s="499">
        <v>0</v>
      </c>
      <c r="F649" s="499">
        <f t="shared" si="192"/>
        <v>2476.8000000000002</v>
      </c>
      <c r="G649" s="496">
        <v>42557</v>
      </c>
      <c r="H649" s="513">
        <v>500</v>
      </c>
      <c r="I649" s="498">
        <v>14.92</v>
      </c>
      <c r="J649" s="499">
        <v>0.16</v>
      </c>
      <c r="K649" s="499">
        <f t="shared" si="193"/>
        <v>7459.84</v>
      </c>
      <c r="L649" s="497"/>
      <c r="M649" s="499"/>
    </row>
    <row r="650" spans="1:13" x14ac:dyDescent="0.25">
      <c r="A650" s="598"/>
      <c r="B650" s="545">
        <v>42570</v>
      </c>
      <c r="C650" s="497">
        <v>200</v>
      </c>
      <c r="D650" s="498">
        <v>15.18</v>
      </c>
      <c r="E650" s="499">
        <v>0</v>
      </c>
      <c r="F650" s="499">
        <f t="shared" si="192"/>
        <v>3036</v>
      </c>
      <c r="G650" s="496">
        <v>42564</v>
      </c>
      <c r="H650" s="513">
        <v>420</v>
      </c>
      <c r="I650" s="498">
        <v>15.68</v>
      </c>
      <c r="J650" s="499">
        <v>0.14000000000000001</v>
      </c>
      <c r="K650" s="499">
        <f t="shared" si="193"/>
        <v>6585.4599999999991</v>
      </c>
      <c r="L650" s="497"/>
      <c r="M650" s="499"/>
    </row>
    <row r="651" spans="1:13" x14ac:dyDescent="0.25">
      <c r="A651" s="598"/>
      <c r="B651" s="545">
        <v>42570</v>
      </c>
      <c r="C651" s="497">
        <v>200</v>
      </c>
      <c r="D651" s="498">
        <v>14.68</v>
      </c>
      <c r="E651" s="499">
        <v>0</v>
      </c>
      <c r="F651" s="499">
        <f t="shared" si="192"/>
        <v>2936</v>
      </c>
      <c r="G651" s="496">
        <v>42571</v>
      </c>
      <c r="H651" s="513">
        <v>200</v>
      </c>
      <c r="I651" s="498">
        <v>14.82</v>
      </c>
      <c r="J651" s="499">
        <v>0.06</v>
      </c>
      <c r="K651" s="499">
        <f t="shared" si="193"/>
        <v>2963.94</v>
      </c>
      <c r="L651" s="497"/>
      <c r="M651" s="499"/>
    </row>
    <row r="652" spans="1:13" x14ac:dyDescent="0.25">
      <c r="A652" s="497"/>
      <c r="B652" s="545">
        <v>42571</v>
      </c>
      <c r="C652" s="497">
        <v>200</v>
      </c>
      <c r="D652" s="498">
        <v>14.33</v>
      </c>
      <c r="E652" s="499">
        <v>-1</v>
      </c>
      <c r="F652" s="499">
        <f t="shared" si="192"/>
        <v>2865</v>
      </c>
      <c r="G652" s="496">
        <v>42572</v>
      </c>
      <c r="H652" s="513">
        <v>200</v>
      </c>
      <c r="I652" s="498">
        <v>14.8</v>
      </c>
      <c r="J652" s="499">
        <v>0.06</v>
      </c>
      <c r="K652" s="499">
        <f t="shared" si="193"/>
        <v>2959.94</v>
      </c>
      <c r="L652" s="497"/>
      <c r="M652" s="499"/>
    </row>
    <row r="653" spans="1:13" x14ac:dyDescent="0.25">
      <c r="A653" s="497"/>
      <c r="B653" s="545">
        <v>42572</v>
      </c>
      <c r="C653" s="497">
        <v>60</v>
      </c>
      <c r="D653" s="498">
        <v>14.58</v>
      </c>
      <c r="E653" s="499">
        <v>0</v>
      </c>
      <c r="F653" s="499">
        <f t="shared" si="192"/>
        <v>874.8</v>
      </c>
      <c r="G653" s="496">
        <v>42577</v>
      </c>
      <c r="H653" s="513">
        <v>200</v>
      </c>
      <c r="I653" s="498">
        <v>13.78</v>
      </c>
      <c r="J653" s="499">
        <v>0.06</v>
      </c>
      <c r="K653" s="499">
        <f t="shared" si="193"/>
        <v>2755.94</v>
      </c>
      <c r="L653" s="497"/>
      <c r="M653" s="499"/>
    </row>
    <row r="654" spans="1:13" x14ac:dyDescent="0.25">
      <c r="A654" s="497"/>
      <c r="B654" s="545">
        <v>42572</v>
      </c>
      <c r="C654" s="497">
        <v>140</v>
      </c>
      <c r="D654" s="498">
        <v>14.65</v>
      </c>
      <c r="E654" s="499">
        <v>0</v>
      </c>
      <c r="F654" s="499">
        <f t="shared" si="192"/>
        <v>2051</v>
      </c>
      <c r="G654" s="496">
        <v>42580</v>
      </c>
      <c r="H654" s="513">
        <v>200</v>
      </c>
      <c r="I654" s="498">
        <v>13.224</v>
      </c>
      <c r="J654" s="499">
        <v>0.08</v>
      </c>
      <c r="K654" s="499">
        <f t="shared" si="193"/>
        <v>2644.7200000000003</v>
      </c>
      <c r="L654" s="497"/>
      <c r="M654" s="499"/>
    </row>
    <row r="655" spans="1:13" x14ac:dyDescent="0.25">
      <c r="A655" s="497"/>
      <c r="B655" s="545">
        <v>42573</v>
      </c>
      <c r="C655" s="497">
        <v>140</v>
      </c>
      <c r="D655" s="498">
        <v>14.08</v>
      </c>
      <c r="E655" s="499">
        <v>0</v>
      </c>
      <c r="F655" s="499">
        <f t="shared" si="192"/>
        <v>1971.2</v>
      </c>
      <c r="G655" s="496">
        <v>42580</v>
      </c>
      <c r="H655" s="513">
        <v>200</v>
      </c>
      <c r="I655" s="498">
        <v>13.58</v>
      </c>
      <c r="J655" s="499">
        <v>0.06</v>
      </c>
      <c r="K655" s="499">
        <f t="shared" si="193"/>
        <v>2715.94</v>
      </c>
      <c r="L655" s="497"/>
      <c r="M655" s="499"/>
    </row>
    <row r="656" spans="1:13" x14ac:dyDescent="0.25">
      <c r="A656" s="497"/>
      <c r="B656" s="545">
        <v>42576</v>
      </c>
      <c r="C656" s="497">
        <v>200</v>
      </c>
      <c r="D656" s="498">
        <v>13.55</v>
      </c>
      <c r="E656" s="499">
        <v>0</v>
      </c>
      <c r="F656" s="499">
        <f t="shared" si="192"/>
        <v>2710</v>
      </c>
      <c r="G656" s="496">
        <v>42586</v>
      </c>
      <c r="H656" s="513">
        <v>400</v>
      </c>
      <c r="I656" s="498">
        <v>13.78</v>
      </c>
      <c r="J656" s="499">
        <v>0.12</v>
      </c>
      <c r="K656" s="499">
        <f t="shared" si="193"/>
        <v>5511.88</v>
      </c>
      <c r="L656" s="497"/>
      <c r="M656" s="499"/>
    </row>
    <row r="657" spans="1:13" x14ac:dyDescent="0.25">
      <c r="A657" s="497"/>
      <c r="B657" s="545">
        <v>42578</v>
      </c>
      <c r="C657" s="497">
        <v>200</v>
      </c>
      <c r="D657" s="498">
        <v>13.18</v>
      </c>
      <c r="E657" s="499">
        <v>0</v>
      </c>
      <c r="F657" s="499">
        <f t="shared" si="192"/>
        <v>2636</v>
      </c>
      <c r="G657" s="496">
        <v>42586</v>
      </c>
      <c r="H657" s="513">
        <v>400</v>
      </c>
      <c r="I657" s="498">
        <v>13.72</v>
      </c>
      <c r="J657" s="499">
        <v>0.12</v>
      </c>
      <c r="K657" s="499">
        <f t="shared" si="193"/>
        <v>5487.88</v>
      </c>
      <c r="L657" s="497"/>
      <c r="M657" s="499"/>
    </row>
    <row r="658" spans="1:13" x14ac:dyDescent="0.25">
      <c r="A658" s="497"/>
      <c r="B658" s="545">
        <v>42580</v>
      </c>
      <c r="C658" s="497">
        <v>200</v>
      </c>
      <c r="D658" s="498">
        <v>13.15</v>
      </c>
      <c r="E658" s="499">
        <v>0</v>
      </c>
      <c r="F658" s="499">
        <f t="shared" si="192"/>
        <v>2630</v>
      </c>
      <c r="G658" s="496">
        <v>42586</v>
      </c>
      <c r="H658" s="513">
        <v>140</v>
      </c>
      <c r="I658" s="498">
        <v>13.88</v>
      </c>
      <c r="J658" s="499">
        <v>0.04</v>
      </c>
      <c r="K658" s="499">
        <f t="shared" si="193"/>
        <v>1943.16</v>
      </c>
      <c r="L658" s="497"/>
      <c r="M658" s="499"/>
    </row>
    <row r="659" spans="1:13" x14ac:dyDescent="0.25">
      <c r="A659" s="497"/>
      <c r="B659" s="545">
        <v>42583</v>
      </c>
      <c r="C659" s="594">
        <v>20</v>
      </c>
      <c r="D659" s="498">
        <v>13.02</v>
      </c>
      <c r="E659" s="499">
        <v>0</v>
      </c>
      <c r="F659" s="499">
        <f t="shared" si="192"/>
        <v>260.39999999999998</v>
      </c>
      <c r="G659" s="496">
        <v>42593</v>
      </c>
      <c r="H659" s="513">
        <v>460</v>
      </c>
      <c r="I659" s="498">
        <v>14.59</v>
      </c>
      <c r="J659" s="499">
        <v>0.15</v>
      </c>
      <c r="K659" s="499">
        <f t="shared" si="193"/>
        <v>6711.25</v>
      </c>
      <c r="L659" s="497"/>
      <c r="M659" s="499"/>
    </row>
    <row r="660" spans="1:13" x14ac:dyDescent="0.25">
      <c r="A660" s="497"/>
      <c r="B660" s="545">
        <v>42583</v>
      </c>
      <c r="C660" s="497">
        <v>180</v>
      </c>
      <c r="D660" s="498">
        <v>13.02</v>
      </c>
      <c r="E660" s="499">
        <v>0</v>
      </c>
      <c r="F660" s="499">
        <f t="shared" si="192"/>
        <v>2343.6</v>
      </c>
      <c r="G660" s="496">
        <v>42594</v>
      </c>
      <c r="H660" s="513">
        <v>500</v>
      </c>
      <c r="I660" s="498">
        <v>14.88</v>
      </c>
      <c r="J660" s="499">
        <v>0.16</v>
      </c>
      <c r="K660" s="499">
        <f t="shared" si="193"/>
        <v>7439.84</v>
      </c>
      <c r="L660" s="497"/>
      <c r="M660" s="499"/>
    </row>
    <row r="661" spans="1:13" x14ac:dyDescent="0.25">
      <c r="A661" s="497"/>
      <c r="B661" s="545">
        <v>42584</v>
      </c>
      <c r="C661" s="497">
        <v>120</v>
      </c>
      <c r="D661" s="498">
        <v>12.68</v>
      </c>
      <c r="E661" s="499">
        <v>0</v>
      </c>
      <c r="F661" s="499">
        <f t="shared" si="192"/>
        <v>1521.6</v>
      </c>
      <c r="G661" s="496">
        <v>42598</v>
      </c>
      <c r="H661" s="513">
        <v>500</v>
      </c>
      <c r="I661" s="498">
        <v>15.18</v>
      </c>
      <c r="J661" s="499">
        <v>0.17</v>
      </c>
      <c r="K661" s="499">
        <f t="shared" si="193"/>
        <v>7589.83</v>
      </c>
      <c r="L661" s="497"/>
      <c r="M661" s="499"/>
    </row>
    <row r="662" spans="1:13" x14ac:dyDescent="0.25">
      <c r="A662" s="497"/>
      <c r="B662" s="545">
        <v>42584</v>
      </c>
      <c r="C662" s="497">
        <v>80</v>
      </c>
      <c r="D662" s="498">
        <v>12.68</v>
      </c>
      <c r="E662" s="499">
        <v>0</v>
      </c>
      <c r="F662" s="499">
        <f t="shared" si="192"/>
        <v>1014.4</v>
      </c>
      <c r="G662" s="496">
        <v>42599</v>
      </c>
      <c r="H662" s="513">
        <v>500</v>
      </c>
      <c r="I662" s="498">
        <v>15.18</v>
      </c>
      <c r="J662" s="499">
        <v>0.17</v>
      </c>
      <c r="K662" s="499">
        <f t="shared" si="193"/>
        <v>7589.83</v>
      </c>
      <c r="L662" s="497"/>
      <c r="M662" s="499"/>
    </row>
    <row r="663" spans="1:13" x14ac:dyDescent="0.25">
      <c r="A663" s="497"/>
      <c r="B663" s="545">
        <v>42585</v>
      </c>
      <c r="C663" s="497">
        <v>242</v>
      </c>
      <c r="D663" s="498">
        <v>13.38</v>
      </c>
      <c r="E663" s="499">
        <v>0</v>
      </c>
      <c r="F663" s="499">
        <f t="shared" si="192"/>
        <v>3237.96</v>
      </c>
      <c r="G663" s="496">
        <v>42599</v>
      </c>
      <c r="H663" s="513">
        <v>500</v>
      </c>
      <c r="I663" s="498">
        <v>15.41</v>
      </c>
      <c r="J663" s="499">
        <v>0.17</v>
      </c>
      <c r="K663" s="499">
        <f t="shared" si="193"/>
        <v>7704.83</v>
      </c>
      <c r="L663" s="497"/>
      <c r="M663" s="499"/>
    </row>
    <row r="664" spans="1:13" x14ac:dyDescent="0.25">
      <c r="A664" s="497"/>
      <c r="B664" s="545">
        <v>42585</v>
      </c>
      <c r="C664" s="497">
        <v>158</v>
      </c>
      <c r="D664" s="498">
        <v>13.38</v>
      </c>
      <c r="E664" s="499">
        <v>0</v>
      </c>
      <c r="F664" s="499">
        <f t="shared" si="192"/>
        <v>2114.04</v>
      </c>
      <c r="G664" s="496">
        <v>42599</v>
      </c>
      <c r="H664" s="513">
        <v>500</v>
      </c>
      <c r="I664" s="498">
        <v>15.65</v>
      </c>
      <c r="J664" s="499">
        <v>0.17</v>
      </c>
      <c r="K664" s="499">
        <f t="shared" si="193"/>
        <v>7824.83</v>
      </c>
      <c r="L664" s="497"/>
      <c r="M664" s="499"/>
    </row>
    <row r="665" spans="1:13" ht="45" x14ac:dyDescent="0.25">
      <c r="A665" s="497"/>
      <c r="B665" s="545">
        <v>42594</v>
      </c>
      <c r="C665" s="497">
        <v>500</v>
      </c>
      <c r="D665" s="498">
        <v>14.65</v>
      </c>
      <c r="E665" s="499">
        <v>0</v>
      </c>
      <c r="F665" s="499">
        <f t="shared" si="192"/>
        <v>7325</v>
      </c>
      <c r="G665" s="616" t="s">
        <v>256</v>
      </c>
      <c r="H665" s="513">
        <v>500</v>
      </c>
      <c r="I665" s="498">
        <v>16.18</v>
      </c>
      <c r="J665" s="499">
        <v>0.18</v>
      </c>
      <c r="K665" s="499">
        <f t="shared" si="193"/>
        <v>8089.82</v>
      </c>
      <c r="L665" s="497"/>
      <c r="M665" s="499"/>
    </row>
    <row r="666" spans="1:13" x14ac:dyDescent="0.25">
      <c r="A666" s="497"/>
      <c r="B666" s="545">
        <v>42599</v>
      </c>
      <c r="C666" s="497">
        <v>242</v>
      </c>
      <c r="D666" s="498">
        <v>14.95</v>
      </c>
      <c r="E666" s="499">
        <v>0</v>
      </c>
      <c r="F666" s="499">
        <f t="shared" si="192"/>
        <v>3617.8999999999996</v>
      </c>
      <c r="G666" s="616"/>
      <c r="H666" s="513">
        <v>500</v>
      </c>
      <c r="I666" s="498">
        <v>16.38</v>
      </c>
      <c r="J666" s="499">
        <v>0.18</v>
      </c>
      <c r="K666" s="499">
        <f t="shared" si="193"/>
        <v>8189.8199999999988</v>
      </c>
      <c r="L666" s="497"/>
      <c r="M666" s="499"/>
    </row>
    <row r="667" spans="1:13" x14ac:dyDescent="0.25">
      <c r="A667" s="497"/>
      <c r="B667" s="545">
        <v>42599</v>
      </c>
      <c r="C667" s="497">
        <v>200</v>
      </c>
      <c r="D667" s="498">
        <v>14.95</v>
      </c>
      <c r="E667" s="499">
        <v>0</v>
      </c>
      <c r="F667" s="499">
        <f t="shared" si="192"/>
        <v>2990</v>
      </c>
      <c r="G667" s="616"/>
      <c r="H667" s="513">
        <v>178</v>
      </c>
      <c r="I667" s="498">
        <v>16.5</v>
      </c>
      <c r="J667" s="499">
        <v>0.06</v>
      </c>
      <c r="K667" s="499">
        <f t="shared" si="193"/>
        <v>2936.94</v>
      </c>
      <c r="L667" s="497"/>
      <c r="M667" s="499"/>
    </row>
    <row r="668" spans="1:13" x14ac:dyDescent="0.25">
      <c r="A668" s="497"/>
      <c r="B668" s="545">
        <v>42599</v>
      </c>
      <c r="C668" s="497">
        <v>36</v>
      </c>
      <c r="D668" s="498">
        <v>14.95</v>
      </c>
      <c r="E668" s="499">
        <v>0</v>
      </c>
      <c r="F668" s="499">
        <f t="shared" si="192"/>
        <v>538.19999999999993</v>
      </c>
      <c r="G668" s="616"/>
      <c r="H668" s="513">
        <v>500</v>
      </c>
      <c r="I668" s="498">
        <v>16.72</v>
      </c>
      <c r="J668" s="499">
        <v>0.18</v>
      </c>
      <c r="K668" s="499">
        <f t="shared" si="193"/>
        <v>8359.82</v>
      </c>
      <c r="L668" s="497"/>
      <c r="M668" s="499"/>
    </row>
    <row r="669" spans="1:13" x14ac:dyDescent="0.25">
      <c r="A669" s="497"/>
      <c r="B669" s="545">
        <v>42599</v>
      </c>
      <c r="C669" s="497">
        <v>22</v>
      </c>
      <c r="D669" s="498">
        <v>14.95</v>
      </c>
      <c r="E669" s="499">
        <v>0</v>
      </c>
      <c r="F669" s="499">
        <f t="shared" si="192"/>
        <v>328.9</v>
      </c>
      <c r="G669" s="496">
        <v>42601</v>
      </c>
      <c r="H669" s="513">
        <v>500</v>
      </c>
      <c r="I669" s="498">
        <v>16.82</v>
      </c>
      <c r="J669" s="499">
        <v>0.18</v>
      </c>
      <c r="K669" s="499">
        <f t="shared" si="193"/>
        <v>8409.82</v>
      </c>
      <c r="L669" s="497"/>
      <c r="M669" s="499"/>
    </row>
    <row r="670" spans="1:13" x14ac:dyDescent="0.25">
      <c r="A670" s="497"/>
      <c r="B670" s="545">
        <v>42604</v>
      </c>
      <c r="C670" s="497">
        <v>1000</v>
      </c>
      <c r="D670" s="498">
        <v>15.68</v>
      </c>
      <c r="E670" s="499">
        <v>0</v>
      </c>
      <c r="F670" s="499">
        <f t="shared" si="192"/>
        <v>15680</v>
      </c>
      <c r="G670" s="496">
        <v>42605</v>
      </c>
      <c r="H670" s="513">
        <v>500</v>
      </c>
      <c r="I670" s="498">
        <v>15.98</v>
      </c>
      <c r="J670" s="499">
        <v>0.17</v>
      </c>
      <c r="K670" s="499">
        <f t="shared" si="193"/>
        <v>7989.83</v>
      </c>
      <c r="L670" s="497"/>
      <c r="M670" s="499"/>
    </row>
    <row r="671" spans="1:13" x14ac:dyDescent="0.25">
      <c r="A671" s="497"/>
      <c r="B671" s="545">
        <v>42604</v>
      </c>
      <c r="C671" s="497">
        <v>500</v>
      </c>
      <c r="D671" s="498">
        <v>15.48</v>
      </c>
      <c r="E671" s="499">
        <v>0</v>
      </c>
      <c r="F671" s="499">
        <f t="shared" si="192"/>
        <v>7740</v>
      </c>
      <c r="G671" s="496">
        <v>42605</v>
      </c>
      <c r="H671" s="513">
        <v>500</v>
      </c>
      <c r="I671" s="498">
        <v>16.25</v>
      </c>
      <c r="J671" s="499">
        <v>0.18</v>
      </c>
      <c r="K671" s="499">
        <f t="shared" si="193"/>
        <v>8124.82</v>
      </c>
      <c r="L671" s="497"/>
      <c r="M671" s="499"/>
    </row>
    <row r="672" spans="1:13" x14ac:dyDescent="0.25">
      <c r="A672" s="497"/>
      <c r="B672" s="545">
        <v>42606</v>
      </c>
      <c r="C672" s="497">
        <v>178</v>
      </c>
      <c r="D672" s="498">
        <v>16.059999999999999</v>
      </c>
      <c r="E672" s="499">
        <v>0</v>
      </c>
      <c r="F672" s="499">
        <f t="shared" si="192"/>
        <v>2858.68</v>
      </c>
      <c r="G672" s="496">
        <v>42605</v>
      </c>
      <c r="H672" s="513">
        <v>500</v>
      </c>
      <c r="I672" s="498">
        <v>16.48</v>
      </c>
      <c r="J672" s="499">
        <v>0.18</v>
      </c>
      <c r="K672" s="499">
        <f t="shared" si="193"/>
        <v>8239.82</v>
      </c>
      <c r="L672" s="497"/>
      <c r="M672" s="499"/>
    </row>
    <row r="673" spans="1:13" x14ac:dyDescent="0.25">
      <c r="A673" s="497"/>
      <c r="B673" s="545">
        <v>42608</v>
      </c>
      <c r="C673" s="497">
        <v>500</v>
      </c>
      <c r="D673" s="498">
        <v>15.98</v>
      </c>
      <c r="E673" s="499">
        <v>0</v>
      </c>
      <c r="F673" s="499">
        <f t="shared" si="192"/>
        <v>7990</v>
      </c>
      <c r="G673" s="496">
        <v>42615</v>
      </c>
      <c r="H673" s="513">
        <v>500</v>
      </c>
      <c r="I673" s="498">
        <v>15.65</v>
      </c>
      <c r="J673" s="499">
        <v>0.17</v>
      </c>
      <c r="K673" s="499">
        <f t="shared" si="193"/>
        <v>7824.83</v>
      </c>
      <c r="L673" s="497"/>
      <c r="M673" s="499"/>
    </row>
    <row r="674" spans="1:13" ht="30" x14ac:dyDescent="0.25">
      <c r="A674" s="497"/>
      <c r="B674" s="545">
        <v>42608</v>
      </c>
      <c r="C674" s="497">
        <v>500</v>
      </c>
      <c r="D674" s="498">
        <v>15.85</v>
      </c>
      <c r="E674" s="499">
        <v>0</v>
      </c>
      <c r="F674" s="499">
        <f t="shared" si="192"/>
        <v>7925</v>
      </c>
      <c r="G674" s="496">
        <v>42621</v>
      </c>
      <c r="H674" s="513">
        <v>500</v>
      </c>
      <c r="I674" s="498">
        <v>16.72</v>
      </c>
      <c r="J674" s="499">
        <v>0.18</v>
      </c>
      <c r="K674" s="499">
        <f t="shared" si="193"/>
        <v>8359.82</v>
      </c>
      <c r="L674" s="617" t="s">
        <v>269</v>
      </c>
      <c r="M674" s="499"/>
    </row>
    <row r="675" spans="1:13" x14ac:dyDescent="0.25">
      <c r="A675" s="497"/>
      <c r="B675" s="545">
        <v>42612</v>
      </c>
      <c r="C675" s="497">
        <v>500</v>
      </c>
      <c r="D675" s="498">
        <v>15.68</v>
      </c>
      <c r="E675" s="499">
        <v>0</v>
      </c>
      <c r="F675" s="499">
        <f t="shared" si="192"/>
        <v>7840</v>
      </c>
      <c r="G675" s="496">
        <v>42621</v>
      </c>
      <c r="H675" s="513">
        <v>500</v>
      </c>
      <c r="I675" s="498">
        <v>16.28</v>
      </c>
      <c r="J675" s="499">
        <v>0.18</v>
      </c>
      <c r="K675" s="499">
        <f t="shared" si="193"/>
        <v>8139.8200000000006</v>
      </c>
      <c r="L675" s="617"/>
      <c r="M675" s="499"/>
    </row>
    <row r="676" spans="1:13" x14ac:dyDescent="0.25">
      <c r="A676" s="497"/>
      <c r="B676" s="545">
        <v>42612</v>
      </c>
      <c r="C676" s="497">
        <v>500</v>
      </c>
      <c r="D676" s="498">
        <v>15.55</v>
      </c>
      <c r="E676" s="499">
        <v>0</v>
      </c>
      <c r="F676" s="499">
        <f t="shared" si="192"/>
        <v>7775</v>
      </c>
      <c r="G676" s="496">
        <v>42621</v>
      </c>
      <c r="H676" s="513">
        <v>220</v>
      </c>
      <c r="I676" s="498">
        <v>16.77</v>
      </c>
      <c r="J676" s="499">
        <v>0.08</v>
      </c>
      <c r="K676" s="499">
        <f t="shared" si="193"/>
        <v>3689.32</v>
      </c>
      <c r="L676" s="617"/>
      <c r="M676" s="499"/>
    </row>
    <row r="677" spans="1:13" x14ac:dyDescent="0.25">
      <c r="A677" s="497"/>
      <c r="B677" s="545">
        <v>42613</v>
      </c>
      <c r="C677" s="497">
        <v>500</v>
      </c>
      <c r="D677" s="498">
        <v>15.244999999999999</v>
      </c>
      <c r="E677" s="499">
        <v>0</v>
      </c>
      <c r="F677" s="499">
        <f t="shared" si="192"/>
        <v>7622.5</v>
      </c>
      <c r="G677" s="496">
        <v>42625</v>
      </c>
      <c r="H677" s="513">
        <v>500</v>
      </c>
      <c r="I677" s="498">
        <v>15.5</v>
      </c>
      <c r="J677" s="499">
        <v>0.17</v>
      </c>
      <c r="K677" s="499">
        <f t="shared" si="193"/>
        <v>7749.83</v>
      </c>
      <c r="L677" s="497"/>
      <c r="M677" s="499"/>
    </row>
    <row r="678" spans="1:13" x14ac:dyDescent="0.25">
      <c r="A678" s="497"/>
      <c r="B678" s="545">
        <v>42613</v>
      </c>
      <c r="C678" s="497">
        <v>500</v>
      </c>
      <c r="D678" s="498">
        <v>15.08</v>
      </c>
      <c r="E678" s="499">
        <v>0</v>
      </c>
      <c r="F678" s="499">
        <f t="shared" si="192"/>
        <v>7540</v>
      </c>
      <c r="G678" s="496">
        <v>42628</v>
      </c>
      <c r="H678" s="513">
        <v>300</v>
      </c>
      <c r="I678" s="498">
        <v>14.46</v>
      </c>
      <c r="J678" s="499">
        <v>0.09</v>
      </c>
      <c r="K678" s="499">
        <f t="shared" si="193"/>
        <v>4337.91</v>
      </c>
      <c r="L678" s="497"/>
      <c r="M678" s="499"/>
    </row>
    <row r="679" spans="1:13" x14ac:dyDescent="0.25">
      <c r="A679" s="497"/>
      <c r="B679" s="545">
        <v>42622</v>
      </c>
      <c r="C679" s="497">
        <v>220</v>
      </c>
      <c r="D679" s="498">
        <v>16.25</v>
      </c>
      <c r="E679" s="499">
        <v>0</v>
      </c>
      <c r="F679" s="499">
        <f t="shared" si="192"/>
        <v>3575</v>
      </c>
      <c r="G679" s="496">
        <v>42634</v>
      </c>
      <c r="H679" s="513">
        <v>322</v>
      </c>
      <c r="I679" s="498">
        <v>14.28</v>
      </c>
      <c r="J679" s="499">
        <v>0.1</v>
      </c>
      <c r="K679" s="499">
        <f t="shared" si="193"/>
        <v>4598.0599999999995</v>
      </c>
      <c r="L679" s="497"/>
      <c r="M679" s="499"/>
    </row>
    <row r="680" spans="1:13" x14ac:dyDescent="0.25">
      <c r="A680" s="497"/>
      <c r="B680" s="545">
        <v>42622</v>
      </c>
      <c r="C680" s="497">
        <v>500</v>
      </c>
      <c r="D680" s="498">
        <v>15.98</v>
      </c>
      <c r="E680" s="499">
        <v>0</v>
      </c>
      <c r="F680" s="499">
        <f t="shared" si="192"/>
        <v>7990</v>
      </c>
      <c r="G680" s="496">
        <v>42634</v>
      </c>
      <c r="H680" s="513">
        <v>400</v>
      </c>
      <c r="I680" s="498">
        <v>14.64</v>
      </c>
      <c r="J680" s="499">
        <v>0.13</v>
      </c>
      <c r="K680" s="499">
        <f t="shared" si="193"/>
        <v>5855.87</v>
      </c>
      <c r="L680" s="497"/>
      <c r="M680" s="499"/>
    </row>
    <row r="681" spans="1:13" x14ac:dyDescent="0.25">
      <c r="A681" s="497"/>
      <c r="B681" s="545">
        <v>42622</v>
      </c>
      <c r="C681" s="497">
        <v>500</v>
      </c>
      <c r="D681" s="498">
        <v>15.75</v>
      </c>
      <c r="E681" s="499">
        <v>0</v>
      </c>
      <c r="F681" s="499">
        <f t="shared" si="192"/>
        <v>7875</v>
      </c>
      <c r="G681" s="496">
        <v>42639</v>
      </c>
      <c r="H681" s="513">
        <v>200</v>
      </c>
      <c r="I681" s="498">
        <v>14.72</v>
      </c>
      <c r="J681" s="499">
        <v>0.06</v>
      </c>
      <c r="K681" s="499">
        <f t="shared" si="193"/>
        <v>2943.94</v>
      </c>
      <c r="L681" s="497"/>
      <c r="M681" s="499"/>
    </row>
    <row r="682" spans="1:13" x14ac:dyDescent="0.25">
      <c r="A682" s="497"/>
      <c r="B682" s="545">
        <v>42625</v>
      </c>
      <c r="C682" s="497">
        <v>500</v>
      </c>
      <c r="D682" s="498">
        <v>15.22</v>
      </c>
      <c r="E682" s="499">
        <v>0</v>
      </c>
      <c r="F682" s="499">
        <f t="shared" si="192"/>
        <v>7610</v>
      </c>
      <c r="G682" s="496">
        <v>42641</v>
      </c>
      <c r="H682" s="513">
        <v>300</v>
      </c>
      <c r="I682" s="498">
        <v>15.28</v>
      </c>
      <c r="J682" s="499">
        <v>0.1</v>
      </c>
      <c r="K682" s="499">
        <f t="shared" si="193"/>
        <v>4583.8999999999996</v>
      </c>
      <c r="L682" s="497"/>
      <c r="M682" s="499"/>
    </row>
    <row r="683" spans="1:13" ht="30" x14ac:dyDescent="0.25">
      <c r="A683" s="599" t="s">
        <v>278</v>
      </c>
      <c r="B683" s="545">
        <v>42626</v>
      </c>
      <c r="C683" s="497">
        <v>600</v>
      </c>
      <c r="D683" s="498">
        <v>14.91</v>
      </c>
      <c r="E683" s="499">
        <v>-3</v>
      </c>
      <c r="F683" s="499">
        <f t="shared" si="192"/>
        <v>8943</v>
      </c>
      <c r="G683" s="496">
        <v>42641</v>
      </c>
      <c r="H683" s="513">
        <v>400</v>
      </c>
      <c r="I683" s="498">
        <v>15.06</v>
      </c>
      <c r="J683" s="499">
        <v>0.13</v>
      </c>
      <c r="K683" s="499">
        <f t="shared" si="193"/>
        <v>6023.87</v>
      </c>
      <c r="L683" s="497"/>
      <c r="M683" s="499"/>
    </row>
    <row r="684" spans="1:13" x14ac:dyDescent="0.25">
      <c r="A684" s="599"/>
      <c r="B684" s="545">
        <v>42626</v>
      </c>
      <c r="C684" s="497">
        <v>400</v>
      </c>
      <c r="D684" s="498">
        <v>14.75</v>
      </c>
      <c r="E684" s="499">
        <v>0</v>
      </c>
      <c r="F684" s="499">
        <f t="shared" si="192"/>
        <v>5900</v>
      </c>
      <c r="G684" s="496">
        <v>42641</v>
      </c>
      <c r="H684" s="513">
        <v>322</v>
      </c>
      <c r="I684" s="498">
        <v>14.39</v>
      </c>
      <c r="J684" s="499">
        <v>0.1</v>
      </c>
      <c r="K684" s="499">
        <f t="shared" si="193"/>
        <v>4633.4799999999996</v>
      </c>
      <c r="L684" s="497"/>
      <c r="M684" s="499"/>
    </row>
    <row r="685" spans="1:13" x14ac:dyDescent="0.25">
      <c r="A685" s="599"/>
      <c r="B685" s="545">
        <v>42626</v>
      </c>
      <c r="C685" s="497">
        <v>300</v>
      </c>
      <c r="D685" s="498">
        <v>14.48</v>
      </c>
      <c r="E685" s="499">
        <v>0</v>
      </c>
      <c r="F685" s="499">
        <f t="shared" si="192"/>
        <v>4344</v>
      </c>
      <c r="G685" s="496">
        <v>42641</v>
      </c>
      <c r="H685" s="513">
        <v>500</v>
      </c>
      <c r="I685" s="498">
        <v>14.26</v>
      </c>
      <c r="J685" s="499">
        <v>0.16</v>
      </c>
      <c r="K685" s="499">
        <f t="shared" si="193"/>
        <v>7129.84</v>
      </c>
      <c r="L685" s="497"/>
      <c r="M685" s="499"/>
    </row>
    <row r="686" spans="1:13" x14ac:dyDescent="0.25">
      <c r="A686" s="599"/>
      <c r="B686" s="545">
        <v>42626</v>
      </c>
      <c r="C686" s="497">
        <v>300</v>
      </c>
      <c r="D686" s="498">
        <v>14.25</v>
      </c>
      <c r="E686" s="499">
        <v>0</v>
      </c>
      <c r="F686" s="499">
        <f t="shared" si="192"/>
        <v>4275</v>
      </c>
      <c r="G686" s="496">
        <v>42642</v>
      </c>
      <c r="H686" s="513">
        <v>300</v>
      </c>
      <c r="I686" s="498">
        <v>15.28</v>
      </c>
      <c r="J686" s="499">
        <v>0.1</v>
      </c>
      <c r="K686" s="499">
        <f t="shared" si="193"/>
        <v>4583.8999999999996</v>
      </c>
      <c r="L686" s="497"/>
      <c r="M686" s="499"/>
    </row>
    <row r="687" spans="1:13" x14ac:dyDescent="0.25">
      <c r="A687" s="599"/>
      <c r="B687" s="545">
        <v>42627</v>
      </c>
      <c r="C687" s="497">
        <v>200</v>
      </c>
      <c r="D687" s="498">
        <v>14.02</v>
      </c>
      <c r="E687" s="499">
        <v>-1</v>
      </c>
      <c r="F687" s="499">
        <f t="shared" si="192"/>
        <v>2803</v>
      </c>
      <c r="G687" s="496">
        <v>42642</v>
      </c>
      <c r="H687" s="513">
        <v>700</v>
      </c>
      <c r="I687" s="498">
        <v>15.78</v>
      </c>
      <c r="J687" s="499">
        <v>0.24</v>
      </c>
      <c r="K687" s="499">
        <f t="shared" si="193"/>
        <v>11045.76</v>
      </c>
      <c r="L687" s="497"/>
      <c r="M687" s="499"/>
    </row>
    <row r="688" spans="1:13" x14ac:dyDescent="0.25">
      <c r="A688" s="497"/>
      <c r="B688" s="545">
        <v>42628</v>
      </c>
      <c r="C688" s="497">
        <v>300</v>
      </c>
      <c r="D688" s="498">
        <v>14.3</v>
      </c>
      <c r="E688" s="499">
        <v>0</v>
      </c>
      <c r="F688" s="499">
        <f t="shared" si="192"/>
        <v>4290</v>
      </c>
      <c r="G688" s="496">
        <v>42642</v>
      </c>
      <c r="H688" s="513">
        <v>214</v>
      </c>
      <c r="I688" s="498">
        <v>15.98</v>
      </c>
      <c r="J688" s="499">
        <v>7.0000000000000007E-2</v>
      </c>
      <c r="K688" s="499">
        <f t="shared" si="193"/>
        <v>3419.65</v>
      </c>
      <c r="L688" s="497"/>
      <c r="M688" s="499"/>
    </row>
    <row r="689" spans="1:13" x14ac:dyDescent="0.25">
      <c r="A689" s="497"/>
      <c r="B689" s="545">
        <v>42632</v>
      </c>
      <c r="C689" s="497">
        <v>200</v>
      </c>
      <c r="D689" s="498">
        <v>14.06</v>
      </c>
      <c r="E689" s="499">
        <v>0</v>
      </c>
      <c r="F689" s="499">
        <f t="shared" si="192"/>
        <v>2812</v>
      </c>
      <c r="G689" s="496">
        <v>42648</v>
      </c>
      <c r="H689" s="513">
        <v>1000</v>
      </c>
      <c r="I689" s="498">
        <v>16.079999999999998</v>
      </c>
      <c r="J689" s="499">
        <v>0.35</v>
      </c>
      <c r="K689" s="499">
        <f t="shared" si="193"/>
        <v>16079.649999999998</v>
      </c>
      <c r="L689" s="497"/>
      <c r="M689" s="499"/>
    </row>
    <row r="690" spans="1:13" x14ac:dyDescent="0.25">
      <c r="A690" s="497"/>
      <c r="B690" s="545">
        <v>42633</v>
      </c>
      <c r="C690" s="497">
        <v>200</v>
      </c>
      <c r="D690" s="498">
        <v>14.11</v>
      </c>
      <c r="E690" s="499">
        <v>0</v>
      </c>
      <c r="F690" s="499">
        <f t="shared" si="192"/>
        <v>2822</v>
      </c>
      <c r="G690" s="496">
        <v>42648</v>
      </c>
      <c r="H690" s="513">
        <v>500</v>
      </c>
      <c r="I690" s="498">
        <v>16.38</v>
      </c>
      <c r="J690" s="499">
        <v>0.18</v>
      </c>
      <c r="K690" s="499">
        <f t="shared" si="193"/>
        <v>8189.8199999999988</v>
      </c>
      <c r="L690" s="497"/>
      <c r="M690" s="499"/>
    </row>
    <row r="691" spans="1:13" x14ac:dyDescent="0.25">
      <c r="A691" s="497"/>
      <c r="B691" s="545">
        <v>42633</v>
      </c>
      <c r="C691" s="497">
        <v>122</v>
      </c>
      <c r="D691" s="498">
        <v>14.1</v>
      </c>
      <c r="E691" s="499">
        <v>0</v>
      </c>
      <c r="F691" s="499">
        <f t="shared" si="192"/>
        <v>1720.2</v>
      </c>
      <c r="G691" s="496">
        <v>42649</v>
      </c>
      <c r="H691" s="513">
        <v>500</v>
      </c>
      <c r="I691" s="498">
        <v>16.16</v>
      </c>
      <c r="J691" s="499">
        <v>0.18</v>
      </c>
      <c r="K691" s="499">
        <f t="shared" si="193"/>
        <v>8079.82</v>
      </c>
      <c r="L691" s="497"/>
      <c r="M691" s="499"/>
    </row>
    <row r="692" spans="1:13" x14ac:dyDescent="0.25">
      <c r="A692" s="497"/>
      <c r="B692" s="545">
        <v>42636</v>
      </c>
      <c r="C692" s="497">
        <v>200</v>
      </c>
      <c r="D692" s="498">
        <v>14.38</v>
      </c>
      <c r="E692" s="499">
        <v>0</v>
      </c>
      <c r="F692" s="499">
        <f t="shared" si="192"/>
        <v>2876</v>
      </c>
      <c r="G692" s="496">
        <v>42671</v>
      </c>
      <c r="H692" s="513">
        <v>1000</v>
      </c>
      <c r="I692" s="498">
        <v>14.22</v>
      </c>
      <c r="J692" s="499">
        <v>0.31</v>
      </c>
      <c r="K692" s="499">
        <f t="shared" si="193"/>
        <v>14219.69</v>
      </c>
      <c r="L692" s="497"/>
      <c r="M692" s="499"/>
    </row>
    <row r="693" spans="1:13" x14ac:dyDescent="0.25">
      <c r="A693" s="497"/>
      <c r="B693" s="545">
        <v>42639</v>
      </c>
      <c r="C693" s="497">
        <v>200</v>
      </c>
      <c r="D693" s="498">
        <v>14.5</v>
      </c>
      <c r="E693" s="499">
        <v>0</v>
      </c>
      <c r="F693" s="499">
        <f t="shared" ref="F693:F707" si="194">C693*D693+E693</f>
        <v>2900</v>
      </c>
      <c r="G693" s="496">
        <v>42674</v>
      </c>
      <c r="H693" s="513">
        <v>300</v>
      </c>
      <c r="I693" s="498">
        <v>13.42</v>
      </c>
      <c r="J693" s="499">
        <v>0.09</v>
      </c>
      <c r="K693" s="499">
        <f t="shared" si="193"/>
        <v>4025.91</v>
      </c>
      <c r="L693" s="497"/>
      <c r="M693" s="499"/>
    </row>
    <row r="694" spans="1:13" x14ac:dyDescent="0.25">
      <c r="A694" s="497"/>
      <c r="B694" s="545">
        <v>42639</v>
      </c>
      <c r="C694" s="497">
        <v>200</v>
      </c>
      <c r="D694" s="498">
        <v>14.38</v>
      </c>
      <c r="E694" s="499">
        <v>0</v>
      </c>
      <c r="F694" s="499">
        <f t="shared" si="194"/>
        <v>2876</v>
      </c>
      <c r="G694" s="496">
        <v>42674</v>
      </c>
      <c r="H694" s="513">
        <v>200</v>
      </c>
      <c r="I694" s="498">
        <v>13.25</v>
      </c>
      <c r="J694" s="499">
        <v>-0.74</v>
      </c>
      <c r="K694" s="499">
        <f t="shared" si="193"/>
        <v>2650.74</v>
      </c>
      <c r="L694" s="497"/>
      <c r="M694" s="499"/>
    </row>
    <row r="695" spans="1:13" x14ac:dyDescent="0.25">
      <c r="A695" s="497"/>
      <c r="B695" s="545">
        <v>42640</v>
      </c>
      <c r="C695" s="497">
        <v>322</v>
      </c>
      <c r="D695" s="498">
        <v>13.97</v>
      </c>
      <c r="E695" s="499">
        <v>0</v>
      </c>
      <c r="F695" s="499">
        <f t="shared" si="194"/>
        <v>4498.34</v>
      </c>
      <c r="G695" s="496">
        <v>42676</v>
      </c>
      <c r="H695" s="513">
        <v>200</v>
      </c>
      <c r="I695" s="498">
        <v>13.05</v>
      </c>
      <c r="J695" s="499">
        <v>0.06</v>
      </c>
      <c r="K695" s="499">
        <f t="shared" si="193"/>
        <v>2609.94</v>
      </c>
      <c r="L695" s="497"/>
      <c r="M695" s="499"/>
    </row>
    <row r="696" spans="1:13" x14ac:dyDescent="0.25">
      <c r="A696" s="497"/>
      <c r="B696" s="545">
        <v>42641</v>
      </c>
      <c r="C696" s="497">
        <v>300</v>
      </c>
      <c r="D696" s="498">
        <v>14.02</v>
      </c>
      <c r="E696" s="499">
        <v>-1.26</v>
      </c>
      <c r="F696" s="499">
        <f t="shared" si="194"/>
        <v>4204.74</v>
      </c>
      <c r="G696" s="496">
        <v>42677</v>
      </c>
      <c r="H696" s="513">
        <v>500</v>
      </c>
      <c r="I696" s="498">
        <v>13.96</v>
      </c>
      <c r="J696" s="499">
        <v>0.15</v>
      </c>
      <c r="K696" s="499">
        <f t="shared" si="193"/>
        <v>6979.85</v>
      </c>
      <c r="L696" s="497"/>
      <c r="M696" s="499"/>
    </row>
    <row r="697" spans="1:13" x14ac:dyDescent="0.25">
      <c r="A697" s="497"/>
      <c r="B697" s="545">
        <v>42641</v>
      </c>
      <c r="C697" s="497">
        <v>200</v>
      </c>
      <c r="D697" s="498">
        <v>14.17</v>
      </c>
      <c r="E697" s="499">
        <v>0</v>
      </c>
      <c r="F697" s="499">
        <f t="shared" si="194"/>
        <v>2834</v>
      </c>
      <c r="G697" s="496">
        <v>42677</v>
      </c>
      <c r="H697" s="513">
        <v>2000</v>
      </c>
      <c r="I697" s="498">
        <v>14.5</v>
      </c>
      <c r="J697" s="499">
        <v>0.63</v>
      </c>
      <c r="K697" s="499">
        <f t="shared" si="193"/>
        <v>28999.37</v>
      </c>
      <c r="L697" s="497"/>
      <c r="M697" s="499"/>
    </row>
    <row r="698" spans="1:13" x14ac:dyDescent="0.25">
      <c r="A698" s="497"/>
      <c r="B698" s="545">
        <v>42642</v>
      </c>
      <c r="C698" s="497">
        <v>414</v>
      </c>
      <c r="D698" s="498">
        <v>15.66</v>
      </c>
      <c r="E698" s="499">
        <v>0</v>
      </c>
      <c r="F698" s="499">
        <f t="shared" si="194"/>
        <v>6483.24</v>
      </c>
      <c r="G698" s="496">
        <v>42682</v>
      </c>
      <c r="H698" s="513">
        <v>1000</v>
      </c>
      <c r="I698" s="498">
        <v>14.28</v>
      </c>
      <c r="J698" s="499">
        <v>0.31</v>
      </c>
      <c r="K698" s="499">
        <f t="shared" si="193"/>
        <v>14279.69</v>
      </c>
      <c r="L698" s="497"/>
      <c r="M698" s="499"/>
    </row>
    <row r="699" spans="1:13" ht="30" x14ac:dyDescent="0.25">
      <c r="A699" s="599" t="s">
        <v>293</v>
      </c>
      <c r="B699" s="545">
        <v>42647</v>
      </c>
      <c r="C699" s="497">
        <v>500</v>
      </c>
      <c r="D699" s="498">
        <v>15.86</v>
      </c>
      <c r="E699" s="499">
        <v>0</v>
      </c>
      <c r="F699" s="499">
        <f t="shared" si="194"/>
        <v>7930</v>
      </c>
      <c r="G699" s="496">
        <v>42685</v>
      </c>
      <c r="H699" s="513">
        <v>500</v>
      </c>
      <c r="I699" s="498">
        <v>15.88</v>
      </c>
      <c r="J699" s="499">
        <v>0.17</v>
      </c>
      <c r="K699" s="499">
        <f t="shared" si="193"/>
        <v>7939.83</v>
      </c>
      <c r="L699" s="497"/>
      <c r="M699" s="499"/>
    </row>
    <row r="700" spans="1:13" x14ac:dyDescent="0.25">
      <c r="A700" s="599"/>
      <c r="B700" s="545">
        <v>42647</v>
      </c>
      <c r="C700" s="497">
        <v>500</v>
      </c>
      <c r="D700" s="498">
        <v>15.62</v>
      </c>
      <c r="E700" s="499">
        <v>0</v>
      </c>
      <c r="F700" s="499">
        <f t="shared" si="194"/>
        <v>7810</v>
      </c>
      <c r="G700" s="496">
        <v>42695</v>
      </c>
      <c r="H700" s="513">
        <v>2272</v>
      </c>
      <c r="I700" s="498">
        <v>16.28</v>
      </c>
      <c r="J700" s="499">
        <v>0.81</v>
      </c>
      <c r="K700" s="499">
        <f t="shared" si="193"/>
        <v>36987.350000000006</v>
      </c>
      <c r="L700" s="497"/>
      <c r="M700" s="499"/>
    </row>
    <row r="701" spans="1:13" x14ac:dyDescent="0.25">
      <c r="A701" s="599"/>
      <c r="B701" s="545">
        <v>42649</v>
      </c>
      <c r="C701" s="497">
        <v>500</v>
      </c>
      <c r="D701" s="498">
        <v>15.97</v>
      </c>
      <c r="E701" s="499">
        <v>0</v>
      </c>
      <c r="F701" s="499">
        <f t="shared" si="194"/>
        <v>7985</v>
      </c>
      <c r="G701" s="496">
        <v>42695</v>
      </c>
      <c r="H701" s="513">
        <v>500</v>
      </c>
      <c r="I701" s="498">
        <v>16.45</v>
      </c>
      <c r="J701" s="499">
        <v>0.18</v>
      </c>
      <c r="K701" s="499">
        <f t="shared" si="193"/>
        <v>8224.82</v>
      </c>
      <c r="L701" s="497"/>
      <c r="M701" s="499"/>
    </row>
    <row r="702" spans="1:13" x14ac:dyDescent="0.25">
      <c r="A702" s="599"/>
      <c r="B702" s="545">
        <v>42649</v>
      </c>
      <c r="C702" s="497">
        <v>500</v>
      </c>
      <c r="D702" s="498">
        <v>15.84</v>
      </c>
      <c r="E702" s="499">
        <v>0</v>
      </c>
      <c r="F702" s="499">
        <f t="shared" si="194"/>
        <v>7920</v>
      </c>
      <c r="G702" s="496">
        <v>42696</v>
      </c>
      <c r="H702" s="513">
        <v>500</v>
      </c>
      <c r="I702" s="498">
        <v>16.54</v>
      </c>
      <c r="J702" s="499">
        <v>0.18</v>
      </c>
      <c r="K702" s="499">
        <f t="shared" si="193"/>
        <v>8269.82</v>
      </c>
      <c r="L702" s="497"/>
      <c r="M702" s="499"/>
    </row>
    <row r="703" spans="1:13" x14ac:dyDescent="0.25">
      <c r="A703" s="497"/>
      <c r="B703" s="545">
        <v>42649</v>
      </c>
      <c r="C703" s="497">
        <v>500</v>
      </c>
      <c r="D703" s="498">
        <v>16.079999999999998</v>
      </c>
      <c r="E703" s="499">
        <v>0</v>
      </c>
      <c r="F703" s="499">
        <f t="shared" si="194"/>
        <v>8039.9999999999991</v>
      </c>
      <c r="G703" s="496">
        <v>42697</v>
      </c>
      <c r="H703" s="513">
        <v>200</v>
      </c>
      <c r="I703" s="498">
        <v>16.79</v>
      </c>
      <c r="J703" s="499">
        <v>7.0000000000000007E-2</v>
      </c>
      <c r="K703" s="499">
        <f t="shared" si="193"/>
        <v>3357.93</v>
      </c>
      <c r="L703" s="497"/>
      <c r="M703" s="499"/>
    </row>
    <row r="704" spans="1:13" x14ac:dyDescent="0.25">
      <c r="A704" s="497"/>
      <c r="B704" s="545">
        <v>42650</v>
      </c>
      <c r="C704" s="497">
        <v>300</v>
      </c>
      <c r="D704" s="498">
        <v>15.75</v>
      </c>
      <c r="E704" s="499">
        <v>0</v>
      </c>
      <c r="F704" s="499">
        <f t="shared" si="194"/>
        <v>4725</v>
      </c>
      <c r="G704" s="496">
        <v>42697</v>
      </c>
      <c r="H704" s="513">
        <v>500</v>
      </c>
      <c r="I704" s="498">
        <v>16.59</v>
      </c>
      <c r="J704" s="499">
        <v>0.18</v>
      </c>
      <c r="K704" s="499">
        <f t="shared" si="193"/>
        <v>8294.82</v>
      </c>
      <c r="L704" s="497"/>
      <c r="M704" s="499"/>
    </row>
    <row r="705" spans="1:13" x14ac:dyDescent="0.25">
      <c r="A705" s="497"/>
      <c r="B705" s="545">
        <v>42650</v>
      </c>
      <c r="C705" s="497">
        <v>300</v>
      </c>
      <c r="D705" s="498">
        <v>15.58</v>
      </c>
      <c r="E705" s="499">
        <v>0</v>
      </c>
      <c r="F705" s="499">
        <f t="shared" si="194"/>
        <v>4674</v>
      </c>
      <c r="G705" s="496">
        <v>42704</v>
      </c>
      <c r="H705" s="513">
        <v>1000</v>
      </c>
      <c r="I705" s="498">
        <v>16.420000000000002</v>
      </c>
      <c r="J705" s="499">
        <v>0.36</v>
      </c>
      <c r="K705" s="499">
        <f t="shared" si="193"/>
        <v>16419.64</v>
      </c>
      <c r="L705" s="497"/>
      <c r="M705" s="499"/>
    </row>
    <row r="706" spans="1:13" x14ac:dyDescent="0.25">
      <c r="A706" s="497"/>
      <c r="B706" s="545">
        <v>42653</v>
      </c>
      <c r="C706" s="497">
        <v>394</v>
      </c>
      <c r="D706" s="498">
        <v>15.72</v>
      </c>
      <c r="E706" s="499">
        <v>0</v>
      </c>
      <c r="F706" s="499">
        <f t="shared" si="194"/>
        <v>6193.68</v>
      </c>
      <c r="G706" s="496">
        <v>42704</v>
      </c>
      <c r="H706" s="513">
        <v>300</v>
      </c>
      <c r="I706" s="498">
        <v>16.78</v>
      </c>
      <c r="J706" s="499">
        <v>1.61</v>
      </c>
      <c r="K706" s="499">
        <f t="shared" si="193"/>
        <v>5032.3900000000003</v>
      </c>
      <c r="L706" s="497"/>
      <c r="M706" s="499"/>
    </row>
    <row r="707" spans="1:13" x14ac:dyDescent="0.25">
      <c r="A707" s="497"/>
      <c r="B707" s="545">
        <v>42653</v>
      </c>
      <c r="C707" s="497">
        <v>6</v>
      </c>
      <c r="D707" s="498">
        <v>15.72</v>
      </c>
      <c r="E707" s="499">
        <v>0</v>
      </c>
      <c r="F707" s="499">
        <f t="shared" si="194"/>
        <v>94.320000000000007</v>
      </c>
      <c r="G707" s="496">
        <v>42704</v>
      </c>
      <c r="H707" s="513">
        <v>1000</v>
      </c>
      <c r="I707" s="498">
        <v>17.079999999999998</v>
      </c>
      <c r="J707" s="499">
        <v>0.37</v>
      </c>
      <c r="K707" s="499">
        <f t="shared" si="193"/>
        <v>17079.63</v>
      </c>
      <c r="L707" s="497"/>
      <c r="M707" s="499"/>
    </row>
    <row r="708" spans="1:13" x14ac:dyDescent="0.25">
      <c r="A708" s="497"/>
      <c r="B708" s="545">
        <v>42655</v>
      </c>
      <c r="C708" s="497">
        <v>22</v>
      </c>
      <c r="D708" s="498">
        <v>15.48</v>
      </c>
      <c r="E708" s="499">
        <v>0</v>
      </c>
      <c r="F708" s="499">
        <f>C708*D708+E708</f>
        <v>340.56</v>
      </c>
      <c r="G708" s="496">
        <v>42704</v>
      </c>
      <c r="H708" s="513">
        <v>1000</v>
      </c>
      <c r="I708" s="498">
        <v>17.32</v>
      </c>
      <c r="J708" s="499">
        <v>0.38</v>
      </c>
      <c r="K708" s="499">
        <f t="shared" si="193"/>
        <v>17319.62</v>
      </c>
      <c r="L708" s="497"/>
      <c r="M708" s="499"/>
    </row>
    <row r="709" spans="1:13" x14ac:dyDescent="0.25">
      <c r="A709" s="497"/>
      <c r="B709" s="545">
        <v>42655</v>
      </c>
      <c r="C709" s="497">
        <v>300</v>
      </c>
      <c r="D709" s="498">
        <v>15.48</v>
      </c>
      <c r="E709" s="499">
        <v>0</v>
      </c>
      <c r="F709" s="499">
        <f>C709*D709+E709</f>
        <v>4644</v>
      </c>
      <c r="G709" s="496">
        <v>42704</v>
      </c>
      <c r="H709" s="513">
        <v>500</v>
      </c>
      <c r="I709" s="498">
        <v>17.64</v>
      </c>
      <c r="J709" s="499">
        <v>0.19</v>
      </c>
      <c r="K709" s="499">
        <f t="shared" si="193"/>
        <v>8819.81</v>
      </c>
      <c r="L709" s="497"/>
      <c r="M709" s="499"/>
    </row>
    <row r="710" spans="1:13" x14ac:dyDescent="0.25">
      <c r="A710" s="600"/>
      <c r="B710" s="545">
        <v>42668</v>
      </c>
      <c r="C710" s="497">
        <v>500</v>
      </c>
      <c r="D710" s="498">
        <v>14.26</v>
      </c>
      <c r="E710" s="499">
        <v>-2.5</v>
      </c>
      <c r="F710" s="499">
        <f t="shared" ref="F710:F719" si="195">C710*D710+E710</f>
        <v>7127.5</v>
      </c>
      <c r="G710" s="496">
        <v>42705</v>
      </c>
      <c r="H710" s="513">
        <v>528</v>
      </c>
      <c r="I710" s="498">
        <v>18.7</v>
      </c>
      <c r="J710" s="499">
        <v>0.22</v>
      </c>
      <c r="K710" s="499">
        <f t="shared" si="193"/>
        <v>9873.380000000001</v>
      </c>
      <c r="L710" s="497"/>
      <c r="M710" s="499"/>
    </row>
    <row r="711" spans="1:13" x14ac:dyDescent="0.25">
      <c r="A711" s="600"/>
      <c r="B711" s="545">
        <v>42668</v>
      </c>
      <c r="C711" s="497">
        <v>500</v>
      </c>
      <c r="D711" s="498">
        <v>14.16</v>
      </c>
      <c r="E711" s="499">
        <v>0</v>
      </c>
      <c r="F711" s="499">
        <f t="shared" si="195"/>
        <v>7080</v>
      </c>
      <c r="G711" s="496">
        <v>42711</v>
      </c>
      <c r="H711" s="513">
        <v>500</v>
      </c>
      <c r="I711" s="498">
        <v>18.329999999999998</v>
      </c>
      <c r="J711" s="499">
        <v>0.2</v>
      </c>
      <c r="K711" s="499">
        <f t="shared" si="193"/>
        <v>9164.7999999999993</v>
      </c>
      <c r="L711" s="497"/>
      <c r="M711" s="499"/>
    </row>
    <row r="712" spans="1:13" x14ac:dyDescent="0.25">
      <c r="A712" s="600"/>
      <c r="B712" s="545">
        <v>42670</v>
      </c>
      <c r="C712" s="497">
        <v>500</v>
      </c>
      <c r="D712" s="498">
        <v>14.18</v>
      </c>
      <c r="E712" s="499">
        <v>0</v>
      </c>
      <c r="F712" s="499">
        <f t="shared" si="195"/>
        <v>7090</v>
      </c>
      <c r="G712" s="496">
        <v>42713</v>
      </c>
      <c r="H712" s="513">
        <v>500</v>
      </c>
      <c r="I712" s="498">
        <v>18.28</v>
      </c>
      <c r="J712" s="499">
        <v>0.2</v>
      </c>
      <c r="K712" s="499">
        <f t="shared" si="193"/>
        <v>9139.7999999999993</v>
      </c>
      <c r="L712" s="497"/>
      <c r="M712" s="499"/>
    </row>
    <row r="713" spans="1:13" x14ac:dyDescent="0.25">
      <c r="A713" s="600"/>
      <c r="B713" s="545">
        <v>42670</v>
      </c>
      <c r="C713" s="497">
        <v>500</v>
      </c>
      <c r="D713" s="498">
        <v>14.05</v>
      </c>
      <c r="E713" s="499">
        <v>0</v>
      </c>
      <c r="F713" s="499">
        <f t="shared" si="195"/>
        <v>7025</v>
      </c>
      <c r="G713" s="496">
        <v>42718</v>
      </c>
      <c r="H713" s="513">
        <v>200</v>
      </c>
      <c r="I713" s="498">
        <v>18.78</v>
      </c>
      <c r="J713" s="499">
        <v>0.08</v>
      </c>
      <c r="K713" s="499">
        <f t="shared" si="193"/>
        <v>3755.92</v>
      </c>
      <c r="L713" s="497"/>
      <c r="M713" s="499"/>
    </row>
    <row r="714" spans="1:13" x14ac:dyDescent="0.25">
      <c r="A714" s="600"/>
      <c r="B714" s="545">
        <v>42670</v>
      </c>
      <c r="C714" s="497">
        <v>500</v>
      </c>
      <c r="D714" s="498">
        <v>13.88</v>
      </c>
      <c r="E714" s="499">
        <v>0</v>
      </c>
      <c r="F714" s="499">
        <f t="shared" si="195"/>
        <v>6940</v>
      </c>
      <c r="G714" s="496">
        <v>42734</v>
      </c>
      <c r="H714" s="513">
        <v>1000</v>
      </c>
      <c r="I714" s="498">
        <v>17.72</v>
      </c>
      <c r="J714" s="499">
        <v>0.39</v>
      </c>
      <c r="K714" s="499">
        <f t="shared" si="193"/>
        <v>17719.61</v>
      </c>
      <c r="L714" s="497"/>
      <c r="M714" s="499"/>
    </row>
    <row r="715" spans="1:13" x14ac:dyDescent="0.25">
      <c r="A715" s="497"/>
      <c r="B715" s="545">
        <v>42671</v>
      </c>
      <c r="C715" s="497">
        <v>1000</v>
      </c>
      <c r="D715" s="498">
        <v>14.15</v>
      </c>
      <c r="E715" s="499">
        <v>0</v>
      </c>
      <c r="F715" s="499">
        <f t="shared" si="195"/>
        <v>14150</v>
      </c>
      <c r="G715" s="496">
        <v>42739</v>
      </c>
      <c r="H715" s="513">
        <v>500</v>
      </c>
      <c r="I715" s="498">
        <v>18.079999999999998</v>
      </c>
      <c r="J715" s="499">
        <v>0.2</v>
      </c>
      <c r="K715" s="499">
        <f t="shared" si="193"/>
        <v>9039.7999999999993</v>
      </c>
      <c r="L715" s="497"/>
      <c r="M715" s="499"/>
    </row>
    <row r="716" spans="1:13" x14ac:dyDescent="0.25">
      <c r="A716" s="497"/>
      <c r="B716" s="545">
        <v>42674</v>
      </c>
      <c r="C716" s="497">
        <v>300</v>
      </c>
      <c r="D716" s="498">
        <v>13.28</v>
      </c>
      <c r="E716" s="499">
        <v>-1.5</v>
      </c>
      <c r="F716" s="499">
        <f t="shared" si="195"/>
        <v>3982.5</v>
      </c>
      <c r="G716" s="496">
        <v>42748</v>
      </c>
      <c r="H716" s="513">
        <v>500</v>
      </c>
      <c r="I716" s="498">
        <v>17.48</v>
      </c>
      <c r="J716" s="499">
        <v>0.19</v>
      </c>
      <c r="K716" s="499">
        <f t="shared" si="193"/>
        <v>8739.81</v>
      </c>
      <c r="L716" s="497"/>
      <c r="M716" s="499"/>
    </row>
    <row r="717" spans="1:13" x14ac:dyDescent="0.25">
      <c r="A717" s="497"/>
      <c r="B717" s="545">
        <v>42674</v>
      </c>
      <c r="C717" s="497">
        <v>200</v>
      </c>
      <c r="D717" s="498">
        <v>13.15</v>
      </c>
      <c r="E717" s="499">
        <v>0.02</v>
      </c>
      <c r="F717" s="499">
        <f t="shared" si="195"/>
        <v>2630.02</v>
      </c>
      <c r="G717" s="496">
        <v>42761</v>
      </c>
      <c r="H717" s="513">
        <v>1000</v>
      </c>
      <c r="I717" s="498">
        <v>17.899999999999999</v>
      </c>
      <c r="J717" s="499">
        <v>0.39</v>
      </c>
      <c r="K717" s="499">
        <f t="shared" si="193"/>
        <v>17899.61</v>
      </c>
      <c r="L717" s="497"/>
      <c r="M717" s="499"/>
    </row>
    <row r="718" spans="1:13" x14ac:dyDescent="0.25">
      <c r="A718" s="497"/>
      <c r="B718" s="545">
        <v>42676</v>
      </c>
      <c r="C718" s="497">
        <v>200</v>
      </c>
      <c r="D718" s="498">
        <v>12.89</v>
      </c>
      <c r="E718" s="499">
        <v>0</v>
      </c>
      <c r="F718" s="499">
        <f t="shared" si="195"/>
        <v>2578</v>
      </c>
      <c r="G718" s="496">
        <v>42766</v>
      </c>
      <c r="H718" s="513">
        <v>300</v>
      </c>
      <c r="I718" s="498">
        <v>16.649999999999999</v>
      </c>
      <c r="J718" s="499">
        <v>0.11</v>
      </c>
      <c r="K718" s="499">
        <f t="shared" si="193"/>
        <v>4994.8900000000003</v>
      </c>
      <c r="L718" s="497"/>
      <c r="M718" s="499"/>
    </row>
    <row r="719" spans="1:13" x14ac:dyDescent="0.25">
      <c r="A719" s="497"/>
      <c r="B719" s="545">
        <v>42678</v>
      </c>
      <c r="C719" s="497">
        <v>500</v>
      </c>
      <c r="D719" s="498">
        <v>13.69</v>
      </c>
      <c r="E719" s="499">
        <v>0</v>
      </c>
      <c r="F719" s="499">
        <f t="shared" si="195"/>
        <v>6845</v>
      </c>
      <c r="G719" s="496">
        <v>42767</v>
      </c>
      <c r="H719" s="513">
        <v>612</v>
      </c>
      <c r="I719" s="498">
        <v>17.03</v>
      </c>
      <c r="J719" s="499">
        <v>0.23</v>
      </c>
      <c r="K719" s="499">
        <f t="shared" si="193"/>
        <v>10422.130000000001</v>
      </c>
      <c r="L719" s="497"/>
      <c r="M719" s="499"/>
    </row>
    <row r="720" spans="1:13" x14ac:dyDescent="0.25">
      <c r="A720" s="497"/>
      <c r="B720" s="545">
        <v>42678</v>
      </c>
      <c r="C720" s="497">
        <v>500</v>
      </c>
      <c r="D720" s="498">
        <v>13.69</v>
      </c>
      <c r="E720" s="499">
        <v>0</v>
      </c>
      <c r="F720" s="499">
        <f>C720*D720+E720</f>
        <v>6845</v>
      </c>
      <c r="G720" s="496">
        <v>42767</v>
      </c>
      <c r="H720" s="513">
        <v>288</v>
      </c>
      <c r="I720" s="498">
        <v>17.12</v>
      </c>
      <c r="J720" s="499">
        <v>0.11</v>
      </c>
      <c r="K720" s="499">
        <f t="shared" si="193"/>
        <v>4930.4500000000007</v>
      </c>
      <c r="L720" s="497"/>
      <c r="M720" s="499"/>
    </row>
    <row r="721" spans="1:13" x14ac:dyDescent="0.25">
      <c r="A721" s="497"/>
      <c r="B721" s="545">
        <v>42691</v>
      </c>
      <c r="C721" s="497">
        <v>150</v>
      </c>
      <c r="D721" s="498">
        <v>15.48</v>
      </c>
      <c r="E721" s="499">
        <v>0</v>
      </c>
      <c r="F721" s="499">
        <f t="shared" ref="F721:F737" si="196">C721*D721+E721</f>
        <v>2322</v>
      </c>
      <c r="G721" s="496">
        <v>42767</v>
      </c>
      <c r="H721" s="513">
        <v>700</v>
      </c>
      <c r="I721" s="498">
        <v>16.57</v>
      </c>
      <c r="J721" s="499">
        <v>0.25</v>
      </c>
      <c r="K721" s="499">
        <f t="shared" si="193"/>
        <v>11598.75</v>
      </c>
      <c r="L721" s="497"/>
      <c r="M721" s="499"/>
    </row>
    <row r="722" spans="1:13" x14ac:dyDescent="0.25">
      <c r="A722" s="497"/>
      <c r="B722" s="545">
        <v>42691</v>
      </c>
      <c r="C722" s="497">
        <v>300</v>
      </c>
      <c r="D722" s="498">
        <v>15.48</v>
      </c>
      <c r="E722" s="499">
        <v>0</v>
      </c>
      <c r="F722" s="499">
        <f t="shared" si="196"/>
        <v>4644</v>
      </c>
      <c r="G722" s="496">
        <v>42768</v>
      </c>
      <c r="H722" s="513">
        <v>200</v>
      </c>
      <c r="I722" s="498">
        <v>16.7</v>
      </c>
      <c r="J722" s="499">
        <v>7.0000000000000007E-2</v>
      </c>
      <c r="K722" s="499">
        <f t="shared" si="193"/>
        <v>3339.93</v>
      </c>
      <c r="L722" s="497"/>
      <c r="M722" s="499"/>
    </row>
    <row r="723" spans="1:13" x14ac:dyDescent="0.25">
      <c r="A723" s="497"/>
      <c r="B723" s="545">
        <v>42696</v>
      </c>
      <c r="C723" s="497">
        <v>1000</v>
      </c>
      <c r="D723" s="498">
        <v>16.12</v>
      </c>
      <c r="E723" s="499">
        <v>0</v>
      </c>
      <c r="F723" s="499">
        <f t="shared" si="196"/>
        <v>16120.000000000002</v>
      </c>
      <c r="G723" s="496">
        <v>42768</v>
      </c>
      <c r="H723" s="513">
        <v>500</v>
      </c>
      <c r="I723" s="498">
        <v>16.600000000000001</v>
      </c>
      <c r="J723" s="499">
        <v>-1.82</v>
      </c>
      <c r="K723" s="499">
        <f t="shared" si="193"/>
        <v>8301.82</v>
      </c>
      <c r="L723" s="497"/>
      <c r="M723" s="499"/>
    </row>
    <row r="724" spans="1:13" x14ac:dyDescent="0.25">
      <c r="A724" s="497"/>
      <c r="B724" s="545">
        <v>42699</v>
      </c>
      <c r="C724" s="497">
        <v>200</v>
      </c>
      <c r="D724" s="498">
        <v>16.28</v>
      </c>
      <c r="E724" s="499">
        <v>0</v>
      </c>
      <c r="F724" s="499">
        <f t="shared" si="196"/>
        <v>3256</v>
      </c>
      <c r="G724" s="496">
        <v>42768</v>
      </c>
      <c r="H724" s="513">
        <v>500</v>
      </c>
      <c r="I724" s="498">
        <v>16.75</v>
      </c>
      <c r="J724" s="499">
        <v>0.18</v>
      </c>
      <c r="K724" s="499">
        <f t="shared" si="193"/>
        <v>8374.82</v>
      </c>
      <c r="L724" s="497"/>
      <c r="M724" s="499"/>
    </row>
    <row r="725" spans="1:13" x14ac:dyDescent="0.25">
      <c r="A725" s="600"/>
      <c r="B725" s="545">
        <v>42699</v>
      </c>
      <c r="C725" s="497">
        <v>500</v>
      </c>
      <c r="D725" s="498">
        <v>16.16</v>
      </c>
      <c r="E725" s="499">
        <v>0</v>
      </c>
      <c r="F725" s="499">
        <f t="shared" si="196"/>
        <v>8080</v>
      </c>
      <c r="G725" s="496">
        <v>42769</v>
      </c>
      <c r="H725" s="601">
        <v>400</v>
      </c>
      <c r="I725" s="602">
        <v>16.95</v>
      </c>
      <c r="J725" s="603">
        <v>0.15</v>
      </c>
      <c r="K725" s="603">
        <f t="shared" si="193"/>
        <v>6779.85</v>
      </c>
      <c r="L725" s="497"/>
      <c r="M725" s="499"/>
    </row>
    <row r="726" spans="1:13" x14ac:dyDescent="0.25">
      <c r="A726" s="600"/>
      <c r="B726" s="545">
        <v>42702</v>
      </c>
      <c r="C726" s="497">
        <v>500</v>
      </c>
      <c r="D726" s="498">
        <v>16.059999999999999</v>
      </c>
      <c r="E726" s="499">
        <v>0</v>
      </c>
      <c r="F726" s="499">
        <f t="shared" si="196"/>
        <v>8029.9999999999991</v>
      </c>
      <c r="G726" s="496">
        <v>42769</v>
      </c>
      <c r="H726" s="601">
        <v>300</v>
      </c>
      <c r="I726" s="602">
        <v>17.32</v>
      </c>
      <c r="J726" s="603">
        <v>0.11</v>
      </c>
      <c r="K726" s="603">
        <f t="shared" si="193"/>
        <v>5195.8900000000003</v>
      </c>
      <c r="L726" s="497"/>
      <c r="M726" s="499"/>
    </row>
    <row r="727" spans="1:13" x14ac:dyDescent="0.25">
      <c r="A727" s="600"/>
      <c r="B727" s="545">
        <v>42702</v>
      </c>
      <c r="C727" s="497">
        <v>200</v>
      </c>
      <c r="D727" s="498">
        <v>15.8</v>
      </c>
      <c r="E727" s="499">
        <v>0</v>
      </c>
      <c r="F727" s="499">
        <f t="shared" si="196"/>
        <v>3160</v>
      </c>
      <c r="G727" s="496">
        <v>42781</v>
      </c>
      <c r="H727" s="513">
        <v>600</v>
      </c>
      <c r="I727" s="498">
        <v>16.52</v>
      </c>
      <c r="J727" s="499">
        <v>0.22</v>
      </c>
      <c r="K727" s="499">
        <f t="shared" si="193"/>
        <v>9911.7800000000007</v>
      </c>
      <c r="L727" s="497"/>
      <c r="M727" s="499"/>
    </row>
    <row r="728" spans="1:13" x14ac:dyDescent="0.25">
      <c r="A728" s="600"/>
      <c r="B728" s="545">
        <v>42702</v>
      </c>
      <c r="C728" s="497">
        <v>300</v>
      </c>
      <c r="D728" s="498">
        <v>15.65</v>
      </c>
      <c r="E728" s="499">
        <v>0</v>
      </c>
      <c r="F728" s="499">
        <f t="shared" si="196"/>
        <v>4695</v>
      </c>
      <c r="G728" s="496">
        <v>42781</v>
      </c>
      <c r="H728" s="513">
        <v>300</v>
      </c>
      <c r="I728" s="498">
        <v>16.440000000000001</v>
      </c>
      <c r="J728" s="499">
        <v>0.11</v>
      </c>
      <c r="K728" s="499">
        <f t="shared" si="193"/>
        <v>4931.8900000000003</v>
      </c>
      <c r="L728" s="497"/>
      <c r="M728" s="499"/>
    </row>
    <row r="729" spans="1:13" x14ac:dyDescent="0.25">
      <c r="A729" s="497"/>
      <c r="B729" s="545">
        <v>42703</v>
      </c>
      <c r="C729" s="497">
        <v>300</v>
      </c>
      <c r="D729" s="498">
        <v>14.78</v>
      </c>
      <c r="E729" s="499">
        <v>0</v>
      </c>
      <c r="F729" s="499">
        <f t="shared" si="196"/>
        <v>4434</v>
      </c>
      <c r="G729" s="496">
        <v>42782</v>
      </c>
      <c r="H729" s="513">
        <v>300</v>
      </c>
      <c r="I729" s="498">
        <v>17</v>
      </c>
      <c r="J729" s="499">
        <v>0.11</v>
      </c>
      <c r="K729" s="499">
        <f t="shared" si="193"/>
        <v>5099.8900000000003</v>
      </c>
      <c r="L729" s="497"/>
      <c r="M729" s="499"/>
    </row>
    <row r="730" spans="1:13" x14ac:dyDescent="0.25">
      <c r="A730" s="497"/>
      <c r="B730" s="545">
        <v>42705</v>
      </c>
      <c r="C730" s="497">
        <v>350</v>
      </c>
      <c r="D730" s="498">
        <v>17.600000000000001</v>
      </c>
      <c r="E730" s="499">
        <v>0</v>
      </c>
      <c r="F730" s="499">
        <f t="shared" si="196"/>
        <v>6160.0000000000009</v>
      </c>
      <c r="G730" s="497"/>
      <c r="H730" s="513"/>
      <c r="I730" s="498"/>
      <c r="J730" s="499"/>
      <c r="K730" s="499"/>
      <c r="L730" s="497"/>
      <c r="M730" s="499"/>
    </row>
    <row r="731" spans="1:13" x14ac:dyDescent="0.25">
      <c r="A731" s="497"/>
      <c r="B731" s="545">
        <v>42711</v>
      </c>
      <c r="C731" s="497">
        <v>500</v>
      </c>
      <c r="D731" s="498">
        <v>18.12</v>
      </c>
      <c r="E731" s="499">
        <v>0</v>
      </c>
      <c r="F731" s="499">
        <f t="shared" si="196"/>
        <v>9060</v>
      </c>
      <c r="G731" s="497"/>
      <c r="H731" s="513"/>
      <c r="I731" s="498"/>
      <c r="J731" s="499"/>
      <c r="K731" s="499"/>
      <c r="L731" s="497"/>
      <c r="M731" s="499"/>
    </row>
    <row r="732" spans="1:13" x14ac:dyDescent="0.25">
      <c r="A732" s="497"/>
      <c r="B732" s="545">
        <v>42713</v>
      </c>
      <c r="C732" s="497">
        <v>500</v>
      </c>
      <c r="D732" s="498">
        <v>18.12</v>
      </c>
      <c r="E732" s="499">
        <v>0</v>
      </c>
      <c r="F732" s="499">
        <f t="shared" si="196"/>
        <v>9060</v>
      </c>
      <c r="G732" s="497"/>
      <c r="H732" s="513"/>
      <c r="I732" s="498"/>
      <c r="J732" s="499"/>
      <c r="K732" s="499"/>
      <c r="L732" s="497"/>
      <c r="M732" s="499"/>
    </row>
    <row r="733" spans="1:13" x14ac:dyDescent="0.25">
      <c r="A733" s="497"/>
      <c r="B733" s="545">
        <v>42718</v>
      </c>
      <c r="C733" s="497">
        <v>200</v>
      </c>
      <c r="D733" s="498">
        <v>18.73</v>
      </c>
      <c r="E733" s="499">
        <v>-1</v>
      </c>
      <c r="F733" s="499">
        <f t="shared" si="196"/>
        <v>3745</v>
      </c>
      <c r="G733" s="497"/>
      <c r="H733" s="513"/>
      <c r="I733" s="498"/>
      <c r="J733" s="499"/>
      <c r="K733" s="499"/>
      <c r="L733" s="497"/>
      <c r="M733" s="499"/>
    </row>
    <row r="734" spans="1:13" x14ac:dyDescent="0.25">
      <c r="A734" s="497"/>
      <c r="B734" s="545">
        <v>42733</v>
      </c>
      <c r="C734" s="497">
        <v>1000</v>
      </c>
      <c r="D734" s="498">
        <v>17.64</v>
      </c>
      <c r="E734" s="499">
        <v>-1.5</v>
      </c>
      <c r="F734" s="499">
        <f t="shared" si="196"/>
        <v>17638.5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42734</v>
      </c>
      <c r="C735" s="497">
        <v>1000</v>
      </c>
      <c r="D735" s="498">
        <v>17.329999999999998</v>
      </c>
      <c r="E735" s="499">
        <v>0</v>
      </c>
      <c r="F735" s="499">
        <f t="shared" si="196"/>
        <v>17330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42741</v>
      </c>
      <c r="C736" s="497">
        <v>500</v>
      </c>
      <c r="D736" s="498">
        <v>17.88</v>
      </c>
      <c r="E736" s="499">
        <v>0</v>
      </c>
      <c r="F736" s="499">
        <f t="shared" si="196"/>
        <v>8940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42748</v>
      </c>
      <c r="C737" s="497">
        <v>500</v>
      </c>
      <c r="D737" s="498">
        <v>17.260000000000002</v>
      </c>
      <c r="E737" s="499">
        <v>0</v>
      </c>
      <c r="F737" s="499">
        <f t="shared" si="196"/>
        <v>8630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/>
      <c r="C738" s="497"/>
      <c r="D738" s="498"/>
      <c r="E738" s="499"/>
      <c r="F738" s="499"/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/>
      <c r="C739" s="497"/>
      <c r="D739" s="498"/>
      <c r="E739" s="499"/>
      <c r="F739" s="499"/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599"/>
      <c r="B740" s="545"/>
      <c r="C740" s="497"/>
      <c r="D740" s="498"/>
      <c r="E740" s="499"/>
      <c r="F740" s="499"/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599"/>
      <c r="B741" s="545"/>
      <c r="C741" s="497"/>
      <c r="D741" s="498"/>
      <c r="E741" s="499"/>
      <c r="F741" s="499"/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599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599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497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497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497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497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515" t="s">
        <v>81</v>
      </c>
      <c r="B761" s="604"/>
      <c r="C761" s="538">
        <f>SUM(C500:C760)</f>
        <v>133812</v>
      </c>
      <c r="D761" s="517"/>
      <c r="E761" s="517"/>
      <c r="F761" s="517">
        <f>SUM(F500:F760)</f>
        <v>1899450.8389999999</v>
      </c>
      <c r="G761" s="516"/>
      <c r="H761" s="538">
        <f>SUM(H500:H760)</f>
        <v>133812</v>
      </c>
      <c r="I761" s="605"/>
      <c r="J761" s="517"/>
      <c r="K761" s="517">
        <f>SUM(K500:K760)</f>
        <v>1911314.2100000016</v>
      </c>
      <c r="L761" s="516"/>
      <c r="M761" s="517">
        <f>SUM(M500:M510)</f>
        <v>2752.2000000000003</v>
      </c>
    </row>
    <row r="762" spans="1:13" ht="15.75" thickBot="1" x14ac:dyDescent="0.3">
      <c r="A762" s="518" t="s">
        <v>193</v>
      </c>
      <c r="B762" s="606"/>
      <c r="C762" s="520">
        <f>SumByColor($A$91, C500:C760)</f>
        <v>0</v>
      </c>
      <c r="D762" s="520"/>
      <c r="E762" s="520"/>
      <c r="F762" s="521">
        <f>SumByColor($A$91, F500:F760)</f>
        <v>0</v>
      </c>
      <c r="G762" s="520"/>
      <c r="H762" s="520">
        <f>SumByColor($A$91, H500:H760)</f>
        <v>0</v>
      </c>
      <c r="I762" s="520"/>
      <c r="J762" s="521"/>
      <c r="K762" s="521">
        <f>SumByColor($A$91, K500:K760)</f>
        <v>0</v>
      </c>
      <c r="L762" s="520"/>
      <c r="M762" s="521">
        <f>SumByColor($A$91, M500:M760)</f>
        <v>0</v>
      </c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</sheetData>
  <mergeCells count="1">
    <mergeCell ref="O23:P23"/>
  </mergeCells>
  <conditionalFormatting sqref="F246:F264 H246:H264 H399 F399 H470:H494 F470:F494 K103:K201 F113:F202 H113:H202 K210 K235:K236 H235:H236 F235:F236">
    <cfRule type="expression" dxfId="2057" priority="141">
      <formula>F103&gt;0</formula>
    </cfRule>
    <cfRule type="expression" dxfId="2056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55" priority="134">
      <formula>F239&gt;0</formula>
    </cfRule>
    <cfRule type="expression" dxfId="2054" priority="135">
      <formula>F239&lt;0</formula>
    </cfRule>
  </conditionalFormatting>
  <conditionalFormatting sqref="H239:H245">
    <cfRule type="expression" dxfId="2053" priority="130">
      <formula>H239&gt;0</formula>
    </cfRule>
    <cfRule type="expression" dxfId="2052" priority="131">
      <formula>H239&lt;0</formula>
    </cfRule>
  </conditionalFormatting>
  <conditionalFormatting sqref="Q8">
    <cfRule type="expression" dxfId="2051" priority="116">
      <formula>Q8&gt;0</formula>
    </cfRule>
    <cfRule type="expression" dxfId="2050" priority="117">
      <formula>Q8&lt;0</formula>
    </cfRule>
  </conditionalFormatting>
  <conditionalFormatting sqref="Q7">
    <cfRule type="expression" dxfId="2049" priority="118">
      <formula>Q7&gt;0</formula>
    </cfRule>
    <cfRule type="expression" dxfId="2048" priority="119">
      <formula>Q7&lt;0</formula>
    </cfRule>
  </conditionalFormatting>
  <conditionalFormatting sqref="F347:F353">
    <cfRule type="expression" dxfId="2047" priority="90">
      <formula>F347&gt;0</formula>
    </cfRule>
    <cfRule type="expression" dxfId="2046" priority="91">
      <formula>F347&lt;0</formula>
    </cfRule>
  </conditionalFormatting>
  <conditionalFormatting sqref="F272:F290 H272:H290">
    <cfRule type="expression" dxfId="2045" priority="112">
      <formula>F272&gt;0</formula>
    </cfRule>
    <cfRule type="expression" dxfId="2044" priority="113">
      <formula>F272&lt;0</formula>
    </cfRule>
  </conditionalFormatting>
  <conditionalFormatting sqref="F265:F271">
    <cfRule type="expression" dxfId="2043" priority="110">
      <formula>F265&gt;0</formula>
    </cfRule>
    <cfRule type="expression" dxfId="2042" priority="111">
      <formula>F265&lt;0</formula>
    </cfRule>
  </conditionalFormatting>
  <conditionalFormatting sqref="H265:H271">
    <cfRule type="expression" dxfId="2041" priority="108">
      <formula>H265&gt;0</formula>
    </cfRule>
    <cfRule type="expression" dxfId="2040" priority="109">
      <formula>H265&lt;0</formula>
    </cfRule>
  </conditionalFormatting>
  <conditionalFormatting sqref="F298:F316 H298:H316">
    <cfRule type="expression" dxfId="2039" priority="106">
      <formula>F298&gt;0</formula>
    </cfRule>
    <cfRule type="expression" dxfId="2038" priority="107">
      <formula>F298&lt;0</formula>
    </cfRule>
  </conditionalFormatting>
  <conditionalFormatting sqref="F291:F297">
    <cfRule type="expression" dxfId="2037" priority="104">
      <formula>F291&gt;0</formula>
    </cfRule>
    <cfRule type="expression" dxfId="2036" priority="105">
      <formula>F291&lt;0</formula>
    </cfRule>
  </conditionalFormatting>
  <conditionalFormatting sqref="H291:H297">
    <cfRule type="expression" dxfId="2035" priority="102">
      <formula>H291&gt;0</formula>
    </cfRule>
    <cfRule type="expression" dxfId="2034" priority="103">
      <formula>H291&lt;0</formula>
    </cfRule>
  </conditionalFormatting>
  <conditionalFormatting sqref="F324:F341 H324:H341">
    <cfRule type="expression" dxfId="2033" priority="100">
      <formula>F324&gt;0</formula>
    </cfRule>
    <cfRule type="expression" dxfId="2032" priority="101">
      <formula>F324&lt;0</formula>
    </cfRule>
  </conditionalFormatting>
  <conditionalFormatting sqref="F317:F323">
    <cfRule type="expression" dxfId="2031" priority="98">
      <formula>F317&gt;0</formula>
    </cfRule>
    <cfRule type="expression" dxfId="2030" priority="99">
      <formula>F317&lt;0</formula>
    </cfRule>
  </conditionalFormatting>
  <conditionalFormatting sqref="H317:H323">
    <cfRule type="expression" dxfId="2029" priority="96">
      <formula>H317&gt;0</formula>
    </cfRule>
    <cfRule type="expression" dxfId="2028" priority="97">
      <formula>H317&lt;0</formula>
    </cfRule>
  </conditionalFormatting>
  <conditionalFormatting sqref="F342:F346 H342:H346">
    <cfRule type="expression" dxfId="2027" priority="94">
      <formula>F342&gt;0</formula>
    </cfRule>
    <cfRule type="expression" dxfId="2026" priority="95">
      <formula>F342&lt;0</formula>
    </cfRule>
  </conditionalFormatting>
  <conditionalFormatting sqref="F354:F369 H354:H369">
    <cfRule type="expression" dxfId="2025" priority="92">
      <formula>F354&gt;0</formula>
    </cfRule>
    <cfRule type="expression" dxfId="2024" priority="93">
      <formula>F354&lt;0</formula>
    </cfRule>
  </conditionalFormatting>
  <conditionalFormatting sqref="H347:H353">
    <cfRule type="expression" dxfId="2023" priority="88">
      <formula>H347&gt;0</formula>
    </cfRule>
    <cfRule type="expression" dxfId="2022" priority="89">
      <formula>H347&lt;0</formula>
    </cfRule>
  </conditionalFormatting>
  <conditionalFormatting sqref="F370 H370">
    <cfRule type="expression" dxfId="2021" priority="86">
      <formula>F370&gt;0</formula>
    </cfRule>
    <cfRule type="expression" dxfId="2020" priority="87">
      <formula>F370&lt;0</formula>
    </cfRule>
  </conditionalFormatting>
  <conditionalFormatting sqref="F371:F375 H371:H375">
    <cfRule type="expression" dxfId="2019" priority="84">
      <formula>F371&gt;0</formula>
    </cfRule>
    <cfRule type="expression" dxfId="2018" priority="85">
      <formula>F371&lt;0</formula>
    </cfRule>
  </conditionalFormatting>
  <conditionalFormatting sqref="F383:F398 H383:H398">
    <cfRule type="expression" dxfId="2017" priority="82">
      <formula>F383&gt;0</formula>
    </cfRule>
    <cfRule type="expression" dxfId="2016" priority="83">
      <formula>F383&lt;0</formula>
    </cfRule>
  </conditionalFormatting>
  <conditionalFormatting sqref="F376:F382">
    <cfRule type="expression" dxfId="2015" priority="80">
      <formula>F376&gt;0</formula>
    </cfRule>
    <cfRule type="expression" dxfId="2014" priority="81">
      <formula>F376&lt;0</formula>
    </cfRule>
  </conditionalFormatting>
  <conditionalFormatting sqref="H376:H382">
    <cfRule type="expression" dxfId="2013" priority="78">
      <formula>H376&gt;0</formula>
    </cfRule>
    <cfRule type="expression" dxfId="2012" priority="79">
      <formula>H376&lt;0</formula>
    </cfRule>
  </conditionalFormatting>
  <conditionalFormatting sqref="F400:F405 H400:H405">
    <cfRule type="expression" dxfId="2011" priority="76">
      <formula>F400&gt;0</formula>
    </cfRule>
    <cfRule type="expression" dxfId="2010" priority="77">
      <formula>F400&lt;0</formula>
    </cfRule>
  </conditionalFormatting>
  <conditionalFormatting sqref="F406 H406">
    <cfRule type="expression" dxfId="2009" priority="74">
      <formula>F406&gt;0</formula>
    </cfRule>
    <cfRule type="expression" dxfId="2008" priority="75">
      <formula>F406&lt;0</formula>
    </cfRule>
  </conditionalFormatting>
  <conditionalFormatting sqref="F407:F411 H407:H411">
    <cfRule type="expression" dxfId="2007" priority="72">
      <formula>F407&gt;0</formula>
    </cfRule>
    <cfRule type="expression" dxfId="2006" priority="73">
      <formula>F407&lt;0</formula>
    </cfRule>
  </conditionalFormatting>
  <conditionalFormatting sqref="F419:F434 H419:H434">
    <cfRule type="expression" dxfId="2005" priority="70">
      <formula>F419&gt;0</formula>
    </cfRule>
    <cfRule type="expression" dxfId="2004" priority="71">
      <formula>F419&lt;0</formula>
    </cfRule>
  </conditionalFormatting>
  <conditionalFormatting sqref="F412:F418">
    <cfRule type="expression" dxfId="2003" priority="68">
      <formula>F412&gt;0</formula>
    </cfRule>
    <cfRule type="expression" dxfId="2002" priority="69">
      <formula>F412&lt;0</formula>
    </cfRule>
  </conditionalFormatting>
  <conditionalFormatting sqref="H412:H418">
    <cfRule type="expression" dxfId="2001" priority="66">
      <formula>H412&gt;0</formula>
    </cfRule>
    <cfRule type="expression" dxfId="2000" priority="67">
      <formula>H412&lt;0</formula>
    </cfRule>
  </conditionalFormatting>
  <conditionalFormatting sqref="F435:F440 H435:H440">
    <cfRule type="expression" dxfId="1999" priority="64">
      <formula>F435&gt;0</formula>
    </cfRule>
    <cfRule type="expression" dxfId="1998" priority="65">
      <formula>F435&lt;0</formula>
    </cfRule>
  </conditionalFormatting>
  <conditionalFormatting sqref="F441 H441">
    <cfRule type="expression" dxfId="1997" priority="62">
      <formula>F441&gt;0</formula>
    </cfRule>
    <cfRule type="expression" dxfId="1996" priority="63">
      <formula>F441&lt;0</formula>
    </cfRule>
  </conditionalFormatting>
  <conditionalFormatting sqref="F442:F446 H442:H446">
    <cfRule type="expression" dxfId="1995" priority="60">
      <formula>F442&gt;0</formula>
    </cfRule>
    <cfRule type="expression" dxfId="1994" priority="61">
      <formula>F442&lt;0</formula>
    </cfRule>
  </conditionalFormatting>
  <conditionalFormatting sqref="F454:F469 H454:H469">
    <cfRule type="expression" dxfId="1993" priority="58">
      <formula>F454&gt;0</formula>
    </cfRule>
    <cfRule type="expression" dxfId="1992" priority="59">
      <formula>F454&lt;0</formula>
    </cfRule>
  </conditionalFormatting>
  <conditionalFormatting sqref="F447:F453">
    <cfRule type="expression" dxfId="1991" priority="56">
      <formula>F447&gt;0</formula>
    </cfRule>
    <cfRule type="expression" dxfId="1990" priority="57">
      <formula>F447&lt;0</formula>
    </cfRule>
  </conditionalFormatting>
  <conditionalFormatting sqref="H447:H453">
    <cfRule type="expression" dxfId="1989" priority="54">
      <formula>H447&gt;0</formula>
    </cfRule>
    <cfRule type="expression" dxfId="1988" priority="55">
      <formula>H447&lt;0</formula>
    </cfRule>
  </conditionalFormatting>
  <conditionalFormatting sqref="M498">
    <cfRule type="expression" dxfId="1987" priority="52">
      <formula>M498&gt;0</formula>
    </cfRule>
    <cfRule type="expression" dxfId="1986" priority="53">
      <formula>M498&lt;0</formula>
    </cfRule>
  </conditionalFormatting>
  <conditionalFormatting sqref="F101:F112">
    <cfRule type="expression" dxfId="1985" priority="48">
      <formula>F101&gt;0</formula>
    </cfRule>
    <cfRule type="expression" dxfId="1984" priority="49">
      <formula>F101&lt;0</formula>
    </cfRule>
  </conditionalFormatting>
  <conditionalFormatting sqref="H101:H112">
    <cfRule type="expression" dxfId="1983" priority="46">
      <formula>H101&gt;0</formula>
    </cfRule>
    <cfRule type="expression" dxfId="1982" priority="47">
      <formula>H101&lt;0</formula>
    </cfRule>
  </conditionalFormatting>
  <conditionalFormatting sqref="F95:F100 H95:H100">
    <cfRule type="expression" dxfId="1981" priority="44">
      <formula>F95&gt;0</formula>
    </cfRule>
    <cfRule type="expression" dxfId="1980" priority="45">
      <formula>F95&lt;0</formula>
    </cfRule>
  </conditionalFormatting>
  <conditionalFormatting sqref="J97:K97">
    <cfRule type="expression" dxfId="1979" priority="42">
      <formula>J97&gt;0</formula>
    </cfRule>
    <cfRule type="expression" dxfId="1978" priority="43">
      <formula>J97&lt;0</formula>
    </cfRule>
  </conditionalFormatting>
  <conditionalFormatting sqref="J98:K104">
    <cfRule type="expression" dxfId="1977" priority="40">
      <formula>J98&gt;0</formula>
    </cfRule>
    <cfRule type="expression" dxfId="1976" priority="41">
      <formula>J98&lt;0</formula>
    </cfRule>
  </conditionalFormatting>
  <conditionalFormatting sqref="L97:L179 L186 L188">
    <cfRule type="expression" dxfId="1975" priority="36">
      <formula>L97&gt;0</formula>
    </cfRule>
    <cfRule type="expression" dxfId="1974" priority="37">
      <formula>L97&lt;0</formula>
    </cfRule>
  </conditionalFormatting>
  <conditionalFormatting sqref="Q10">
    <cfRule type="expression" dxfId="1973" priority="34">
      <formula>Q10&gt;0</formula>
    </cfRule>
    <cfRule type="expression" dxfId="1972" priority="35">
      <formula>Q10&lt;0</formula>
    </cfRule>
  </conditionalFormatting>
  <conditionalFormatting sqref="K208:K209 H208:H210 F208:F210">
    <cfRule type="expression" dxfId="1971" priority="31">
      <formula>F208&gt;0</formula>
    </cfRule>
    <cfRule type="expression" dxfId="1970" priority="32">
      <formula>F208&lt;0</formula>
    </cfRule>
  </conditionalFormatting>
  <conditionalFormatting sqref="K204:K206 H204:H206 F204:F206">
    <cfRule type="expression" dxfId="1969" priority="29">
      <formula>F204&gt;0</formula>
    </cfRule>
    <cfRule type="expression" dxfId="1968" priority="30">
      <formula>F204&lt;0</formula>
    </cfRule>
  </conditionalFormatting>
  <conditionalFormatting sqref="K202:K203 H203 F203">
    <cfRule type="expression" dxfId="1967" priority="27">
      <formula>F202&gt;0</formula>
    </cfRule>
    <cfRule type="expression" dxfId="1966" priority="28">
      <formula>F202&lt;0</formula>
    </cfRule>
  </conditionalFormatting>
  <conditionalFormatting sqref="K207 H207 F207">
    <cfRule type="expression" dxfId="1965" priority="25">
      <formula>F207&gt;0</formula>
    </cfRule>
    <cfRule type="expression" dxfId="1964" priority="26">
      <formula>F207&lt;0</formula>
    </cfRule>
  </conditionalFormatting>
  <conditionalFormatting sqref="K215:K216">
    <cfRule type="expression" dxfId="1963" priority="23">
      <formula>K215&gt;0</formula>
    </cfRule>
    <cfRule type="expression" dxfId="1962" priority="24">
      <formula>K215&lt;0</formula>
    </cfRule>
  </conditionalFormatting>
  <conditionalFormatting sqref="K213:K214 H213:H216 F213:F216">
    <cfRule type="expression" dxfId="1961" priority="21">
      <formula>F213&gt;0</formula>
    </cfRule>
    <cfRule type="expression" dxfId="1960" priority="22">
      <formula>F213&lt;0</formula>
    </cfRule>
  </conditionalFormatting>
  <conditionalFormatting sqref="H211:H212 F211:F212 K211:K212">
    <cfRule type="expression" dxfId="1959" priority="19">
      <formula>F211&gt;0</formula>
    </cfRule>
    <cfRule type="expression" dxfId="1958" priority="20">
      <formula>F211&lt;0</formula>
    </cfRule>
  </conditionalFormatting>
  <conditionalFormatting sqref="K233:K234 H233:H234 F233:F234">
    <cfRule type="expression" dxfId="1957" priority="17">
      <formula>F233&gt;0</formula>
    </cfRule>
    <cfRule type="expression" dxfId="1956" priority="18">
      <formula>F233&lt;0</formula>
    </cfRule>
  </conditionalFormatting>
  <conditionalFormatting sqref="K219:K220 H219:H221 F219:F221">
    <cfRule type="expression" dxfId="1955" priority="15">
      <formula>F219&gt;0</formula>
    </cfRule>
    <cfRule type="expression" dxfId="1954" priority="16">
      <formula>F219&lt;0</formula>
    </cfRule>
  </conditionalFormatting>
  <conditionalFormatting sqref="K217:K218 H217:H218 F217:F218">
    <cfRule type="expression" dxfId="1953" priority="13">
      <formula>F217&gt;0</formula>
    </cfRule>
    <cfRule type="expression" dxfId="1952" priority="14">
      <formula>F217&lt;0</formula>
    </cfRule>
  </conditionalFormatting>
  <conditionalFormatting sqref="K231:K232 H231:H232 F231:F232">
    <cfRule type="expression" dxfId="1951" priority="11">
      <formula>F231&gt;0</formula>
    </cfRule>
    <cfRule type="expression" dxfId="1950" priority="12">
      <formula>F231&lt;0</formula>
    </cfRule>
  </conditionalFormatting>
  <conditionalFormatting sqref="K229:K230 H229:H230 F229:F230">
    <cfRule type="expression" dxfId="1949" priority="9">
      <formula>F229&gt;0</formula>
    </cfRule>
    <cfRule type="expression" dxfId="1948" priority="10">
      <formula>F229&lt;0</formula>
    </cfRule>
  </conditionalFormatting>
  <conditionalFormatting sqref="K227:K228 H227:H228 F227:F228">
    <cfRule type="expression" dxfId="1947" priority="7">
      <formula>F227&gt;0</formula>
    </cfRule>
    <cfRule type="expression" dxfId="1946" priority="8">
      <formula>F227&lt;0</formula>
    </cfRule>
  </conditionalFormatting>
  <conditionalFormatting sqref="K225:K226 H226 F226">
    <cfRule type="expression" dxfId="1945" priority="5">
      <formula>F225&gt;0</formula>
    </cfRule>
    <cfRule type="expression" dxfId="1944" priority="6">
      <formula>F225&lt;0</formula>
    </cfRule>
  </conditionalFormatting>
  <conditionalFormatting sqref="K223:K224 H223:H225 F223:F225">
    <cfRule type="expression" dxfId="1943" priority="3">
      <formula>F223&gt;0</formula>
    </cfRule>
    <cfRule type="expression" dxfId="1942" priority="4">
      <formula>F223&lt;0</formula>
    </cfRule>
  </conditionalFormatting>
  <conditionalFormatting sqref="K221:K222 H222 F222">
    <cfRule type="expression" dxfId="1941" priority="1">
      <formula>F221&gt;0</formula>
    </cfRule>
    <cfRule type="expression" dxfId="1940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1107</v>
      </c>
      <c r="Z1" s="11" t="s">
        <v>1105</v>
      </c>
      <c r="AA1" s="11" t="s">
        <v>1106</v>
      </c>
      <c r="AB1" s="11" t="s">
        <v>1108</v>
      </c>
      <c r="AC1" s="11" t="s">
        <v>1105</v>
      </c>
      <c r="AD1" s="11" t="s">
        <v>1106</v>
      </c>
      <c r="AE1" s="11" t="s">
        <v>1109</v>
      </c>
      <c r="AF1" s="11" t="s">
        <v>1105</v>
      </c>
      <c r="AG1" s="11" t="s">
        <v>1106</v>
      </c>
      <c r="AH1" s="11" t="s">
        <v>1110</v>
      </c>
      <c r="AI1" s="11" t="s">
        <v>1105</v>
      </c>
      <c r="AJ1" s="11" t="s">
        <v>1106</v>
      </c>
      <c r="AK1" s="11" t="s">
        <v>1111</v>
      </c>
      <c r="AM1" s="11" t="s">
        <v>1112</v>
      </c>
      <c r="AO1" s="11" t="s">
        <v>1113</v>
      </c>
    </row>
    <row r="2" spans="1:41" x14ac:dyDescent="0.25">
      <c r="A2" s="6" t="s">
        <v>782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6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300</v>
      </c>
      <c r="T2" s="1">
        <v>43103</v>
      </c>
      <c r="U2" t="s">
        <v>843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167</v>
      </c>
      <c r="AJ2">
        <f>$Q$2*$Q$4</f>
        <v>4194</v>
      </c>
      <c r="AK2">
        <f ca="1">AJ2*EXP(-$X$2 * AI2/365.25)</f>
        <v>4194</v>
      </c>
      <c r="AM2" s="2">
        <f>Q10</f>
        <v>0</v>
      </c>
      <c r="AO2">
        <f ca="1" xml:space="preserve"> (SUM(AB:AB) - SUM(AE:AE) - SUM(AH:AH) - SUM(AK:AK))/SUM(AB:AB)</f>
        <v>5.6689417769600563E-2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15.571933333333334</v>
      </c>
      <c r="T3" s="1"/>
      <c r="U3" t="s">
        <v>844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-43095</v>
      </c>
      <c r="AG3" s="2">
        <f t="shared" ref="AG3:AG17" si="8">M3</f>
        <v>0</v>
      </c>
      <c r="AH3">
        <f t="shared" ref="AH3:AH17" si="9">AG3*EXP(-AF3/365.25 * $X$2)</f>
        <v>0</v>
      </c>
    </row>
    <row r="4" spans="1:41" x14ac:dyDescent="0.25">
      <c r="B4" s="72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13.98</v>
      </c>
      <c r="R4" s="495">
        <v>3.5999999999999999E-3</v>
      </c>
      <c r="T4" s="156"/>
      <c r="U4" s="1" t="s">
        <v>891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-43095</v>
      </c>
      <c r="AD4" s="2">
        <f t="shared" si="5"/>
        <v>0</v>
      </c>
      <c r="AE4">
        <f t="shared" si="6"/>
        <v>0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4194</v>
      </c>
      <c r="T5" s="1">
        <v>43112</v>
      </c>
      <c r="U5" t="s">
        <v>889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-43095</v>
      </c>
      <c r="AD5" s="2">
        <f t="shared" si="5"/>
        <v>0</v>
      </c>
      <c r="AE5">
        <f t="shared" si="6"/>
        <v>0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47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4671.58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-477.57999999999993</v>
      </c>
      <c r="R7">
        <v>150</v>
      </c>
      <c r="T7" s="1">
        <v>43117</v>
      </c>
      <c r="U7" t="s">
        <v>896</v>
      </c>
      <c r="W7" s="134"/>
      <c r="Z7">
        <f t="shared" si="1"/>
        <v>-43095</v>
      </c>
      <c r="AA7" s="2">
        <f t="shared" si="2"/>
        <v>0</v>
      </c>
      <c r="AB7">
        <f t="shared" si="3"/>
        <v>0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-477.57999999999993</v>
      </c>
      <c r="U8" t="s">
        <v>897</v>
      </c>
      <c r="W8" s="134"/>
      <c r="Z8">
        <f t="shared" si="1"/>
        <v>-43095</v>
      </c>
      <c r="AA8" s="2">
        <f t="shared" si="2"/>
        <v>0</v>
      </c>
      <c r="AB8">
        <f t="shared" si="3"/>
        <v>0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-0.10223093685648109</v>
      </c>
      <c r="W9" s="134"/>
      <c r="Z9">
        <f t="shared" si="1"/>
        <v>-43095</v>
      </c>
      <c r="AA9" s="2">
        <f t="shared" si="2"/>
        <v>0</v>
      </c>
      <c r="AB9">
        <f t="shared" si="3"/>
        <v>0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208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3.4334763948497854E-2</v>
      </c>
      <c r="R11">
        <f>0.12</f>
        <v>0.12</v>
      </c>
      <c r="T11" s="824">
        <v>43124</v>
      </c>
      <c r="U11" t="s">
        <v>890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975</v>
      </c>
      <c r="Q13">
        <f>Q4/0.95</f>
        <v>14.715789473684211</v>
      </c>
      <c r="T13" s="1">
        <v>43210</v>
      </c>
      <c r="U13" t="s">
        <v>1011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1114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1118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SUM(C2:C7)</f>
        <v>550</v>
      </c>
      <c r="D18" s="18"/>
      <c r="E18" s="18"/>
      <c r="F18" s="18">
        <f>SUM(F2:F7)</f>
        <v>8424.5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3678</v>
      </c>
      <c r="G19" s="343"/>
      <c r="H19" s="343">
        <f>SumByColor($A$19,H2:H17)</f>
        <v>250</v>
      </c>
      <c r="I19" s="343"/>
      <c r="J19" s="343"/>
      <c r="K19" s="344">
        <f>SumByColor($A$19,K2:K17)</f>
        <v>3729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50" t="s">
        <v>78</v>
      </c>
      <c r="P20" s="850"/>
      <c r="W20" s="134"/>
    </row>
    <row r="21" spans="1:34" ht="15.75" thickTop="1" x14ac:dyDescent="0.25">
      <c r="O21" s="81">
        <v>1.1000000000000001</v>
      </c>
      <c r="P21" s="81">
        <f>O21*$Q$4</f>
        <v>15.378000000000002</v>
      </c>
      <c r="W21" s="134"/>
    </row>
    <row r="22" spans="1:34" x14ac:dyDescent="0.25">
      <c r="O22" s="81">
        <v>1.0900000000000001</v>
      </c>
      <c r="P22" s="81">
        <f t="shared" ref="P22:P41" si="10">O22*$Q$4</f>
        <v>15.238200000000001</v>
      </c>
      <c r="W22" s="134"/>
    </row>
    <row r="23" spans="1:34" x14ac:dyDescent="0.25">
      <c r="O23" s="81">
        <v>1.08</v>
      </c>
      <c r="P23" s="81">
        <f t="shared" si="10"/>
        <v>15.098400000000002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1.07</v>
      </c>
      <c r="P24" s="81">
        <f t="shared" si="10"/>
        <v>14.958600000000001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1">C25*(E25-D25)</f>
        <v>-3.9999999999999147</v>
      </c>
      <c r="G25" s="39">
        <f t="shared" ref="G25" si="12">D25*C25</f>
        <v>3490</v>
      </c>
      <c r="H25" s="222">
        <f t="shared" ref="H25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14.818800000000001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14">C26*(E26-D26)</f>
        <v>139.99999999999986</v>
      </c>
      <c r="G26" s="39">
        <f t="shared" ref="G26" si="15">D26*C26</f>
        <v>3490</v>
      </c>
      <c r="H26" s="222">
        <f t="shared" ref="H26" si="1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10"/>
        <v>14.679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17">C27*(E27-D27)</f>
        <v>217.99999999999997</v>
      </c>
      <c r="G27" s="39">
        <f t="shared" ref="G27" si="18">D27*C27</f>
        <v>3490</v>
      </c>
      <c r="H27" s="222">
        <f t="shared" ref="H27" si="19">(E27-D27)/D27</f>
        <v>6.246418338108882E-2</v>
      </c>
      <c r="I27" s="39"/>
      <c r="J27" s="39"/>
      <c r="K27" s="39"/>
      <c r="L27" s="155"/>
      <c r="O27" s="81">
        <v>1.04</v>
      </c>
      <c r="P27" s="81">
        <f t="shared" si="10"/>
        <v>14.539200000000001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20">C28*(E28-D28)</f>
        <v>-19.999999999999574</v>
      </c>
      <c r="G28" s="39">
        <f t="shared" ref="G28:G30" si="21">D28*C28</f>
        <v>3490</v>
      </c>
      <c r="H28" s="222">
        <f t="shared" ref="H28:H30" si="22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14.3994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20"/>
        <v>-201.9999999999996</v>
      </c>
      <c r="G29" s="39">
        <f t="shared" si="21"/>
        <v>3490</v>
      </c>
      <c r="H29" s="222">
        <f t="shared" si="22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14.259600000000001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20"/>
        <v>-668</v>
      </c>
      <c r="G30" s="39">
        <f t="shared" si="21"/>
        <v>6296</v>
      </c>
      <c r="H30" s="222">
        <f t="shared" si="22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14.1198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23">C31*(E31-D31)</f>
        <v>-1068</v>
      </c>
      <c r="G31" s="39">
        <f t="shared" ref="G31" si="24">D31*C31</f>
        <v>6296</v>
      </c>
      <c r="H31" s="222">
        <f t="shared" ref="H31" si="25">(E31-D31)/D31</f>
        <v>-0.16963151207115629</v>
      </c>
      <c r="I31" s="39"/>
      <c r="J31" s="39"/>
      <c r="K31" s="39"/>
      <c r="L31" s="155"/>
      <c r="O31" s="81">
        <v>1</v>
      </c>
      <c r="P31" s="81">
        <f t="shared" si="10"/>
        <v>13.98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26">C32*(E32-D32)</f>
        <v>-1139.9999999999998</v>
      </c>
      <c r="G32" s="39">
        <f t="shared" ref="G32" si="27">D32*C32</f>
        <v>6296</v>
      </c>
      <c r="H32" s="222">
        <f t="shared" ref="H32" si="28">(E32-D32)/D32</f>
        <v>-0.18106734434561625</v>
      </c>
      <c r="I32" s="39"/>
      <c r="J32" s="39"/>
      <c r="K32" s="39"/>
      <c r="L32" s="155"/>
      <c r="O32" s="81">
        <v>0.99</v>
      </c>
      <c r="P32" s="81">
        <f t="shared" si="10"/>
        <v>13.840200000000001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6" si="29">C33*(E33-D33)</f>
        <v>-920.00000000000023</v>
      </c>
      <c r="G33" s="39">
        <f t="shared" ref="G33:G36" si="30">D33*C33</f>
        <v>6296</v>
      </c>
      <c r="H33" s="222">
        <f t="shared" ref="H33:H36" si="31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13.7004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29"/>
        <v>-376.05000000000024</v>
      </c>
      <c r="G34" s="39">
        <f t="shared" si="30"/>
        <v>4076.05</v>
      </c>
      <c r="H34" s="222">
        <f t="shared" si="31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13.560600000000001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29"/>
        <v>-288.58500000000021</v>
      </c>
      <c r="G35" s="39">
        <f t="shared" si="30"/>
        <v>2543.085</v>
      </c>
      <c r="H35" s="222">
        <f t="shared" si="31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13.4208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29"/>
        <v>-417.56999999999994</v>
      </c>
      <c r="G36" s="39">
        <f t="shared" si="30"/>
        <v>4671.57</v>
      </c>
      <c r="H36" s="222">
        <f t="shared" si="31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13.281000000000001</v>
      </c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10"/>
        <v>13.1412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10"/>
        <v>13.0014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10"/>
        <v>12.861600000000001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10"/>
        <v>12.7218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0"/>
        <v>12.582000000000001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39" priority="25">
      <formula>F47&gt;0</formula>
    </cfRule>
    <cfRule type="expression" dxfId="1938" priority="26">
      <formula>F47&lt;0</formula>
    </cfRule>
  </conditionalFormatting>
  <conditionalFormatting sqref="Q7">
    <cfRule type="expression" dxfId="1937" priority="23">
      <formula>Q7&gt;0</formula>
    </cfRule>
    <cfRule type="expression" dxfId="1936" priority="24">
      <formula>Q7&lt;0</formula>
    </cfRule>
  </conditionalFormatting>
  <conditionalFormatting sqref="Q8">
    <cfRule type="expression" dxfId="1935" priority="21">
      <formula>Q8&gt;0</formula>
    </cfRule>
    <cfRule type="expression" dxfId="1934" priority="22">
      <formula>Q8&lt;0</formula>
    </cfRule>
  </conditionalFormatting>
  <conditionalFormatting sqref="F25:F30 F34:F46">
    <cfRule type="expression" dxfId="1933" priority="19">
      <formula>F25&gt;0</formula>
    </cfRule>
    <cfRule type="expression" dxfId="1932" priority="20">
      <formula>F25&lt;0</formula>
    </cfRule>
  </conditionalFormatting>
  <conditionalFormatting sqref="H25:H30 H34:H46">
    <cfRule type="expression" dxfId="1931" priority="17">
      <formula>H25&gt;0</formula>
    </cfRule>
    <cfRule type="expression" dxfId="1930" priority="18">
      <formula>H25&lt;0</formula>
    </cfRule>
  </conditionalFormatting>
  <conditionalFormatting sqref="F89:F110">
    <cfRule type="expression" dxfId="1929" priority="15">
      <formula>F89&gt;0</formula>
    </cfRule>
    <cfRule type="expression" dxfId="1928" priority="16">
      <formula>F89&lt;0</formula>
    </cfRule>
  </conditionalFormatting>
  <conditionalFormatting sqref="H89:H110">
    <cfRule type="expression" dxfId="1927" priority="13">
      <formula>H89&gt;0</formula>
    </cfRule>
    <cfRule type="expression" dxfId="1926" priority="14">
      <formula>H89&lt;0</formula>
    </cfRule>
  </conditionalFormatting>
  <conditionalFormatting sqref="Q10">
    <cfRule type="expression" dxfId="1925" priority="11">
      <formula>Q10&gt;0</formula>
    </cfRule>
    <cfRule type="expression" dxfId="1924" priority="12">
      <formula>Q10&lt;0</formula>
    </cfRule>
  </conditionalFormatting>
  <conditionalFormatting sqref="J25:J38">
    <cfRule type="expression" dxfId="1923" priority="9">
      <formula>J25&gt;0</formula>
    </cfRule>
    <cfRule type="expression" dxfId="1922" priority="10">
      <formula>J25&lt;0</formula>
    </cfRule>
  </conditionalFormatting>
  <conditionalFormatting sqref="K25:K38">
    <cfRule type="expression" dxfId="1921" priority="7">
      <formula>K25&gt;0</formula>
    </cfRule>
    <cfRule type="expression" dxfId="1920" priority="8">
      <formula>K25&lt;0</formula>
    </cfRule>
  </conditionalFormatting>
  <conditionalFormatting sqref="L25:L38">
    <cfRule type="expression" dxfId="1919" priority="5">
      <formula>L25&gt;0</formula>
    </cfRule>
    <cfRule type="expression" dxfId="1918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17" priority="3">
      <formula>F31&gt;0</formula>
    </cfRule>
    <cfRule type="expression" dxfId="1916" priority="4">
      <formula>F31&lt;0</formula>
    </cfRule>
  </conditionalFormatting>
  <conditionalFormatting sqref="H31:H33">
    <cfRule type="expression" dxfId="1915" priority="1">
      <formula>H31&gt;0</formula>
    </cfRule>
    <cfRule type="expression" dxfId="1914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996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43.399900000000002</v>
      </c>
      <c r="R4" s="495">
        <v>1.0200000000000001E-2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8679.98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1067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-1199.2700000000004</v>
      </c>
      <c r="R7">
        <v>200</v>
      </c>
      <c r="U7" t="s">
        <v>1073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-1199.2700000000004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-0.12139281828073997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975</v>
      </c>
      <c r="Q13">
        <f>Q4/2.6</f>
        <v>16.692269230769231</v>
      </c>
    </row>
    <row r="14" spans="1:21" x14ac:dyDescent="0.25">
      <c r="H14" s="70"/>
      <c r="O14" s="11" t="s">
        <v>1064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802" t="s">
        <v>78</v>
      </c>
      <c r="P22" s="802"/>
    </row>
    <row r="23" spans="1:17" ht="15.75" thickTop="1" x14ac:dyDescent="0.25">
      <c r="O23" s="81">
        <v>1.1000000000000001</v>
      </c>
      <c r="P23" s="81">
        <f>O23*$Q$4</f>
        <v>47.73989000000001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1">O24*$Q$4</f>
        <v>47.305891000000003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46.871892000000003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46.437893000000003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46.003894000000003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45.569895000000002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45.135896000000002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3" si="14">C30*(E30-D30)</f>
        <v>-347.24999999999966</v>
      </c>
      <c r="G30" s="39">
        <f t="shared" ref="G30:G33" si="15">D30*C30</f>
        <v>5271.25</v>
      </c>
      <c r="H30" s="222">
        <f t="shared" ref="H30:H33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44.701897000000002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44.267898000000002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43.833899000000002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43.399900000000002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42.965901000000002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42.531902000000002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42.097903000000002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41.663904000000002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41.229905000000002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40.795906000000002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40.361907000000002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39.927908000000002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39.493909000000002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39.059910000000002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13" priority="31">
      <formula>F47&gt;0</formula>
    </cfRule>
    <cfRule type="expression" dxfId="1912" priority="32">
      <formula>F47&lt;0</formula>
    </cfRule>
  </conditionalFormatting>
  <conditionalFormatting sqref="Q7">
    <cfRule type="expression" dxfId="1911" priority="29">
      <formula>Q7&gt;0</formula>
    </cfRule>
    <cfRule type="expression" dxfId="1910" priority="30">
      <formula>Q7&lt;0</formula>
    </cfRule>
  </conditionalFormatting>
  <conditionalFormatting sqref="Q8">
    <cfRule type="expression" dxfId="1909" priority="27">
      <formula>Q8&gt;0</formula>
    </cfRule>
    <cfRule type="expression" dxfId="1908" priority="28">
      <formula>Q8&lt;0</formula>
    </cfRule>
  </conditionalFormatting>
  <conditionalFormatting sqref="F31:F46">
    <cfRule type="expression" dxfId="1907" priority="25">
      <formula>F31&gt;0</formula>
    </cfRule>
    <cfRule type="expression" dxfId="1906" priority="26">
      <formula>F31&lt;0</formula>
    </cfRule>
  </conditionalFormatting>
  <conditionalFormatting sqref="H31:H46">
    <cfRule type="expression" dxfId="1905" priority="23">
      <formula>H31&gt;0</formula>
    </cfRule>
    <cfRule type="expression" dxfId="1904" priority="24">
      <formula>H31&lt;0</formula>
    </cfRule>
  </conditionalFormatting>
  <conditionalFormatting sqref="Q10">
    <cfRule type="expression" dxfId="1903" priority="21">
      <formula>Q10&gt;0</formula>
    </cfRule>
    <cfRule type="expression" dxfId="1902" priority="22">
      <formula>Q10&lt;0</formula>
    </cfRule>
  </conditionalFormatting>
  <conditionalFormatting sqref="J25:J38">
    <cfRule type="expression" dxfId="1901" priority="19">
      <formula>J25&gt;0</formula>
    </cfRule>
    <cfRule type="expression" dxfId="1900" priority="20">
      <formula>J25&lt;0</formula>
    </cfRule>
  </conditionalFormatting>
  <conditionalFormatting sqref="K35:K38">
    <cfRule type="expression" dxfId="1899" priority="17">
      <formula>K35&gt;0</formula>
    </cfRule>
    <cfRule type="expression" dxfId="1898" priority="18">
      <formula>K35&lt;0</formula>
    </cfRule>
  </conditionalFormatting>
  <conditionalFormatting sqref="L25:L38">
    <cfRule type="expression" dxfId="1897" priority="15">
      <formula>L25&gt;0</formula>
    </cfRule>
    <cfRule type="expression" dxfId="1896" priority="16">
      <formula>L25&lt;0</formula>
    </cfRule>
  </conditionalFormatting>
  <conditionalFormatting sqref="F89:F110">
    <cfRule type="expression" dxfId="1895" priority="13">
      <formula>F89&gt;0</formula>
    </cfRule>
    <cfRule type="expression" dxfId="1894" priority="14">
      <formula>F89&lt;0</formula>
    </cfRule>
  </conditionalFormatting>
  <conditionalFormatting sqref="H89:H110">
    <cfRule type="expression" dxfId="1893" priority="11">
      <formula>H89&gt;0</formula>
    </cfRule>
    <cfRule type="expression" dxfId="1892" priority="12">
      <formula>H89&lt;0</formula>
    </cfRule>
  </conditionalFormatting>
  <conditionalFormatting sqref="J89:J102">
    <cfRule type="expression" dxfId="1891" priority="9">
      <formula>J89&gt;0</formula>
    </cfRule>
    <cfRule type="expression" dxfId="1890" priority="10">
      <formula>J89&lt;0</formula>
    </cfRule>
  </conditionalFormatting>
  <conditionalFormatting sqref="K89:K102">
    <cfRule type="expression" dxfId="1889" priority="7">
      <formula>K89&gt;0</formula>
    </cfRule>
    <cfRule type="expression" dxfId="1888" priority="8">
      <formula>K89&lt;0</formula>
    </cfRule>
  </conditionalFormatting>
  <conditionalFormatting sqref="L89:L102">
    <cfRule type="expression" dxfId="1887" priority="5">
      <formula>L89&gt;0</formula>
    </cfRule>
    <cfRule type="expression" dxfId="1886" priority="6">
      <formula>L89&lt;0</formula>
    </cfRule>
  </conditionalFormatting>
  <conditionalFormatting sqref="F25:F30">
    <cfRule type="expression" dxfId="1885" priority="3">
      <formula>F25&gt;0</formula>
    </cfRule>
    <cfRule type="expression" dxfId="1884" priority="4">
      <formula>F25&lt;0</formula>
    </cfRule>
  </conditionalFormatting>
  <conditionalFormatting sqref="H25:H30">
    <cfRule type="expression" dxfId="1883" priority="1">
      <formula>H25&gt;0</formula>
    </cfRule>
    <cfRule type="expression" dxfId="188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1046</v>
      </c>
      <c r="B2" s="434">
        <v>43222</v>
      </c>
      <c r="C2" s="7">
        <v>50</v>
      </c>
      <c r="D2" s="43">
        <v>49.18</v>
      </c>
      <c r="E2" s="43">
        <v>0</v>
      </c>
      <c r="F2" s="43">
        <f t="shared" ref="F2" si="0"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/>
      <c r="M2" s="3"/>
      <c r="O2" s="11" t="s">
        <v>57</v>
      </c>
      <c r="Q2">
        <f>C18-H18</f>
        <v>100</v>
      </c>
      <c r="T2" s="1"/>
      <c r="U2" t="s">
        <v>1047</v>
      </c>
    </row>
    <row r="3" spans="1:21" x14ac:dyDescent="0.25">
      <c r="A3" s="22" t="s">
        <v>71</v>
      </c>
      <c r="B3" s="72">
        <v>43222</v>
      </c>
      <c r="C3" s="4">
        <v>100</v>
      </c>
      <c r="D3" s="3">
        <v>49.18</v>
      </c>
      <c r="E3" s="3">
        <v>0</v>
      </c>
      <c r="F3" s="3">
        <f t="shared" ref="F3" si="1">C3*D3+E3</f>
        <v>4918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48.438699999999997</v>
      </c>
      <c r="T3" s="1"/>
      <c r="U3" s="22" t="s">
        <v>1082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51.25</v>
      </c>
      <c r="R4" s="495">
        <v>8.3000000000000001E-3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5125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4843.87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281.13000000000011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281.13000000000011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5.8038304083305313E-2</v>
      </c>
      <c r="T9" s="156"/>
      <c r="U9" t="s">
        <v>1081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2.9268292682926831E-2</v>
      </c>
      <c r="R11">
        <v>1.5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0" t="s">
        <v>78</v>
      </c>
      <c r="P16" s="850"/>
    </row>
    <row r="17" spans="1:21" ht="15.75" thickTop="1" x14ac:dyDescent="0.25">
      <c r="O17" s="81">
        <v>1.1000000000000001</v>
      </c>
      <c r="P17" s="81">
        <f>O17*$Q$4</f>
        <v>56.375000000000007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50</v>
      </c>
      <c r="I18" s="18"/>
      <c r="J18" s="18"/>
      <c r="K18" s="18">
        <f>SUM(K2:K5)</f>
        <v>2533.13</v>
      </c>
      <c r="L18" s="14"/>
      <c r="M18" s="18">
        <f>SUM(M2:M10)</f>
        <v>0</v>
      </c>
      <c r="O18" s="81">
        <v>1.0900000000000001</v>
      </c>
      <c r="P18" s="81">
        <f t="shared" ref="P18:P37" si="2">O18*$Q$4</f>
        <v>55.862500000000004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2459</v>
      </c>
      <c r="G19" s="343"/>
      <c r="H19" s="343">
        <f>SumByColor($A$19,H2:H17)</f>
        <v>50</v>
      </c>
      <c r="I19" s="343"/>
      <c r="J19" s="343"/>
      <c r="K19" s="344">
        <f>SumByColor($A$19,K2:K17)</f>
        <v>2533</v>
      </c>
      <c r="L19" s="343"/>
      <c r="M19" s="344">
        <f>SumByColor($A$19,M2:M17)</f>
        <v>0</v>
      </c>
      <c r="O19" s="81">
        <v>1.08</v>
      </c>
      <c r="P19" s="81">
        <f t="shared" si="2"/>
        <v>55.35</v>
      </c>
    </row>
    <row r="20" spans="1:21" x14ac:dyDescent="0.25">
      <c r="O20" s="81">
        <v>1.07</v>
      </c>
      <c r="P20" s="81">
        <f t="shared" si="2"/>
        <v>54.837500000000006</v>
      </c>
    </row>
    <row r="21" spans="1:21" x14ac:dyDescent="0.25">
      <c r="O21" s="81">
        <v>1.06</v>
      </c>
      <c r="P21" s="81">
        <f t="shared" si="2"/>
        <v>54.325000000000003</v>
      </c>
    </row>
    <row r="22" spans="1:21" x14ac:dyDescent="0.25">
      <c r="O22" s="81">
        <v>1.05</v>
      </c>
      <c r="P22" s="81">
        <f t="shared" si="2"/>
        <v>53.8125</v>
      </c>
    </row>
    <row r="23" spans="1:21" x14ac:dyDescent="0.25">
      <c r="O23" s="81">
        <v>1.04</v>
      </c>
      <c r="P23" s="81">
        <f t="shared" si="2"/>
        <v>53.300000000000004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2"/>
        <v>52.787500000000001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3">C25*(E25-D25)</f>
        <v>-22.499999999999787</v>
      </c>
      <c r="G25" s="39">
        <f t="shared" ref="G25:G26" si="4">D25*C25</f>
        <v>7377</v>
      </c>
      <c r="H25" s="222">
        <f t="shared" ref="H25:H26" si="5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2"/>
        <v>52.274999999999999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 t="shared" si="4"/>
        <v>4843.87</v>
      </c>
      <c r="H26" s="222">
        <f t="shared" si="5"/>
        <v>4.9367551152281156E-2</v>
      </c>
      <c r="I26" s="39"/>
      <c r="J26" s="39"/>
      <c r="K26" s="39"/>
      <c r="L26" s="39"/>
      <c r="O26" s="81">
        <v>1.01</v>
      </c>
      <c r="P26" s="81">
        <f t="shared" si="2"/>
        <v>51.762500000000003</v>
      </c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2"/>
        <v>51.25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2"/>
        <v>50.737499999999997</v>
      </c>
      <c r="U28" t="s">
        <v>1080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2"/>
        <v>50.225000000000001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2"/>
        <v>49.712499999999999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2"/>
        <v>49.199999999999996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2"/>
        <v>48.6875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2"/>
        <v>48.174999999999997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2"/>
        <v>47.662500000000001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47.15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46.637500000000003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46.125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81" priority="35">
      <formula>F47&gt;0</formula>
    </cfRule>
    <cfRule type="expression" dxfId="1880" priority="36">
      <formula>F47&lt;0</formula>
    </cfRule>
  </conditionalFormatting>
  <conditionalFormatting sqref="Q7">
    <cfRule type="expression" dxfId="1879" priority="33">
      <formula>Q7&gt;0</formula>
    </cfRule>
    <cfRule type="expression" dxfId="1878" priority="34">
      <formula>Q7&lt;0</formula>
    </cfRule>
  </conditionalFormatting>
  <conditionalFormatting sqref="Q8">
    <cfRule type="expression" dxfId="1877" priority="31">
      <formula>Q8&gt;0</formula>
    </cfRule>
    <cfRule type="expression" dxfId="1876" priority="32">
      <formula>Q8&lt;0</formula>
    </cfRule>
  </conditionalFormatting>
  <conditionalFormatting sqref="F30:F46">
    <cfRule type="expression" dxfId="1875" priority="29">
      <formula>F30&gt;0</formula>
    </cfRule>
    <cfRule type="expression" dxfId="1874" priority="30">
      <formula>F30&lt;0</formula>
    </cfRule>
  </conditionalFormatting>
  <conditionalFormatting sqref="H30:H46">
    <cfRule type="expression" dxfId="1873" priority="27">
      <formula>H30&gt;0</formula>
    </cfRule>
    <cfRule type="expression" dxfId="1872" priority="28">
      <formula>H30&lt;0</formula>
    </cfRule>
  </conditionalFormatting>
  <conditionalFormatting sqref="Q10">
    <cfRule type="expression" dxfId="1871" priority="25">
      <formula>Q10&gt;0</formula>
    </cfRule>
    <cfRule type="expression" dxfId="1870" priority="26">
      <formula>Q10&lt;0</formula>
    </cfRule>
  </conditionalFormatting>
  <conditionalFormatting sqref="J25:J38">
    <cfRule type="expression" dxfId="1869" priority="23">
      <formula>J25&gt;0</formula>
    </cfRule>
    <cfRule type="expression" dxfId="1868" priority="24">
      <formula>J25&lt;0</formula>
    </cfRule>
  </conditionalFormatting>
  <conditionalFormatting sqref="K25:K38">
    <cfRule type="expression" dxfId="1867" priority="21">
      <formula>K25&gt;0</formula>
    </cfRule>
    <cfRule type="expression" dxfId="1866" priority="22">
      <formula>K25&lt;0</formula>
    </cfRule>
  </conditionalFormatting>
  <conditionalFormatting sqref="L25 L38">
    <cfRule type="expression" dxfId="1865" priority="19">
      <formula>L25&gt;0</formula>
    </cfRule>
    <cfRule type="expression" dxfId="1864" priority="20">
      <formula>L25&lt;0</formula>
    </cfRule>
  </conditionalFormatting>
  <conditionalFormatting sqref="F89:F110">
    <cfRule type="expression" dxfId="1863" priority="17">
      <formula>F89&gt;0</formula>
    </cfRule>
    <cfRule type="expression" dxfId="1862" priority="18">
      <formula>F89&lt;0</formula>
    </cfRule>
  </conditionalFormatting>
  <conditionalFormatting sqref="H89:H110">
    <cfRule type="expression" dxfId="1861" priority="15">
      <formula>H89&gt;0</formula>
    </cfRule>
    <cfRule type="expression" dxfId="1860" priority="16">
      <formula>H89&lt;0</formula>
    </cfRule>
  </conditionalFormatting>
  <conditionalFormatting sqref="J89:J102">
    <cfRule type="expression" dxfId="1859" priority="13">
      <formula>J89&gt;0</formula>
    </cfRule>
    <cfRule type="expression" dxfId="1858" priority="14">
      <formula>J89&lt;0</formula>
    </cfRule>
  </conditionalFormatting>
  <conditionalFormatting sqref="K89:K102">
    <cfRule type="expression" dxfId="1857" priority="11">
      <formula>K89&gt;0</formula>
    </cfRule>
    <cfRule type="expression" dxfId="1856" priority="12">
      <formula>K89&lt;0</formula>
    </cfRule>
  </conditionalFormatting>
  <conditionalFormatting sqref="L89:L102">
    <cfRule type="expression" dxfId="1855" priority="9">
      <formula>L89&gt;0</formula>
    </cfRule>
    <cfRule type="expression" dxfId="1854" priority="10">
      <formula>L89&lt;0</formula>
    </cfRule>
  </conditionalFormatting>
  <conditionalFormatting sqref="F25 F29">
    <cfRule type="expression" dxfId="1853" priority="7">
      <formula>F25&gt;0</formula>
    </cfRule>
    <cfRule type="expression" dxfId="1852" priority="8">
      <formula>F25&lt;0</formula>
    </cfRule>
  </conditionalFormatting>
  <conditionalFormatting sqref="H29 H25:H26">
    <cfRule type="expression" dxfId="1851" priority="5">
      <formula>H25&gt;0</formula>
    </cfRule>
    <cfRule type="expression" dxfId="1850" priority="6">
      <formula>H25&lt;0</formula>
    </cfRule>
  </conditionalFormatting>
  <conditionalFormatting sqref="F26:F28">
    <cfRule type="expression" dxfId="1849" priority="3">
      <formula>F26&gt;0</formula>
    </cfRule>
    <cfRule type="expression" dxfId="1848" priority="4">
      <formula>F26&lt;0</formula>
    </cfRule>
  </conditionalFormatting>
  <conditionalFormatting sqref="H27:H28">
    <cfRule type="expression" dxfId="1847" priority="1">
      <formula>H27&gt;0</formula>
    </cfRule>
    <cfRule type="expression" dxfId="1846" priority="2">
      <formula>H27&lt;0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O274"/>
  <sheetViews>
    <sheetView topLeftCell="C1" zoomScaleNormal="100" workbookViewId="0">
      <pane ySplit="1" topLeftCell="A2" activePane="bottomLeft" state="frozen"/>
      <selection activeCell="A2" sqref="A2"/>
      <selection pane="bottomLeft" activeCell="H29" sqref="H29:K29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16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32" t="s">
        <v>70</v>
      </c>
      <c r="X1" s="11" t="s">
        <v>1107</v>
      </c>
      <c r="Z1" s="11" t="s">
        <v>1105</v>
      </c>
      <c r="AA1" s="11" t="s">
        <v>1106</v>
      </c>
      <c r="AB1" s="11" t="s">
        <v>1108</v>
      </c>
      <c r="AC1" s="11" t="s">
        <v>1105</v>
      </c>
      <c r="AD1" s="11" t="s">
        <v>1106</v>
      </c>
      <c r="AE1" s="11" t="s">
        <v>1109</v>
      </c>
      <c r="AF1" s="11" t="s">
        <v>1105</v>
      </c>
      <c r="AG1" s="11" t="s">
        <v>1106</v>
      </c>
      <c r="AH1" s="11" t="s">
        <v>1110</v>
      </c>
      <c r="AI1" s="11" t="s">
        <v>1105</v>
      </c>
      <c r="AJ1" s="11" t="s">
        <v>1106</v>
      </c>
      <c r="AK1" s="11" t="s">
        <v>1111</v>
      </c>
      <c r="AM1" s="11" t="s">
        <v>1112</v>
      </c>
      <c r="AO1" s="11" t="s">
        <v>1113</v>
      </c>
    </row>
    <row r="2" spans="1:41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28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2000</v>
      </c>
      <c r="T2" s="833" t="s">
        <v>348</v>
      </c>
      <c r="W2" s="134"/>
      <c r="X2" s="736">
        <v>-0.10247000000000001</v>
      </c>
      <c r="Y2"/>
      <c r="Z2">
        <f>B2-$B$2</f>
        <v>0</v>
      </c>
      <c r="AA2" s="2">
        <f>F2</f>
        <v>6956</v>
      </c>
      <c r="AB2">
        <f>AA2*EXP(-Z2/365.25 * $X$2)</f>
        <v>6956</v>
      </c>
      <c r="AC2">
        <f>G2-$B$2</f>
        <v>64</v>
      </c>
      <c r="AD2" s="2">
        <f>K2</f>
        <v>6839.8500000000013</v>
      </c>
      <c r="AE2">
        <f>AD2*EXP(-AC2/365.25 * $X$2)</f>
        <v>6963.7689672378256</v>
      </c>
      <c r="AF2">
        <f>L2-$B$2</f>
        <v>77</v>
      </c>
      <c r="AG2" s="2">
        <f>M2</f>
        <v>72</v>
      </c>
      <c r="AH2">
        <f>AG2*EXP(-AF2/365.25 * $X$2)</f>
        <v>73.572276877679684</v>
      </c>
      <c r="AI2" s="2">
        <f ca="1">TODAY()-$B$2</f>
        <v>544</v>
      </c>
      <c r="AJ2">
        <f>$Q$2*$Q$4</f>
        <v>51080</v>
      </c>
      <c r="AK2">
        <f ca="1">AJ2*EXP(-$X$2 * AI2/365.25)</f>
        <v>59502.058543923755</v>
      </c>
      <c r="AM2" s="2">
        <f>Q10</f>
        <v>1747.9699999999939</v>
      </c>
      <c r="AO2">
        <f ca="1" xml:space="preserve"> (SUM(AB:AB) - SUM(AE:AE) - SUM(AH:AH) - SUM(AK:AK))/SUM(AB:AB)</f>
        <v>-1.0451923056426171E-2</v>
      </c>
    </row>
    <row r="3" spans="1:41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27.788010000000007</v>
      </c>
      <c r="T3" s="816" t="s">
        <v>460</v>
      </c>
      <c r="W3" s="134"/>
      <c r="Y3"/>
      <c r="Z3">
        <f t="shared" ref="Z3:Z56" si="2">B3-$B$2</f>
        <v>20</v>
      </c>
      <c r="AA3" s="2">
        <f t="shared" ref="AA3:AA56" si="3">F3</f>
        <v>3378</v>
      </c>
      <c r="AB3">
        <f t="shared" ref="AB3:AB56" si="4">AA3*EXP(-Z3/365.25 * $X$2)</f>
        <v>3397.0070678405755</v>
      </c>
      <c r="AC3">
        <f t="shared" ref="AC3:AC56" si="5">G3-$B$2</f>
        <v>91</v>
      </c>
      <c r="AD3" s="2">
        <f t="shared" ref="AD3:AD56" si="6">K3</f>
        <v>5803.87</v>
      </c>
      <c r="AE3">
        <f t="shared" ref="AE3:AE56" si="7">AD3*EXP(-AC3/365.25 * $X$2)</f>
        <v>5953.9494073852256</v>
      </c>
      <c r="AF3">
        <f t="shared" ref="AF3:AF56" si="8">L3-$B$2</f>
        <v>128</v>
      </c>
      <c r="AG3" s="2">
        <f t="shared" ref="AG3:AG56" si="9">M3</f>
        <v>3.9</v>
      </c>
      <c r="AH3">
        <f t="shared" ref="AH3:AH56" si="10">AG3*EXP(-AF3/365.25 * $X$2)</f>
        <v>4.0425943111966065</v>
      </c>
      <c r="AI3" s="2"/>
    </row>
    <row r="4" spans="1:41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25.54</v>
      </c>
      <c r="R4" s="222">
        <v>7.1000000000000004E-3</v>
      </c>
      <c r="T4" s="34" t="s">
        <v>672</v>
      </c>
      <c r="U4" s="22" t="s">
        <v>671</v>
      </c>
      <c r="Y4"/>
      <c r="Z4">
        <f t="shared" si="2"/>
        <v>36</v>
      </c>
      <c r="AA4" s="2">
        <f t="shared" si="3"/>
        <v>3427.0000000000005</v>
      </c>
      <c r="AB4">
        <f t="shared" si="4"/>
        <v>3461.7870889224141</v>
      </c>
      <c r="AC4">
        <f t="shared" si="5"/>
        <v>226</v>
      </c>
      <c r="AD4" s="2">
        <f t="shared" si="6"/>
        <v>2426.94</v>
      </c>
      <c r="AE4">
        <f t="shared" si="7"/>
        <v>2585.800045451314</v>
      </c>
      <c r="AF4">
        <f t="shared" si="8"/>
        <v>170</v>
      </c>
      <c r="AG4" s="2">
        <f t="shared" si="9"/>
        <v>180</v>
      </c>
      <c r="AH4">
        <f t="shared" si="10"/>
        <v>188.79276609771972</v>
      </c>
      <c r="AI4" s="2"/>
    </row>
    <row r="5" spans="1:41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51080</v>
      </c>
      <c r="W5" s="134"/>
      <c r="Y5"/>
      <c r="Z5">
        <f t="shared" si="2"/>
        <v>44</v>
      </c>
      <c r="AA5" s="2">
        <f t="shared" si="3"/>
        <v>3310</v>
      </c>
      <c r="AB5">
        <f t="shared" si="4"/>
        <v>3351.1121723155516</v>
      </c>
      <c r="AC5">
        <f t="shared" si="5"/>
        <v>268</v>
      </c>
      <c r="AD5" s="2">
        <f t="shared" si="6"/>
        <v>21127.51</v>
      </c>
      <c r="AE5">
        <f t="shared" si="7"/>
        <v>22777.261405786183</v>
      </c>
      <c r="AF5">
        <f t="shared" si="8"/>
        <v>261</v>
      </c>
      <c r="AG5" s="2">
        <f t="shared" si="9"/>
        <v>237.5</v>
      </c>
      <c r="AH5">
        <f t="shared" si="10"/>
        <v>255.5429607349227</v>
      </c>
      <c r="AI5" s="2"/>
    </row>
    <row r="6" spans="1:41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55576.020000000011</v>
      </c>
      <c r="T6" s="816" t="s">
        <v>1016</v>
      </c>
      <c r="U6" t="s">
        <v>1018</v>
      </c>
      <c r="W6" s="134"/>
      <c r="Y6"/>
      <c r="Z6">
        <f t="shared" si="2"/>
        <v>55</v>
      </c>
      <c r="AA6" s="2">
        <f t="shared" si="3"/>
        <v>3308</v>
      </c>
      <c r="AB6">
        <f t="shared" si="4"/>
        <v>3359.4386565672321</v>
      </c>
      <c r="AC6">
        <f t="shared" si="5"/>
        <v>293</v>
      </c>
      <c r="AD6" s="2">
        <f t="shared" si="6"/>
        <v>4119.8999999999996</v>
      </c>
      <c r="AE6">
        <f t="shared" si="7"/>
        <v>4472.8658336061426</v>
      </c>
      <c r="AF6">
        <f t="shared" si="8"/>
        <v>352</v>
      </c>
      <c r="AG6" s="2">
        <f t="shared" si="9"/>
        <v>250</v>
      </c>
      <c r="AH6">
        <f t="shared" si="10"/>
        <v>275.94833676389231</v>
      </c>
      <c r="AI6" s="2"/>
    </row>
    <row r="7" spans="1:41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-2748.0500000000247</v>
      </c>
      <c r="R7">
        <v>1500</v>
      </c>
      <c r="W7" s="134"/>
      <c r="Y7"/>
      <c r="Z7">
        <f t="shared" si="2"/>
        <v>70</v>
      </c>
      <c r="AA7" s="2">
        <f t="shared" si="3"/>
        <v>6616</v>
      </c>
      <c r="AB7">
        <f t="shared" si="4"/>
        <v>6747.21135974562</v>
      </c>
      <c r="AC7">
        <f t="shared" si="5"/>
        <v>338</v>
      </c>
      <c r="AD7" s="2">
        <f t="shared" si="6"/>
        <v>4515.8999999999996</v>
      </c>
      <c r="AE7">
        <f t="shared" si="7"/>
        <v>4965.0808495688934</v>
      </c>
      <c r="AF7">
        <f t="shared" si="8"/>
        <v>442</v>
      </c>
      <c r="AG7" s="2">
        <f t="shared" si="9"/>
        <v>225</v>
      </c>
      <c r="AH7">
        <f t="shared" si="10"/>
        <v>254.70408700721265</v>
      </c>
      <c r="AI7" s="2"/>
    </row>
    <row r="8" spans="1:41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-4496.0200000000186</v>
      </c>
      <c r="W8" s="134"/>
      <c r="Y8"/>
      <c r="Z8">
        <f t="shared" si="2"/>
        <v>75</v>
      </c>
      <c r="AA8" s="2">
        <f t="shared" si="3"/>
        <v>6436</v>
      </c>
      <c r="AB8">
        <f t="shared" si="4"/>
        <v>6572.8550512420861</v>
      </c>
      <c r="AC8">
        <f t="shared" si="5"/>
        <v>351</v>
      </c>
      <c r="AD8" s="2">
        <f t="shared" si="6"/>
        <v>2643.94</v>
      </c>
      <c r="AE8">
        <f t="shared" si="7"/>
        <v>2917.5447570954261</v>
      </c>
      <c r="AF8">
        <f t="shared" si="8"/>
        <v>534</v>
      </c>
      <c r="AG8" s="2">
        <f t="shared" si="9"/>
        <v>250</v>
      </c>
      <c r="AH8">
        <f t="shared" si="10"/>
        <v>290.40407648250635</v>
      </c>
      <c r="AI8" s="2"/>
    </row>
    <row r="9" spans="1:41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2">
        <f>IF(Q2=0, 0, Q8/Q6)</f>
        <v>-8.0898560206362699E-2</v>
      </c>
      <c r="T9" s="816" t="s">
        <v>517</v>
      </c>
      <c r="W9" s="134"/>
      <c r="Y9"/>
      <c r="Z9">
        <f t="shared" si="2"/>
        <v>78</v>
      </c>
      <c r="AA9" s="2">
        <f t="shared" si="3"/>
        <v>6216</v>
      </c>
      <c r="AB9">
        <f t="shared" si="4"/>
        <v>6353.5221189556678</v>
      </c>
      <c r="AC9">
        <f t="shared" si="5"/>
        <v>351</v>
      </c>
      <c r="AD9" s="2">
        <f t="shared" si="6"/>
        <v>2707.94</v>
      </c>
      <c r="AE9">
        <f t="shared" si="7"/>
        <v>2988.1677154281069</v>
      </c>
      <c r="AF9">
        <f t="shared" si="8"/>
        <v>-42718</v>
      </c>
      <c r="AG9" s="2">
        <f t="shared" si="9"/>
        <v>0</v>
      </c>
      <c r="AH9">
        <f t="shared" si="10"/>
        <v>0</v>
      </c>
      <c r="AI9" s="2"/>
    </row>
    <row r="10" spans="1:41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M243</f>
        <v>1747.9699999999939</v>
      </c>
      <c r="W10" s="134"/>
      <c r="Y10"/>
      <c r="Z10">
        <f t="shared" si="2"/>
        <v>78</v>
      </c>
      <c r="AA10" s="2">
        <f t="shared" si="3"/>
        <v>6116</v>
      </c>
      <c r="AB10">
        <f t="shared" si="4"/>
        <v>6251.3097296545793</v>
      </c>
      <c r="AC10">
        <f t="shared" si="5"/>
        <v>369</v>
      </c>
      <c r="AD10" s="2">
        <f t="shared" si="6"/>
        <v>2704.94</v>
      </c>
      <c r="AE10">
        <f t="shared" si="7"/>
        <v>2999.9684870446954</v>
      </c>
      <c r="AF10">
        <f t="shared" si="8"/>
        <v>-42718</v>
      </c>
      <c r="AG10" s="2">
        <f t="shared" si="9"/>
        <v>0</v>
      </c>
      <c r="AH10">
        <f t="shared" si="10"/>
        <v>0</v>
      </c>
      <c r="AI10" s="2"/>
    </row>
    <row r="11" spans="1:41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1.9577133907595929E-2</v>
      </c>
      <c r="R11">
        <f>0.125</f>
        <v>0.125</v>
      </c>
      <c r="T11" s="816">
        <v>43095</v>
      </c>
      <c r="U11" t="s">
        <v>785</v>
      </c>
      <c r="W11" s="134"/>
      <c r="Y11"/>
      <c r="Z11">
        <f t="shared" si="2"/>
        <v>78</v>
      </c>
      <c r="AA11" s="2">
        <f t="shared" si="3"/>
        <v>6076</v>
      </c>
      <c r="AB11">
        <f t="shared" si="4"/>
        <v>6210.4247739341436</v>
      </c>
      <c r="AC11">
        <f t="shared" si="5"/>
        <v>371</v>
      </c>
      <c r="AD11" s="2">
        <f t="shared" si="6"/>
        <v>2732.12</v>
      </c>
      <c r="AE11">
        <f t="shared" si="7"/>
        <v>3031.8136752492564</v>
      </c>
      <c r="AF11">
        <f t="shared" si="8"/>
        <v>-42718</v>
      </c>
      <c r="AG11" s="2">
        <f t="shared" si="9"/>
        <v>0</v>
      </c>
      <c r="AH11">
        <f t="shared" si="10"/>
        <v>0</v>
      </c>
      <c r="AI11" s="2"/>
    </row>
    <row r="12" spans="1:41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948</v>
      </c>
      <c r="Q12" s="29">
        <v>43272</v>
      </c>
      <c r="U12" t="s">
        <v>791</v>
      </c>
      <c r="W12" s="134"/>
      <c r="Y12"/>
      <c r="Z12">
        <f t="shared" si="2"/>
        <v>79</v>
      </c>
      <c r="AA12" s="2">
        <f t="shared" si="3"/>
        <v>3005.5</v>
      </c>
      <c r="AB12">
        <f t="shared" si="4"/>
        <v>3072.8553216219339</v>
      </c>
      <c r="AC12">
        <f t="shared" si="5"/>
        <v>373</v>
      </c>
      <c r="AD12" s="2">
        <f t="shared" si="6"/>
        <v>2819.93</v>
      </c>
      <c r="AE12">
        <f t="shared" si="7"/>
        <v>3131.0120959259616</v>
      </c>
      <c r="AF12">
        <f t="shared" si="8"/>
        <v>-42718</v>
      </c>
      <c r="AG12" s="2">
        <f t="shared" si="9"/>
        <v>0</v>
      </c>
      <c r="AH12">
        <f t="shared" si="10"/>
        <v>0</v>
      </c>
      <c r="AI12" s="2"/>
    </row>
    <row r="13" spans="1:41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1017</v>
      </c>
      <c r="Q13" s="2">
        <f>Q4/(1.95+2.15)*2</f>
        <v>12.458536585365854</v>
      </c>
      <c r="W13" s="134"/>
      <c r="Y13"/>
      <c r="Z13">
        <f t="shared" si="2"/>
        <v>90</v>
      </c>
      <c r="AA13" s="2">
        <f t="shared" si="3"/>
        <v>5664</v>
      </c>
      <c r="AB13">
        <f t="shared" si="4"/>
        <v>5808.8326956296714</v>
      </c>
      <c r="AC13">
        <f t="shared" si="5"/>
        <v>384</v>
      </c>
      <c r="AD13" s="2">
        <f t="shared" si="6"/>
        <v>2807.94</v>
      </c>
      <c r="AE13">
        <f t="shared" si="7"/>
        <v>3127.335566613538</v>
      </c>
      <c r="AF13">
        <f t="shared" si="8"/>
        <v>-42718</v>
      </c>
      <c r="AG13" s="2">
        <f t="shared" si="9"/>
        <v>0</v>
      </c>
      <c r="AH13">
        <f t="shared" si="10"/>
        <v>0</v>
      </c>
      <c r="AI13" s="2"/>
    </row>
    <row r="14" spans="1:41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1107</v>
      </c>
      <c r="Q14" s="736">
        <v>-0.10249999999999999</v>
      </c>
      <c r="T14" s="816">
        <v>43102</v>
      </c>
      <c r="U14" t="s">
        <v>848</v>
      </c>
      <c r="W14" s="134"/>
      <c r="Y14"/>
      <c r="Z14">
        <f t="shared" si="2"/>
        <v>183</v>
      </c>
      <c r="AA14" s="2">
        <f t="shared" si="3"/>
        <v>2698</v>
      </c>
      <c r="AB14">
        <f t="shared" si="4"/>
        <v>2840.1332302265282</v>
      </c>
      <c r="AC14">
        <f t="shared" si="5"/>
        <v>387</v>
      </c>
      <c r="AD14" s="2">
        <f t="shared" si="6"/>
        <v>10967.75</v>
      </c>
      <c r="AE14">
        <f t="shared" si="7"/>
        <v>12225.587091713014</v>
      </c>
      <c r="AF14">
        <f t="shared" si="8"/>
        <v>-42718</v>
      </c>
      <c r="AG14" s="2">
        <f t="shared" si="9"/>
        <v>0</v>
      </c>
      <c r="AH14">
        <f t="shared" si="10"/>
        <v>0</v>
      </c>
      <c r="AI14" s="2"/>
    </row>
    <row r="15" spans="1:41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1042</v>
      </c>
      <c r="Q15" s="29">
        <v>43239</v>
      </c>
      <c r="U15" t="s">
        <v>836</v>
      </c>
      <c r="W15" s="134"/>
      <c r="Y15"/>
      <c r="Z15">
        <f t="shared" si="2"/>
        <v>183</v>
      </c>
      <c r="AA15" s="2">
        <f t="shared" si="3"/>
        <v>4876</v>
      </c>
      <c r="AB15">
        <f t="shared" si="4"/>
        <v>5132.872361224815</v>
      </c>
      <c r="AC15">
        <f t="shared" si="5"/>
        <v>394</v>
      </c>
      <c r="AD15" s="2">
        <f t="shared" si="6"/>
        <v>2859.93</v>
      </c>
      <c r="AE15">
        <f t="shared" si="7"/>
        <v>3194.1879464206354</v>
      </c>
      <c r="AF15">
        <f t="shared" si="8"/>
        <v>-42718</v>
      </c>
      <c r="AG15" s="2">
        <f t="shared" si="9"/>
        <v>0</v>
      </c>
      <c r="AH15">
        <f t="shared" si="10"/>
        <v>0</v>
      </c>
      <c r="AI15" s="2"/>
    </row>
    <row r="16" spans="1:41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Z16">
        <f t="shared" si="2"/>
        <v>186</v>
      </c>
      <c r="AA16" s="2">
        <f t="shared" si="3"/>
        <v>4320</v>
      </c>
      <c r="AB16">
        <f t="shared" si="4"/>
        <v>4551.4107975826664</v>
      </c>
      <c r="AC16">
        <f t="shared" si="5"/>
        <v>401</v>
      </c>
      <c r="AD16" s="2">
        <f t="shared" si="6"/>
        <v>8939.7900000000009</v>
      </c>
      <c r="AE16">
        <f t="shared" si="7"/>
        <v>10004.26672614603</v>
      </c>
      <c r="AF16">
        <f t="shared" si="8"/>
        <v>-42718</v>
      </c>
      <c r="AG16" s="2">
        <f t="shared" si="9"/>
        <v>0</v>
      </c>
      <c r="AH16">
        <f t="shared" si="10"/>
        <v>0</v>
      </c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6">
        <v>43104</v>
      </c>
      <c r="U17" t="s">
        <v>846</v>
      </c>
      <c r="W17" s="134"/>
      <c r="Y17"/>
      <c r="Z17">
        <f t="shared" si="2"/>
        <v>244</v>
      </c>
      <c r="AA17" s="2">
        <f t="shared" si="3"/>
        <v>2326.7399999999998</v>
      </c>
      <c r="AB17">
        <f t="shared" si="4"/>
        <v>2491.5917252971972</v>
      </c>
      <c r="AC17">
        <f t="shared" si="5"/>
        <v>407</v>
      </c>
      <c r="AD17" s="2">
        <f t="shared" si="6"/>
        <v>9149.7900000000009</v>
      </c>
      <c r="AE17">
        <f t="shared" si="7"/>
        <v>10256.521931686138</v>
      </c>
      <c r="AF17">
        <f t="shared" si="8"/>
        <v>-42718</v>
      </c>
      <c r="AG17" s="2">
        <f t="shared" si="9"/>
        <v>0</v>
      </c>
      <c r="AH17">
        <f t="shared" si="10"/>
        <v>0</v>
      </c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847</v>
      </c>
      <c r="W18" s="134"/>
      <c r="Z18">
        <f t="shared" si="2"/>
        <v>268</v>
      </c>
      <c r="AA18" s="2">
        <f t="shared" si="3"/>
        <v>2162</v>
      </c>
      <c r="AB18">
        <f t="shared" si="4"/>
        <v>2330.8207715584908</v>
      </c>
      <c r="AC18">
        <f t="shared" si="5"/>
        <v>408</v>
      </c>
      <c r="AD18" s="2">
        <f t="shared" si="6"/>
        <v>6159.86</v>
      </c>
      <c r="AE18">
        <f t="shared" si="7"/>
        <v>6906.8761484597508</v>
      </c>
      <c r="AF18">
        <f t="shared" si="8"/>
        <v>-42718</v>
      </c>
      <c r="AG18" s="2">
        <f t="shared" si="9"/>
        <v>0</v>
      </c>
      <c r="AH18">
        <f t="shared" si="10"/>
        <v>0</v>
      </c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6">
        <v>43105</v>
      </c>
      <c r="U19" t="s">
        <v>852</v>
      </c>
      <c r="W19" s="134"/>
      <c r="Z19">
        <f t="shared" si="2"/>
        <v>268</v>
      </c>
      <c r="AA19" s="2">
        <f t="shared" si="3"/>
        <v>4170</v>
      </c>
      <c r="AB19">
        <f t="shared" si="4"/>
        <v>4495.6163817756269</v>
      </c>
      <c r="AC19">
        <f t="shared" si="5"/>
        <v>464</v>
      </c>
      <c r="AD19" s="2">
        <f t="shared" si="6"/>
        <v>24219.439999999999</v>
      </c>
      <c r="AE19">
        <f t="shared" si="7"/>
        <v>27586.587349987672</v>
      </c>
      <c r="AF19">
        <f t="shared" si="8"/>
        <v>-42718</v>
      </c>
      <c r="AG19" s="2">
        <f t="shared" si="9"/>
        <v>0</v>
      </c>
      <c r="AH19">
        <f t="shared" si="10"/>
        <v>0</v>
      </c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Z20">
        <f t="shared" si="2"/>
        <v>268</v>
      </c>
      <c r="AA20" s="2">
        <f t="shared" si="3"/>
        <v>14525</v>
      </c>
      <c r="AB20">
        <f t="shared" si="4"/>
        <v>15659.191353786808</v>
      </c>
      <c r="AC20">
        <f t="shared" si="5"/>
        <v>470</v>
      </c>
      <c r="AD20" s="2">
        <f t="shared" si="6"/>
        <v>4781.8900000000003</v>
      </c>
      <c r="AE20">
        <f t="shared" si="7"/>
        <v>5455.8761680832195</v>
      </c>
      <c r="AF20">
        <f t="shared" si="8"/>
        <v>-42718</v>
      </c>
      <c r="AG20" s="2">
        <f t="shared" si="9"/>
        <v>0</v>
      </c>
      <c r="AH20">
        <f t="shared" si="10"/>
        <v>0</v>
      </c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6">
        <v>43112</v>
      </c>
      <c r="U21" t="s">
        <v>860</v>
      </c>
      <c r="W21" s="134"/>
      <c r="Z21">
        <f t="shared" si="2"/>
        <v>281</v>
      </c>
      <c r="AA21" s="2">
        <f t="shared" si="3"/>
        <v>4050</v>
      </c>
      <c r="AB21">
        <f t="shared" si="4"/>
        <v>4382.199416909948</v>
      </c>
      <c r="AC21">
        <f t="shared" si="5"/>
        <v>476</v>
      </c>
      <c r="AD21" s="2">
        <f t="shared" si="6"/>
        <v>7223.829999999999</v>
      </c>
      <c r="AE21">
        <f t="shared" si="7"/>
        <v>8255.8820872021988</v>
      </c>
      <c r="AF21">
        <f t="shared" si="8"/>
        <v>-42718</v>
      </c>
      <c r="AG21" s="2">
        <f t="shared" si="9"/>
        <v>0</v>
      </c>
      <c r="AH21">
        <f t="shared" si="10"/>
        <v>0</v>
      </c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50" t="s">
        <v>78</v>
      </c>
      <c r="P22" s="850"/>
      <c r="U22" t="s">
        <v>861</v>
      </c>
      <c r="W22" s="134"/>
      <c r="Z22">
        <f t="shared" si="2"/>
        <v>377</v>
      </c>
      <c r="AA22" s="2">
        <f t="shared" si="3"/>
        <v>2761</v>
      </c>
      <c r="AB22">
        <f t="shared" si="4"/>
        <v>3069.0232976646575</v>
      </c>
      <c r="AC22">
        <f t="shared" si="5"/>
        <v>490</v>
      </c>
      <c r="AD22" s="2">
        <f t="shared" si="6"/>
        <v>12339.71</v>
      </c>
      <c r="AE22">
        <f t="shared" si="7"/>
        <v>14158.155617320999</v>
      </c>
      <c r="AF22">
        <f t="shared" si="8"/>
        <v>-42718</v>
      </c>
      <c r="AG22" s="2">
        <f t="shared" si="9"/>
        <v>0</v>
      </c>
      <c r="AH22">
        <f t="shared" si="10"/>
        <v>0</v>
      </c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28.094000000000001</v>
      </c>
      <c r="Q23" s="2"/>
      <c r="W23" s="134"/>
      <c r="Z23">
        <f t="shared" si="2"/>
        <v>386</v>
      </c>
      <c r="AA23" s="2">
        <f t="shared" si="3"/>
        <v>5421</v>
      </c>
      <c r="AB23">
        <f t="shared" si="4"/>
        <v>6041.0126933768142</v>
      </c>
      <c r="AC23">
        <f t="shared" si="5"/>
        <v>492</v>
      </c>
      <c r="AD23" s="2">
        <f t="shared" si="6"/>
        <v>12439.71</v>
      </c>
      <c r="AE23">
        <f t="shared" si="7"/>
        <v>14280.902849384536</v>
      </c>
      <c r="AF23">
        <f t="shared" si="8"/>
        <v>-42718</v>
      </c>
      <c r="AG23" s="2">
        <f t="shared" si="9"/>
        <v>0</v>
      </c>
      <c r="AH23">
        <f t="shared" si="10"/>
        <v>0</v>
      </c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11">O24*$Q$4</f>
        <v>27.8386</v>
      </c>
      <c r="Q24" s="2"/>
      <c r="T24" s="816">
        <v>43126</v>
      </c>
      <c r="U24" t="s">
        <v>912</v>
      </c>
      <c r="W24" s="134"/>
      <c r="Z24">
        <f t="shared" si="2"/>
        <v>386</v>
      </c>
      <c r="AA24" s="2">
        <f t="shared" si="3"/>
        <v>5346</v>
      </c>
      <c r="AB24">
        <f t="shared" si="4"/>
        <v>5957.4347645807875</v>
      </c>
      <c r="AC24">
        <f t="shared" si="5"/>
        <v>495</v>
      </c>
      <c r="AD24" s="2">
        <f t="shared" si="6"/>
        <v>7436.83</v>
      </c>
      <c r="AE24">
        <f t="shared" si="7"/>
        <v>8544.7386418477927</v>
      </c>
      <c r="AF24">
        <f t="shared" si="8"/>
        <v>-42718</v>
      </c>
      <c r="AG24" s="2">
        <f t="shared" si="9"/>
        <v>0</v>
      </c>
      <c r="AH24">
        <f t="shared" si="10"/>
        <v>0</v>
      </c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11"/>
        <v>27.583200000000001</v>
      </c>
      <c r="Q25" s="2"/>
      <c r="U25" t="s">
        <v>913</v>
      </c>
      <c r="W25" s="134"/>
      <c r="Z25">
        <f t="shared" si="2"/>
        <v>394</v>
      </c>
      <c r="AA25" s="2">
        <f t="shared" si="3"/>
        <v>2818</v>
      </c>
      <c r="AB25">
        <f t="shared" si="4"/>
        <v>3147.3573244846384</v>
      </c>
      <c r="AC25">
        <f t="shared" si="5"/>
        <v>496</v>
      </c>
      <c r="AD25" s="2">
        <f t="shared" si="6"/>
        <v>12639.71</v>
      </c>
      <c r="AE25">
        <f t="shared" si="7"/>
        <v>14526.797398063321</v>
      </c>
      <c r="AF25">
        <f t="shared" si="8"/>
        <v>-42718</v>
      </c>
      <c r="AG25" s="2">
        <f t="shared" si="9"/>
        <v>0</v>
      </c>
      <c r="AH25">
        <f t="shared" si="10"/>
        <v>0</v>
      </c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11"/>
        <v>27.3278</v>
      </c>
      <c r="Q26" s="2"/>
      <c r="W26" s="134"/>
      <c r="Z26">
        <f t="shared" si="2"/>
        <v>404</v>
      </c>
      <c r="AA26" s="2">
        <f t="shared" si="3"/>
        <v>8784</v>
      </c>
      <c r="AB26">
        <f t="shared" si="4"/>
        <v>9838.2033017893555</v>
      </c>
      <c r="AC26">
        <f t="shared" si="5"/>
        <v>502</v>
      </c>
      <c r="AD26" s="2">
        <f t="shared" si="6"/>
        <v>5175.88</v>
      </c>
      <c r="AE26">
        <f t="shared" si="7"/>
        <v>5958.651834491051</v>
      </c>
      <c r="AF26">
        <f t="shared" si="8"/>
        <v>-42718</v>
      </c>
      <c r="AG26" s="2">
        <f t="shared" si="9"/>
        <v>0</v>
      </c>
      <c r="AH26">
        <f t="shared" si="10"/>
        <v>0</v>
      </c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11"/>
        <v>27.072400000000002</v>
      </c>
      <c r="Q27" s="2"/>
      <c r="T27" s="817">
        <v>43153</v>
      </c>
      <c r="U27" t="s">
        <v>952</v>
      </c>
      <c r="W27" s="134"/>
      <c r="Z27">
        <f t="shared" si="2"/>
        <v>413</v>
      </c>
      <c r="AA27" s="2">
        <f t="shared" si="3"/>
        <v>15125</v>
      </c>
      <c r="AB27">
        <f t="shared" si="4"/>
        <v>16983.039174209727</v>
      </c>
      <c r="AC27">
        <f t="shared" si="5"/>
        <v>519</v>
      </c>
      <c r="AD27" s="2">
        <f t="shared" si="6"/>
        <v>7724.82</v>
      </c>
      <c r="AE27">
        <f t="shared" si="7"/>
        <v>8935.5947498498772</v>
      </c>
      <c r="AF27">
        <f t="shared" si="8"/>
        <v>-42718</v>
      </c>
      <c r="AG27" s="2">
        <f t="shared" si="9"/>
        <v>0</v>
      </c>
      <c r="AH27">
        <f t="shared" si="10"/>
        <v>0</v>
      </c>
      <c r="AI27" s="2"/>
    </row>
    <row r="28" spans="2:39" x14ac:dyDescent="0.25">
      <c r="B28" s="476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11"/>
        <v>26.817</v>
      </c>
      <c r="Q28" s="2"/>
      <c r="T28" s="817"/>
      <c r="W28" s="134"/>
      <c r="Z28">
        <f t="shared" si="2"/>
        <v>415</v>
      </c>
      <c r="AA28" s="2">
        <f t="shared" si="3"/>
        <v>5860</v>
      </c>
      <c r="AB28">
        <f t="shared" si="4"/>
        <v>6583.5679841395267</v>
      </c>
      <c r="AC28">
        <f t="shared" si="5"/>
        <v>541</v>
      </c>
      <c r="AD28" s="2">
        <f t="shared" si="6"/>
        <v>5071.93</v>
      </c>
      <c r="AE28">
        <f t="shared" si="7"/>
        <v>5903.2181492451355</v>
      </c>
      <c r="AF28">
        <f t="shared" si="8"/>
        <v>-42718</v>
      </c>
      <c r="AG28" s="2">
        <f t="shared" si="9"/>
        <v>0</v>
      </c>
      <c r="AH28">
        <f t="shared" si="10"/>
        <v>0</v>
      </c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29"/>
      <c r="H29" s="176"/>
      <c r="I29" s="3"/>
      <c r="J29" s="3"/>
      <c r="K29" s="3"/>
      <c r="O29" s="81">
        <v>1.04</v>
      </c>
      <c r="P29" s="81">
        <f t="shared" si="11"/>
        <v>26.561599999999999</v>
      </c>
      <c r="Q29" s="2"/>
      <c r="T29" s="817">
        <v>43161</v>
      </c>
      <c r="U29" t="s">
        <v>951</v>
      </c>
      <c r="W29" s="134"/>
      <c r="Z29">
        <f t="shared" si="2"/>
        <v>419</v>
      </c>
      <c r="AA29" s="2">
        <f t="shared" si="3"/>
        <v>8250</v>
      </c>
      <c r="AB29">
        <f t="shared" si="4"/>
        <v>9279.082118321101</v>
      </c>
      <c r="AC29">
        <f t="shared" si="5"/>
        <v>-42718</v>
      </c>
      <c r="AD29" s="2">
        <f t="shared" si="6"/>
        <v>0</v>
      </c>
      <c r="AE29">
        <f t="shared" si="7"/>
        <v>0</v>
      </c>
      <c r="AF29">
        <f t="shared" si="8"/>
        <v>-42718</v>
      </c>
      <c r="AG29" s="2">
        <f t="shared" si="9"/>
        <v>0</v>
      </c>
      <c r="AH29">
        <f t="shared" si="10"/>
        <v>0</v>
      </c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11"/>
        <v>26.3062</v>
      </c>
      <c r="Q30" s="2"/>
      <c r="T30" s="817"/>
      <c r="W30" s="134"/>
      <c r="Z30">
        <f t="shared" si="2"/>
        <v>448</v>
      </c>
      <c r="AA30" s="2">
        <f t="shared" si="3"/>
        <v>5256</v>
      </c>
      <c r="AB30">
        <f t="shared" si="4"/>
        <v>5959.9112654126075</v>
      </c>
      <c r="AC30">
        <f t="shared" si="5"/>
        <v>-42718</v>
      </c>
      <c r="AD30" s="2">
        <f t="shared" si="6"/>
        <v>0</v>
      </c>
      <c r="AE30">
        <f t="shared" si="7"/>
        <v>0</v>
      </c>
      <c r="AF30">
        <f t="shared" si="8"/>
        <v>-42718</v>
      </c>
      <c r="AG30" s="2">
        <f t="shared" si="9"/>
        <v>0</v>
      </c>
      <c r="AH30">
        <f t="shared" si="10"/>
        <v>0</v>
      </c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11"/>
        <v>26.050799999999999</v>
      </c>
      <c r="Q31" s="2"/>
      <c r="T31" s="817">
        <v>43167</v>
      </c>
      <c r="U31" t="s">
        <v>978</v>
      </c>
      <c r="W31" s="134"/>
      <c r="Z31">
        <f t="shared" si="2"/>
        <v>449</v>
      </c>
      <c r="AA31" s="2">
        <f t="shared" si="3"/>
        <v>7237.83</v>
      </c>
      <c r="AB31">
        <f t="shared" si="4"/>
        <v>8209.4612220694016</v>
      </c>
      <c r="AC31">
        <f t="shared" si="5"/>
        <v>-42718</v>
      </c>
      <c r="AD31" s="2">
        <f t="shared" si="6"/>
        <v>0</v>
      </c>
      <c r="AE31">
        <f t="shared" si="7"/>
        <v>0</v>
      </c>
      <c r="AF31">
        <f t="shared" si="8"/>
        <v>-42718</v>
      </c>
      <c r="AG31" s="2">
        <f t="shared" si="9"/>
        <v>0</v>
      </c>
      <c r="AH31">
        <f t="shared" si="10"/>
        <v>0</v>
      </c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11"/>
        <v>25.795400000000001</v>
      </c>
      <c r="Q32" s="2"/>
      <c r="W32" s="134"/>
      <c r="Z32">
        <f t="shared" si="2"/>
        <v>449</v>
      </c>
      <c r="AA32" s="2">
        <f t="shared" si="3"/>
        <v>4616</v>
      </c>
      <c r="AB32">
        <f t="shared" si="4"/>
        <v>5235.6677348144904</v>
      </c>
      <c r="AC32">
        <f t="shared" si="5"/>
        <v>-42718</v>
      </c>
      <c r="AD32" s="2">
        <f t="shared" si="6"/>
        <v>0</v>
      </c>
      <c r="AE32">
        <f t="shared" si="7"/>
        <v>0</v>
      </c>
      <c r="AF32">
        <f t="shared" si="8"/>
        <v>-42718</v>
      </c>
      <c r="AG32" s="2">
        <f t="shared" si="9"/>
        <v>0</v>
      </c>
      <c r="AH32">
        <f t="shared" si="10"/>
        <v>0</v>
      </c>
      <c r="AI32" s="2"/>
      <c r="AM32" s="2"/>
    </row>
    <row r="33" spans="2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11"/>
        <v>25.54</v>
      </c>
      <c r="Q33" s="2"/>
      <c r="T33" s="816">
        <v>43196</v>
      </c>
      <c r="U33" t="s">
        <v>971</v>
      </c>
      <c r="W33" s="134"/>
      <c r="Z33">
        <f t="shared" si="2"/>
        <v>449</v>
      </c>
      <c r="AA33" s="2">
        <f t="shared" si="3"/>
        <v>11475</v>
      </c>
      <c r="AB33">
        <f t="shared" si="4"/>
        <v>13015.443513214097</v>
      </c>
      <c r="AC33">
        <f t="shared" si="5"/>
        <v>-42718</v>
      </c>
      <c r="AD33" s="2">
        <f t="shared" si="6"/>
        <v>0</v>
      </c>
      <c r="AE33">
        <f t="shared" si="7"/>
        <v>0</v>
      </c>
      <c r="AF33">
        <f t="shared" si="8"/>
        <v>-42718</v>
      </c>
      <c r="AG33" s="2">
        <f t="shared" si="9"/>
        <v>0</v>
      </c>
      <c r="AH33">
        <f t="shared" si="10"/>
        <v>0</v>
      </c>
      <c r="AI33" s="2"/>
    </row>
    <row r="34" spans="2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11"/>
        <v>25.284599999999998</v>
      </c>
      <c r="Q34" s="2"/>
      <c r="U34" t="s">
        <v>993</v>
      </c>
      <c r="W34" s="134"/>
      <c r="Z34">
        <f t="shared" si="2"/>
        <v>464</v>
      </c>
      <c r="AA34" s="2">
        <f t="shared" si="3"/>
        <v>11750</v>
      </c>
      <c r="AB34">
        <f t="shared" si="4"/>
        <v>13383.563012289102</v>
      </c>
      <c r="AC34">
        <f t="shared" si="5"/>
        <v>-42718</v>
      </c>
      <c r="AD34" s="2">
        <f t="shared" si="6"/>
        <v>0</v>
      </c>
      <c r="AE34">
        <f t="shared" si="7"/>
        <v>0</v>
      </c>
      <c r="AF34">
        <f t="shared" si="8"/>
        <v>-42718</v>
      </c>
      <c r="AG34" s="2">
        <f t="shared" si="9"/>
        <v>0</v>
      </c>
      <c r="AH34">
        <f t="shared" si="10"/>
        <v>0</v>
      </c>
      <c r="AI34" s="2"/>
    </row>
    <row r="35" spans="2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11"/>
        <v>25.029199999999999</v>
      </c>
      <c r="Q35" s="2"/>
      <c r="T35" s="816">
        <v>43200</v>
      </c>
      <c r="U35" t="s">
        <v>1008</v>
      </c>
      <c r="W35" s="134"/>
      <c r="Z35">
        <f t="shared" si="2"/>
        <v>464</v>
      </c>
      <c r="AA35" s="2">
        <f t="shared" si="3"/>
        <v>11640</v>
      </c>
      <c r="AB35">
        <f t="shared" si="4"/>
        <v>13258.270081961289</v>
      </c>
      <c r="AC35">
        <f t="shared" si="5"/>
        <v>-42718</v>
      </c>
      <c r="AD35" s="2">
        <f t="shared" si="6"/>
        <v>0</v>
      </c>
      <c r="AE35">
        <f t="shared" si="7"/>
        <v>0</v>
      </c>
      <c r="AF35">
        <f t="shared" si="8"/>
        <v>-42718</v>
      </c>
      <c r="AG35" s="2">
        <f t="shared" si="9"/>
        <v>0</v>
      </c>
      <c r="AH35">
        <f t="shared" si="10"/>
        <v>0</v>
      </c>
      <c r="AI35" s="2"/>
    </row>
    <row r="36" spans="2:39" x14ac:dyDescent="0.25">
      <c r="B36" s="477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11"/>
        <v>24.773799999999998</v>
      </c>
      <c r="T36" s="816">
        <v>43203</v>
      </c>
      <c r="U36" t="s">
        <v>1007</v>
      </c>
      <c r="W36" s="134"/>
      <c r="Z36">
        <f t="shared" si="2"/>
        <v>491</v>
      </c>
      <c r="AA36" s="2">
        <f t="shared" si="3"/>
        <v>12090</v>
      </c>
      <c r="AB36">
        <f t="shared" si="4"/>
        <v>13875.539219915803</v>
      </c>
      <c r="AC36">
        <f t="shared" si="5"/>
        <v>-42718</v>
      </c>
      <c r="AD36" s="2">
        <f t="shared" si="6"/>
        <v>0</v>
      </c>
      <c r="AE36">
        <f t="shared" si="7"/>
        <v>0</v>
      </c>
      <c r="AF36">
        <f t="shared" si="8"/>
        <v>-42718</v>
      </c>
      <c r="AG36" s="2">
        <f t="shared" si="9"/>
        <v>0</v>
      </c>
      <c r="AH36">
        <f t="shared" si="10"/>
        <v>0</v>
      </c>
      <c r="AI36" s="2"/>
    </row>
    <row r="37" spans="2:39" x14ac:dyDescent="0.25">
      <c r="B37" s="477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77"/>
      <c r="O37" s="81">
        <v>0.96</v>
      </c>
      <c r="P37" s="81">
        <f t="shared" si="11"/>
        <v>24.5184</v>
      </c>
      <c r="W37" s="134"/>
      <c r="Z37">
        <f t="shared" si="2"/>
        <v>492</v>
      </c>
      <c r="AA37" s="2">
        <f t="shared" si="3"/>
        <v>7284</v>
      </c>
      <c r="AB37">
        <f t="shared" si="4"/>
        <v>8362.0997880912801</v>
      </c>
      <c r="AC37">
        <f t="shared" si="5"/>
        <v>-42718</v>
      </c>
      <c r="AD37" s="2">
        <f t="shared" si="6"/>
        <v>0</v>
      </c>
      <c r="AE37">
        <f t="shared" si="7"/>
        <v>0</v>
      </c>
      <c r="AF37">
        <f t="shared" si="8"/>
        <v>-42718</v>
      </c>
      <c r="AG37" s="2">
        <f t="shared" si="9"/>
        <v>0</v>
      </c>
      <c r="AH37">
        <f t="shared" si="10"/>
        <v>0</v>
      </c>
      <c r="AI37" s="2"/>
    </row>
    <row r="38" spans="2:39" x14ac:dyDescent="0.25">
      <c r="B38" s="477">
        <v>43210</v>
      </c>
      <c r="C38" s="7">
        <v>200</v>
      </c>
      <c r="D38" s="43">
        <v>24.28</v>
      </c>
      <c r="E38" s="43">
        <v>0</v>
      </c>
      <c r="F38" s="43">
        <f t="shared" ref="F38:F42" si="12">D38*C38+E38</f>
        <v>4856</v>
      </c>
      <c r="G38" s="29"/>
      <c r="O38" s="81">
        <v>0.95</v>
      </c>
      <c r="P38" s="81">
        <f t="shared" si="11"/>
        <v>24.262999999999998</v>
      </c>
      <c r="T38" s="816">
        <v>43210</v>
      </c>
      <c r="U38" t="s">
        <v>1013</v>
      </c>
      <c r="W38" s="134"/>
      <c r="Z38">
        <f t="shared" si="2"/>
        <v>492</v>
      </c>
      <c r="AA38" s="2">
        <f t="shared" si="3"/>
        <v>4856</v>
      </c>
      <c r="AB38">
        <f t="shared" si="4"/>
        <v>5574.7331920608531</v>
      </c>
      <c r="AC38">
        <f t="shared" si="5"/>
        <v>-42718</v>
      </c>
      <c r="AD38" s="2">
        <f t="shared" si="6"/>
        <v>0</v>
      </c>
      <c r="AE38">
        <f t="shared" si="7"/>
        <v>0</v>
      </c>
      <c r="AF38">
        <f t="shared" si="8"/>
        <v>-42718</v>
      </c>
      <c r="AG38" s="2">
        <f t="shared" si="9"/>
        <v>0</v>
      </c>
      <c r="AH38">
        <f t="shared" si="10"/>
        <v>0</v>
      </c>
      <c r="AI38" s="2"/>
    </row>
    <row r="39" spans="2:39" x14ac:dyDescent="0.25">
      <c r="B39" s="477">
        <v>43220</v>
      </c>
      <c r="C39" s="7">
        <v>200</v>
      </c>
      <c r="D39" s="43">
        <v>25.4</v>
      </c>
      <c r="E39" s="43">
        <v>0</v>
      </c>
      <c r="F39" s="43">
        <f t="shared" si="12"/>
        <v>5080</v>
      </c>
      <c r="G39" s="29"/>
      <c r="O39" s="81">
        <v>0.94</v>
      </c>
      <c r="P39" s="81">
        <f t="shared" si="11"/>
        <v>24.007599999999996</v>
      </c>
      <c r="U39" t="s">
        <v>1014</v>
      </c>
      <c r="W39" s="134"/>
      <c r="Z39">
        <f t="shared" si="2"/>
        <v>502</v>
      </c>
      <c r="AA39" s="2">
        <f t="shared" si="3"/>
        <v>5080</v>
      </c>
      <c r="AB39">
        <f t="shared" si="4"/>
        <v>5848.2714667292394</v>
      </c>
      <c r="AC39">
        <f t="shared" si="5"/>
        <v>-42718</v>
      </c>
      <c r="AD39" s="2">
        <f t="shared" si="6"/>
        <v>0</v>
      </c>
      <c r="AE39">
        <f t="shared" si="7"/>
        <v>0</v>
      </c>
      <c r="AF39">
        <f t="shared" si="8"/>
        <v>-42718</v>
      </c>
      <c r="AG39" s="2">
        <f t="shared" si="9"/>
        <v>0</v>
      </c>
      <c r="AH39">
        <f t="shared" si="10"/>
        <v>0</v>
      </c>
      <c r="AI39" s="2"/>
    </row>
    <row r="40" spans="2:39" x14ac:dyDescent="0.25">
      <c r="B40" s="477">
        <v>43221</v>
      </c>
      <c r="C40" s="7">
        <v>300</v>
      </c>
      <c r="D40" s="77">
        <v>24.65</v>
      </c>
      <c r="E40" s="43">
        <v>0</v>
      </c>
      <c r="F40" s="43">
        <f t="shared" si="12"/>
        <v>7395</v>
      </c>
      <c r="G40" s="29"/>
      <c r="O40" s="81">
        <v>0.93</v>
      </c>
      <c r="P40" s="81">
        <f t="shared" si="11"/>
        <v>23.752200000000002</v>
      </c>
      <c r="W40" s="134"/>
      <c r="Z40">
        <f t="shared" si="2"/>
        <v>503</v>
      </c>
      <c r="AA40" s="2">
        <f t="shared" si="3"/>
        <v>7395</v>
      </c>
      <c r="AB40">
        <f t="shared" si="4"/>
        <v>8515.7681714123719</v>
      </c>
      <c r="AC40">
        <f t="shared" si="5"/>
        <v>-42718</v>
      </c>
      <c r="AD40" s="2">
        <f t="shared" si="6"/>
        <v>0</v>
      </c>
      <c r="AE40">
        <f t="shared" si="7"/>
        <v>0</v>
      </c>
      <c r="AF40">
        <f t="shared" si="8"/>
        <v>-42718</v>
      </c>
      <c r="AG40" s="2">
        <f t="shared" si="9"/>
        <v>0</v>
      </c>
      <c r="AH40">
        <f t="shared" si="10"/>
        <v>0</v>
      </c>
      <c r="AI40" s="2"/>
    </row>
    <row r="41" spans="2:39" x14ac:dyDescent="0.25">
      <c r="B41" s="735">
        <v>43237</v>
      </c>
      <c r="C41" s="4">
        <v>300</v>
      </c>
      <c r="D41" s="3">
        <v>25.27</v>
      </c>
      <c r="E41" s="3">
        <v>0</v>
      </c>
      <c r="F41" s="3">
        <f t="shared" si="12"/>
        <v>7581</v>
      </c>
      <c r="G41" s="477"/>
      <c r="O41" s="81">
        <v>0.92</v>
      </c>
      <c r="P41" s="81">
        <f t="shared" si="11"/>
        <v>23.4968</v>
      </c>
      <c r="W41" s="134"/>
      <c r="Z41">
        <f t="shared" si="2"/>
        <v>519</v>
      </c>
      <c r="AA41" s="2">
        <f t="shared" si="3"/>
        <v>7581</v>
      </c>
      <c r="AB41">
        <f t="shared" si="4"/>
        <v>8769.2326550795897</v>
      </c>
      <c r="AC41">
        <f t="shared" si="5"/>
        <v>-42718</v>
      </c>
      <c r="AD41" s="2">
        <f t="shared" si="6"/>
        <v>0</v>
      </c>
      <c r="AE41">
        <f t="shared" si="7"/>
        <v>0</v>
      </c>
      <c r="AF41">
        <f t="shared" si="8"/>
        <v>-42718</v>
      </c>
      <c r="AG41" s="2">
        <f t="shared" si="9"/>
        <v>0</v>
      </c>
      <c r="AH41">
        <f t="shared" si="10"/>
        <v>0</v>
      </c>
      <c r="AI41" s="2"/>
    </row>
    <row r="42" spans="2:39" x14ac:dyDescent="0.25">
      <c r="B42" s="735">
        <v>43243</v>
      </c>
      <c r="C42" s="7">
        <v>200</v>
      </c>
      <c r="D42" s="77">
        <v>24.57</v>
      </c>
      <c r="E42" s="43">
        <v>0</v>
      </c>
      <c r="F42" s="43">
        <f t="shared" si="12"/>
        <v>4914</v>
      </c>
      <c r="G42" s="477"/>
      <c r="O42" s="81">
        <v>0.91</v>
      </c>
      <c r="P42" s="81">
        <f t="shared" si="11"/>
        <v>23.241399999999999</v>
      </c>
      <c r="T42" s="816">
        <v>43214</v>
      </c>
      <c r="U42" t="s">
        <v>1019</v>
      </c>
      <c r="W42" s="134"/>
      <c r="Z42">
        <f t="shared" si="2"/>
        <v>525</v>
      </c>
      <c r="AA42" s="2">
        <f t="shared" si="3"/>
        <v>4914</v>
      </c>
      <c r="AB42">
        <f t="shared" si="4"/>
        <v>5693.7879569728611</v>
      </c>
      <c r="AC42">
        <f t="shared" si="5"/>
        <v>-42718</v>
      </c>
      <c r="AD42" s="2">
        <f t="shared" si="6"/>
        <v>0</v>
      </c>
      <c r="AE42">
        <f t="shared" si="7"/>
        <v>0</v>
      </c>
      <c r="AF42">
        <f t="shared" si="8"/>
        <v>-42718</v>
      </c>
      <c r="AG42" s="2">
        <f t="shared" si="9"/>
        <v>0</v>
      </c>
      <c r="AH42">
        <f t="shared" si="10"/>
        <v>0</v>
      </c>
      <c r="AI42" s="2"/>
    </row>
    <row r="43" spans="2:39" x14ac:dyDescent="0.25">
      <c r="B43" s="29"/>
      <c r="C43" s="4"/>
      <c r="D43" s="3"/>
      <c r="E43" s="3"/>
      <c r="F43" s="3"/>
      <c r="G43" s="29"/>
      <c r="O43" s="81">
        <v>0.9</v>
      </c>
      <c r="P43" s="81">
        <f t="shared" si="11"/>
        <v>22.986000000000001</v>
      </c>
      <c r="T43" s="816">
        <v>43221</v>
      </c>
      <c r="U43" t="s">
        <v>1060</v>
      </c>
      <c r="W43" s="134"/>
      <c r="Z43">
        <f t="shared" si="2"/>
        <v>-42718</v>
      </c>
      <c r="AA43" s="2">
        <f t="shared" si="3"/>
        <v>0</v>
      </c>
      <c r="AB43">
        <f t="shared" si="4"/>
        <v>0</v>
      </c>
      <c r="AC43">
        <f t="shared" si="5"/>
        <v>-42718</v>
      </c>
      <c r="AD43" s="2">
        <f t="shared" si="6"/>
        <v>0</v>
      </c>
      <c r="AE43">
        <f t="shared" si="7"/>
        <v>0</v>
      </c>
      <c r="AF43">
        <f t="shared" si="8"/>
        <v>-42718</v>
      </c>
      <c r="AG43" s="2">
        <f t="shared" si="9"/>
        <v>0</v>
      </c>
      <c r="AH43">
        <f t="shared" si="10"/>
        <v>0</v>
      </c>
      <c r="AI43" s="2"/>
    </row>
    <row r="44" spans="2:39" x14ac:dyDescent="0.25">
      <c r="B44" s="29"/>
      <c r="D44" s="78"/>
      <c r="G44" s="29"/>
      <c r="T44" s="817">
        <v>43223</v>
      </c>
      <c r="U44" t="s">
        <v>1058</v>
      </c>
      <c r="W44" s="134"/>
      <c r="Z44">
        <f t="shared" si="2"/>
        <v>-42718</v>
      </c>
      <c r="AA44" s="2">
        <f t="shared" si="3"/>
        <v>0</v>
      </c>
      <c r="AB44">
        <f t="shared" si="4"/>
        <v>0</v>
      </c>
      <c r="AC44">
        <f t="shared" si="5"/>
        <v>-42718</v>
      </c>
      <c r="AD44" s="2">
        <f t="shared" si="6"/>
        <v>0</v>
      </c>
      <c r="AE44">
        <f t="shared" si="7"/>
        <v>0</v>
      </c>
      <c r="AF44">
        <f t="shared" si="8"/>
        <v>-42718</v>
      </c>
      <c r="AG44" s="2">
        <f t="shared" si="9"/>
        <v>0</v>
      </c>
      <c r="AH44">
        <f t="shared" si="10"/>
        <v>0</v>
      </c>
      <c r="AI44" s="2"/>
    </row>
    <row r="45" spans="2:39" x14ac:dyDescent="0.25">
      <c r="B45" s="29"/>
      <c r="C45" s="4"/>
      <c r="D45" s="3"/>
      <c r="E45" s="3"/>
      <c r="F45" s="3"/>
      <c r="G45" s="29"/>
      <c r="W45" s="134"/>
      <c r="Z45">
        <f t="shared" si="2"/>
        <v>-42718</v>
      </c>
      <c r="AA45" s="2">
        <f t="shared" si="3"/>
        <v>0</v>
      </c>
      <c r="AB45">
        <f t="shared" si="4"/>
        <v>0</v>
      </c>
      <c r="AC45">
        <f t="shared" si="5"/>
        <v>-42718</v>
      </c>
      <c r="AD45" s="2">
        <f t="shared" si="6"/>
        <v>0</v>
      </c>
      <c r="AE45">
        <f t="shared" si="7"/>
        <v>0</v>
      </c>
      <c r="AF45">
        <f t="shared" si="8"/>
        <v>-42718</v>
      </c>
      <c r="AG45" s="2">
        <f t="shared" si="9"/>
        <v>0</v>
      </c>
      <c r="AH45">
        <f t="shared" si="10"/>
        <v>0</v>
      </c>
      <c r="AI45" s="2"/>
    </row>
    <row r="46" spans="2:39" x14ac:dyDescent="0.25">
      <c r="B46" s="29"/>
      <c r="D46" s="78"/>
      <c r="G46" s="29"/>
      <c r="T46" s="816">
        <v>43224</v>
      </c>
      <c r="U46" s="475" t="s">
        <v>1059</v>
      </c>
      <c r="W46" s="134"/>
      <c r="Z46">
        <f t="shared" si="2"/>
        <v>-42718</v>
      </c>
      <c r="AA46" s="2">
        <f t="shared" si="3"/>
        <v>0</v>
      </c>
      <c r="AB46">
        <f t="shared" si="4"/>
        <v>0</v>
      </c>
      <c r="AC46">
        <f t="shared" si="5"/>
        <v>-42718</v>
      </c>
      <c r="AD46" s="2">
        <f t="shared" si="6"/>
        <v>0</v>
      </c>
      <c r="AE46">
        <f t="shared" si="7"/>
        <v>0</v>
      </c>
      <c r="AF46">
        <f t="shared" si="8"/>
        <v>-42718</v>
      </c>
      <c r="AG46" s="2">
        <f t="shared" si="9"/>
        <v>0</v>
      </c>
      <c r="AH46">
        <f t="shared" si="10"/>
        <v>0</v>
      </c>
      <c r="AI46" s="2"/>
    </row>
    <row r="47" spans="2:39" x14ac:dyDescent="0.25">
      <c r="B47" s="29"/>
      <c r="C47" s="4"/>
      <c r="D47" s="3"/>
      <c r="E47" s="3"/>
      <c r="F47" s="3"/>
      <c r="G47" s="29"/>
      <c r="W47" s="134"/>
      <c r="Z47">
        <f t="shared" si="2"/>
        <v>-42718</v>
      </c>
      <c r="AA47" s="2">
        <f t="shared" si="3"/>
        <v>0</v>
      </c>
      <c r="AB47">
        <f t="shared" si="4"/>
        <v>0</v>
      </c>
      <c r="AC47">
        <f t="shared" si="5"/>
        <v>-42718</v>
      </c>
      <c r="AD47" s="2">
        <f t="shared" si="6"/>
        <v>0</v>
      </c>
      <c r="AE47">
        <f t="shared" si="7"/>
        <v>0</v>
      </c>
      <c r="AF47">
        <f t="shared" si="8"/>
        <v>-42718</v>
      </c>
      <c r="AG47" s="2">
        <f t="shared" si="9"/>
        <v>0</v>
      </c>
      <c r="AH47">
        <f t="shared" si="10"/>
        <v>0</v>
      </c>
      <c r="AI47" s="2"/>
      <c r="AM47" s="2"/>
    </row>
    <row r="48" spans="2:39" x14ac:dyDescent="0.25">
      <c r="B48" s="29"/>
      <c r="D48" s="78"/>
      <c r="G48" s="29"/>
      <c r="T48" s="816">
        <v>43236</v>
      </c>
      <c r="U48" t="s">
        <v>1085</v>
      </c>
      <c r="W48" s="134"/>
      <c r="Z48">
        <f t="shared" si="2"/>
        <v>-42718</v>
      </c>
      <c r="AA48" s="2">
        <f t="shared" si="3"/>
        <v>0</v>
      </c>
      <c r="AB48">
        <f t="shared" si="4"/>
        <v>0</v>
      </c>
      <c r="AC48">
        <f t="shared" si="5"/>
        <v>-42718</v>
      </c>
      <c r="AD48" s="2">
        <f t="shared" si="6"/>
        <v>0</v>
      </c>
      <c r="AE48">
        <f t="shared" si="7"/>
        <v>0</v>
      </c>
      <c r="AF48">
        <f t="shared" si="8"/>
        <v>-42718</v>
      </c>
      <c r="AG48" s="2">
        <f t="shared" si="9"/>
        <v>0</v>
      </c>
      <c r="AH48">
        <f t="shared" si="10"/>
        <v>0</v>
      </c>
      <c r="AI48" s="2"/>
    </row>
    <row r="49" spans="1:39" x14ac:dyDescent="0.25">
      <c r="B49" s="29"/>
      <c r="C49" s="4"/>
      <c r="D49" s="3"/>
      <c r="E49" s="3"/>
      <c r="F49" s="3"/>
      <c r="G49" s="29"/>
      <c r="T49" s="841">
        <v>43237</v>
      </c>
      <c r="U49" t="s">
        <v>1015</v>
      </c>
      <c r="W49" s="134"/>
      <c r="Z49">
        <f t="shared" si="2"/>
        <v>-42718</v>
      </c>
      <c r="AA49" s="2">
        <f t="shared" si="3"/>
        <v>0</v>
      </c>
      <c r="AB49">
        <f t="shared" si="4"/>
        <v>0</v>
      </c>
      <c r="AC49">
        <f t="shared" si="5"/>
        <v>-42718</v>
      </c>
      <c r="AD49" s="2">
        <f t="shared" si="6"/>
        <v>0</v>
      </c>
      <c r="AE49">
        <f t="shared" si="7"/>
        <v>0</v>
      </c>
      <c r="AF49">
        <f t="shared" si="8"/>
        <v>-42718</v>
      </c>
      <c r="AG49" s="2">
        <f t="shared" si="9"/>
        <v>0</v>
      </c>
      <c r="AH49">
        <f t="shared" si="10"/>
        <v>0</v>
      </c>
      <c r="AI49" s="2"/>
    </row>
    <row r="50" spans="1:39" x14ac:dyDescent="0.25">
      <c r="B50" s="29"/>
      <c r="D50" s="78"/>
      <c r="G50" s="29"/>
      <c r="U50" t="s">
        <v>1087</v>
      </c>
      <c r="W50" s="134"/>
      <c r="Z50">
        <f t="shared" si="2"/>
        <v>-42718</v>
      </c>
      <c r="AA50" s="2">
        <f t="shared" si="3"/>
        <v>0</v>
      </c>
      <c r="AB50">
        <f t="shared" si="4"/>
        <v>0</v>
      </c>
      <c r="AC50">
        <f t="shared" si="5"/>
        <v>-42718</v>
      </c>
      <c r="AD50" s="2">
        <f t="shared" si="6"/>
        <v>0</v>
      </c>
      <c r="AE50">
        <f t="shared" si="7"/>
        <v>0</v>
      </c>
      <c r="AF50">
        <f t="shared" si="8"/>
        <v>-42718</v>
      </c>
      <c r="AG50" s="2">
        <f t="shared" si="9"/>
        <v>0</v>
      </c>
      <c r="AH50">
        <f t="shared" si="10"/>
        <v>0</v>
      </c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1089</v>
      </c>
      <c r="W51" s="134"/>
      <c r="Z51">
        <f t="shared" si="2"/>
        <v>-42718</v>
      </c>
      <c r="AA51" s="2">
        <f t="shared" si="3"/>
        <v>0</v>
      </c>
      <c r="AB51">
        <f t="shared" si="4"/>
        <v>0</v>
      </c>
      <c r="AC51">
        <f t="shared" si="5"/>
        <v>-42718</v>
      </c>
      <c r="AD51" s="2">
        <f t="shared" si="6"/>
        <v>0</v>
      </c>
      <c r="AE51">
        <f t="shared" si="7"/>
        <v>0</v>
      </c>
      <c r="AF51">
        <f t="shared" si="8"/>
        <v>-42718</v>
      </c>
      <c r="AG51" s="2">
        <f t="shared" si="9"/>
        <v>0</v>
      </c>
      <c r="AH51">
        <f t="shared" si="10"/>
        <v>0</v>
      </c>
      <c r="AI51" s="2"/>
    </row>
    <row r="52" spans="1:39" x14ac:dyDescent="0.25">
      <c r="B52" s="29"/>
      <c r="D52" s="78"/>
      <c r="G52" s="29"/>
      <c r="Z52">
        <f t="shared" si="2"/>
        <v>-42718</v>
      </c>
      <c r="AA52" s="2">
        <f t="shared" si="3"/>
        <v>0</v>
      </c>
      <c r="AB52">
        <f t="shared" si="4"/>
        <v>0</v>
      </c>
      <c r="AC52">
        <f t="shared" si="5"/>
        <v>-42718</v>
      </c>
      <c r="AD52" s="2">
        <f t="shared" si="6"/>
        <v>0</v>
      </c>
      <c r="AE52">
        <f t="shared" si="7"/>
        <v>0</v>
      </c>
      <c r="AF52">
        <f t="shared" si="8"/>
        <v>-42718</v>
      </c>
      <c r="AG52" s="2">
        <f t="shared" si="9"/>
        <v>0</v>
      </c>
      <c r="AH52">
        <f t="shared" si="10"/>
        <v>0</v>
      </c>
      <c r="AI52" s="2"/>
    </row>
    <row r="53" spans="1:39" x14ac:dyDescent="0.25">
      <c r="B53" s="29"/>
      <c r="C53" s="4"/>
      <c r="D53" s="3"/>
      <c r="E53" s="3"/>
      <c r="F53" s="3"/>
      <c r="G53" s="29"/>
      <c r="T53" s="816">
        <v>43243</v>
      </c>
      <c r="U53" t="s">
        <v>1100</v>
      </c>
      <c r="Z53">
        <f t="shared" si="2"/>
        <v>-42718</v>
      </c>
      <c r="AA53" s="2">
        <f t="shared" si="3"/>
        <v>0</v>
      </c>
      <c r="AB53">
        <f t="shared" si="4"/>
        <v>0</v>
      </c>
      <c r="AC53">
        <f t="shared" si="5"/>
        <v>-42718</v>
      </c>
      <c r="AD53" s="2">
        <f t="shared" si="6"/>
        <v>0</v>
      </c>
      <c r="AE53">
        <f t="shared" si="7"/>
        <v>0</v>
      </c>
      <c r="AF53">
        <f t="shared" si="8"/>
        <v>-42718</v>
      </c>
      <c r="AG53" s="2">
        <f t="shared" si="9"/>
        <v>0</v>
      </c>
      <c r="AH53">
        <f t="shared" si="10"/>
        <v>0</v>
      </c>
      <c r="AI53" s="2"/>
    </row>
    <row r="54" spans="1:39" x14ac:dyDescent="0.25">
      <c r="B54" s="29"/>
      <c r="D54" s="78"/>
      <c r="G54" s="29"/>
      <c r="Z54">
        <f t="shared" si="2"/>
        <v>-42718</v>
      </c>
      <c r="AA54" s="2">
        <f t="shared" si="3"/>
        <v>0</v>
      </c>
      <c r="AB54">
        <f t="shared" si="4"/>
        <v>0</v>
      </c>
      <c r="AC54">
        <f t="shared" si="5"/>
        <v>-42718</v>
      </c>
      <c r="AD54" s="2">
        <f t="shared" si="6"/>
        <v>0</v>
      </c>
      <c r="AE54">
        <f t="shared" si="7"/>
        <v>0</v>
      </c>
      <c r="AF54">
        <f t="shared" si="8"/>
        <v>-42718</v>
      </c>
      <c r="AG54" s="2">
        <f t="shared" si="9"/>
        <v>0</v>
      </c>
      <c r="AH54">
        <f t="shared" si="10"/>
        <v>0</v>
      </c>
      <c r="AI54" s="2"/>
    </row>
    <row r="55" spans="1:39" x14ac:dyDescent="0.25">
      <c r="B55" s="29"/>
      <c r="C55" s="4"/>
      <c r="D55" s="3"/>
      <c r="E55" s="3"/>
      <c r="F55" s="3"/>
      <c r="G55" s="29"/>
      <c r="Z55">
        <f t="shared" si="2"/>
        <v>-42718</v>
      </c>
      <c r="AA55" s="2">
        <f t="shared" si="3"/>
        <v>0</v>
      </c>
      <c r="AB55">
        <f t="shared" si="4"/>
        <v>0</v>
      </c>
      <c r="AC55">
        <f t="shared" si="5"/>
        <v>-42718</v>
      </c>
      <c r="AD55" s="2">
        <f t="shared" si="6"/>
        <v>0</v>
      </c>
      <c r="AE55">
        <f t="shared" si="7"/>
        <v>0</v>
      </c>
      <c r="AF55">
        <f t="shared" si="8"/>
        <v>-42718</v>
      </c>
      <c r="AG55" s="2">
        <f t="shared" si="9"/>
        <v>0</v>
      </c>
      <c r="AH55">
        <f t="shared" si="10"/>
        <v>0</v>
      </c>
      <c r="AI55" s="2"/>
    </row>
    <row r="56" spans="1:39" x14ac:dyDescent="0.25">
      <c r="B56" s="29"/>
      <c r="D56" s="78"/>
      <c r="G56" s="29"/>
      <c r="T56" s="834">
        <v>43272</v>
      </c>
      <c r="U56" t="s">
        <v>82</v>
      </c>
      <c r="Z56">
        <f t="shared" si="2"/>
        <v>-42718</v>
      </c>
      <c r="AA56" s="2">
        <f t="shared" si="3"/>
        <v>0</v>
      </c>
      <c r="AB56">
        <f t="shared" si="4"/>
        <v>0</v>
      </c>
      <c r="AC56">
        <f t="shared" si="5"/>
        <v>-42718</v>
      </c>
      <c r="AD56" s="2">
        <f t="shared" si="6"/>
        <v>0</v>
      </c>
      <c r="AE56">
        <f t="shared" si="7"/>
        <v>0</v>
      </c>
      <c r="AF56">
        <f t="shared" si="8"/>
        <v>-42718</v>
      </c>
      <c r="AG56" s="2">
        <f t="shared" si="9"/>
        <v>0</v>
      </c>
      <c r="AH56">
        <f t="shared" si="10"/>
        <v>0</v>
      </c>
      <c r="AI56" s="2"/>
    </row>
    <row r="57" spans="1:39" x14ac:dyDescent="0.25">
      <c r="A57" s="31" t="s">
        <v>81</v>
      </c>
      <c r="B57" s="14"/>
      <c r="C57" s="14">
        <f>SUM(C2:C56)</f>
        <v>9800</v>
      </c>
      <c r="D57" s="18"/>
      <c r="E57" s="18"/>
      <c r="F57" s="18">
        <f>SUM(F2:F56)</f>
        <v>255176.06999999998</v>
      </c>
      <c r="G57" s="14"/>
      <c r="H57" s="14">
        <f>SUM(H2:H56)</f>
        <v>7800</v>
      </c>
      <c r="I57" s="18"/>
      <c r="J57" s="18"/>
      <c r="K57" s="18">
        <f>SUM(K2:K56)</f>
        <v>198381.64999999997</v>
      </c>
      <c r="L57" s="14"/>
      <c r="M57" s="18">
        <f>SUM(M2:M56)</f>
        <v>1218.4000000000001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7800</v>
      </c>
      <c r="D58" s="343"/>
      <c r="E58" s="343"/>
      <c r="F58" s="344">
        <f>SumByColor($A$58,F2:F56)</f>
        <v>197384</v>
      </c>
      <c r="G58" s="344"/>
      <c r="H58" s="747">
        <f>SumByColor($A$58,H2:H56)</f>
        <v>7800</v>
      </c>
      <c r="I58" s="343"/>
      <c r="J58" s="343"/>
      <c r="K58" s="344">
        <f>SumByColor($A$58,K2:K56)</f>
        <v>198385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AA61" s="2"/>
      <c r="AD61" s="2"/>
      <c r="AG61" s="2"/>
      <c r="AI61" s="2"/>
    </row>
    <row r="62" spans="1:39" x14ac:dyDescent="0.25"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498</v>
      </c>
      <c r="K63" s="220" t="s">
        <v>150</v>
      </c>
      <c r="L63" s="220" t="s">
        <v>729</v>
      </c>
      <c r="AA63" s="2"/>
      <c r="AD63" s="2"/>
      <c r="AG63" s="2"/>
      <c r="AI63" s="2"/>
    </row>
    <row r="64" spans="1:39" x14ac:dyDescent="0.25">
      <c r="A64" t="s">
        <v>337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13">C64*(E64-D64)</f>
        <v>-57.00000000000216</v>
      </c>
      <c r="G64" s="39">
        <f t="shared" ref="G64:G70" si="14">D64*C64</f>
        <v>13761.000000000002</v>
      </c>
      <c r="H64" s="222">
        <f t="shared" ref="H64:H70" si="15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337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13"/>
        <v>-373.00000000000182</v>
      </c>
      <c r="G65" s="39">
        <f t="shared" si="14"/>
        <v>13761.000000000002</v>
      </c>
      <c r="H65" s="222">
        <f t="shared" si="15"/>
        <v>-2.7105588256667524E-2</v>
      </c>
      <c r="I65" s="39"/>
      <c r="J65" s="39"/>
      <c r="K65" s="39"/>
      <c r="L65" s="39"/>
    </row>
    <row r="66" spans="1:12" x14ac:dyDescent="0.25">
      <c r="A66" t="s">
        <v>367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13"/>
        <v>-391.00000000000182</v>
      </c>
      <c r="G66" s="39">
        <f t="shared" si="14"/>
        <v>17071</v>
      </c>
      <c r="H66" s="222">
        <f t="shared" si="15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391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13"/>
        <v>-60.999999999999943</v>
      </c>
      <c r="G67" s="39">
        <f t="shared" si="14"/>
        <v>17071</v>
      </c>
      <c r="H67" s="222">
        <f t="shared" si="15"/>
        <v>-3.5733114638861192E-3</v>
      </c>
      <c r="I67" s="39"/>
      <c r="J67" s="39"/>
      <c r="K67" s="39"/>
      <c r="L67" s="39"/>
    </row>
    <row r="68" spans="1:12" x14ac:dyDescent="0.25">
      <c r="A68" t="s">
        <v>407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13"/>
        <v>-531.00000000000307</v>
      </c>
      <c r="G68" s="39">
        <f t="shared" si="14"/>
        <v>20379.000000000004</v>
      </c>
      <c r="H68" s="222">
        <f t="shared" si="15"/>
        <v>-2.6056234358899016E-2</v>
      </c>
      <c r="I68" s="39"/>
      <c r="J68" s="39"/>
      <c r="K68" s="39"/>
      <c r="L68" s="39"/>
    </row>
    <row r="69" spans="1:12" x14ac:dyDescent="0.25">
      <c r="A69" t="s">
        <v>368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13"/>
        <v>-291.00000000000392</v>
      </c>
      <c r="G69" s="39">
        <f t="shared" si="14"/>
        <v>20379.000000000004</v>
      </c>
      <c r="H69" s="222">
        <f t="shared" si="15"/>
        <v>-1.4279405270131208E-2</v>
      </c>
      <c r="I69" s="39"/>
      <c r="J69" s="39"/>
      <c r="K69" s="39"/>
      <c r="L69" s="39"/>
    </row>
    <row r="70" spans="1:12" x14ac:dyDescent="0.25">
      <c r="A70" t="s">
        <v>431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13"/>
        <v>36.839999999997985</v>
      </c>
      <c r="G70" s="39">
        <f t="shared" si="14"/>
        <v>13539.160000000002</v>
      </c>
      <c r="H70" s="222">
        <f t="shared" si="15"/>
        <v>2.7209959849797166E-3</v>
      </c>
      <c r="I70" s="39" t="s">
        <v>439</v>
      </c>
      <c r="J70" s="39"/>
      <c r="K70" s="39"/>
      <c r="L70" s="39"/>
    </row>
    <row r="71" spans="1:12" x14ac:dyDescent="0.25">
      <c r="A71" t="s">
        <v>338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16">C71*(E71-D71)</f>
        <v>-217.15200000000294</v>
      </c>
      <c r="G71" s="39">
        <f t="shared" ref="G71" si="17">D71*C71</f>
        <v>20155.152000000002</v>
      </c>
      <c r="H71" s="222">
        <f t="shared" ref="H71" si="18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463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19">C72*(E72-D72)</f>
        <v>-815.12000000000171</v>
      </c>
      <c r="G72" s="39">
        <f t="shared" ref="G72" si="20">D72*C72</f>
        <v>26591.120000000003</v>
      </c>
      <c r="H72" s="222">
        <f t="shared" ref="H72" si="21">(E72-D72)/D72</f>
        <v>-3.0653842335336072E-2</v>
      </c>
      <c r="I72" s="39"/>
      <c r="J72" s="39"/>
      <c r="K72" s="39"/>
      <c r="L72" s="39"/>
    </row>
    <row r="73" spans="1:12" x14ac:dyDescent="0.25">
      <c r="A73" t="s">
        <v>468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22">C73*(E73-D73)</f>
        <v>-1989.12</v>
      </c>
      <c r="G73" s="39">
        <f t="shared" ref="G73" si="23">D73*C73</f>
        <v>44927.12</v>
      </c>
      <c r="H73" s="222">
        <f t="shared" ref="H73" si="24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25">C74*(E74-D74)</f>
        <v>-3487.4999999999991</v>
      </c>
      <c r="G74" s="39">
        <f t="shared" ref="G74" si="26">D74*C74</f>
        <v>47932.5</v>
      </c>
      <c r="H74" s="222">
        <f t="shared" ref="H74" si="27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28">C75*(E75-D75)</f>
        <v>-4805.9000000000033</v>
      </c>
      <c r="G75" s="39">
        <f t="shared" ref="G75" si="29">D75*C75</f>
        <v>53595.9</v>
      </c>
      <c r="H75" s="222">
        <f t="shared" ref="H75" si="30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31">C76*(E76-D76)</f>
        <v>-4532.9999999999973</v>
      </c>
      <c r="G76" s="39">
        <f t="shared" ref="G76" si="32">D76*C76</f>
        <v>47793</v>
      </c>
      <c r="H76" s="222">
        <f t="shared" ref="H76" si="33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34">C77*(E77-D77)</f>
        <v>-4142.9999999999955</v>
      </c>
      <c r="G77" s="39">
        <f t="shared" ref="G77" si="35">D77*C77</f>
        <v>47793</v>
      </c>
      <c r="H77" s="222">
        <f t="shared" ref="H77" si="36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37">C78*(E78-D78)</f>
        <v>-3764.9999999999968</v>
      </c>
      <c r="G78" s="39">
        <f t="shared" ref="G78" si="38">D78*C78</f>
        <v>47790</v>
      </c>
      <c r="H78" s="222">
        <f t="shared" ref="H78" si="39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40">C79*(E79-D79)</f>
        <v>-3944.9999999999986</v>
      </c>
      <c r="G79" s="39">
        <f t="shared" ref="G79:G80" si="41">D79*C79</f>
        <v>47790</v>
      </c>
      <c r="H79" s="222">
        <f t="shared" ref="H79:H80" si="42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40"/>
        <v>-11658.96</v>
      </c>
      <c r="G80" s="39">
        <f t="shared" si="41"/>
        <v>55182.96</v>
      </c>
      <c r="H80" s="222">
        <f t="shared" si="42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43">C81*(E81-D81)</f>
        <v>-14922.88</v>
      </c>
      <c r="G81" s="39">
        <f t="shared" ref="G81" si="44">D81*C81</f>
        <v>59502.879999999997</v>
      </c>
      <c r="H81" s="222">
        <f t="shared" ref="H81" si="45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46">C82*(E82-D82)</f>
        <v>-12982.879999999994</v>
      </c>
      <c r="G82" s="39">
        <f t="shared" ref="G82" si="47">D82*C82</f>
        <v>59502.879999999997</v>
      </c>
      <c r="H82" s="222">
        <f t="shared" ref="H82" si="48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49">C83*(E83-D83)</f>
        <v>-10943.942999999997</v>
      </c>
      <c r="G83" s="39">
        <f t="shared" ref="G83" si="50">D83*C83</f>
        <v>57075.942999999999</v>
      </c>
      <c r="H83" s="222">
        <f t="shared" ref="H83" si="51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52">C84*(E84-D84)</f>
        <v>-8839.9999999999964</v>
      </c>
      <c r="G84" s="39">
        <f t="shared" ref="G84" si="53">D84*C84</f>
        <v>59400</v>
      </c>
      <c r="H84" s="222">
        <f t="shared" ref="H84" si="54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55">C85*(E85-D85)</f>
        <v>-14325.999999999993</v>
      </c>
      <c r="G85" s="39">
        <f t="shared" ref="G85" si="56">D85*C85</f>
        <v>59166</v>
      </c>
      <c r="H85" s="222">
        <f t="shared" ref="H85" si="57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58">C86*(E86-D86)</f>
        <v>-16722.480000000003</v>
      </c>
      <c r="G86" s="39">
        <f t="shared" ref="G86" si="59">D86*C86</f>
        <v>67314.48</v>
      </c>
      <c r="H86" s="222">
        <f t="shared" ref="H86" si="60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61">C87*(E87-D87)</f>
        <v>-16623.999999999996</v>
      </c>
      <c r="G87" s="39">
        <f t="shared" ref="G87" si="62">D87*C87</f>
        <v>58894</v>
      </c>
      <c r="H87" s="222">
        <f t="shared" ref="H87" si="63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64">C88*(E88-D88)</f>
        <v>-16013.999999999996</v>
      </c>
      <c r="G88" s="39">
        <f t="shared" ref="G88" si="65">D88*C88</f>
        <v>58894</v>
      </c>
      <c r="H88" s="222">
        <f t="shared" ref="H88" si="66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67">C89*(E89-D89)</f>
        <v>-18460.640000000003</v>
      </c>
      <c r="G89" s="39">
        <f t="shared" ref="G89:G90" si="68">D89*C89</f>
        <v>62944.639999999999</v>
      </c>
      <c r="H89" s="222">
        <f t="shared" ref="H89:H90" si="69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67"/>
        <v>-17704</v>
      </c>
      <c r="G90" s="39">
        <f t="shared" si="68"/>
        <v>58824</v>
      </c>
      <c r="H90" s="222">
        <f t="shared" si="6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70">C91*(E91-D91)</f>
        <v>-16223.999999999996</v>
      </c>
      <c r="G91" s="39">
        <f t="shared" ref="G91" si="71">D91*C91</f>
        <v>58824</v>
      </c>
      <c r="H91" s="222">
        <f t="shared" ref="H91" si="72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73">C92*(E92-D92)</f>
        <v>-16123.999999999995</v>
      </c>
      <c r="G92" s="39">
        <f t="shared" ref="G92" si="74">D92*C92</f>
        <v>58824</v>
      </c>
      <c r="H92" s="222">
        <f t="shared" ref="H92" si="75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76">C93*(E93-D93)</f>
        <v>-14664.000000000002</v>
      </c>
      <c r="G93" s="39">
        <f t="shared" ref="G93" si="77">D93*C93</f>
        <v>58824</v>
      </c>
      <c r="H93" s="222">
        <f t="shared" ref="H93" si="78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9">C94*(E94-D94)</f>
        <v>-12171.6</v>
      </c>
      <c r="G94" s="39">
        <f t="shared" ref="G94" si="80">D94*C94</f>
        <v>54309.599999999999</v>
      </c>
      <c r="H94" s="222">
        <f t="shared" ref="H94" si="81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82">C95*(E95-D95)</f>
        <v>-6716.6999999999953</v>
      </c>
      <c r="G95" s="39">
        <f t="shared" ref="G95" si="83">D95*C95</f>
        <v>51664.7</v>
      </c>
      <c r="H95" s="222">
        <f t="shared" ref="H95" si="84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85">C96*(E96-D96)</f>
        <v>-5628.8000000000011</v>
      </c>
      <c r="G96" s="39">
        <f t="shared" ref="G96" si="86">D96*C96</f>
        <v>48956.799999999996</v>
      </c>
      <c r="H96" s="222">
        <f t="shared" ref="H96" si="87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88">C97*(E97-D97)</f>
        <v>-7635.0399999999981</v>
      </c>
      <c r="G97" s="39">
        <f t="shared" ref="G97" si="89">D97*C97</f>
        <v>48707.040000000001</v>
      </c>
      <c r="H97" s="222">
        <f t="shared" ref="H97" si="90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91">C98*(E98-D98)</f>
        <v>-6019.0400000000009</v>
      </c>
      <c r="G98" s="39">
        <f t="shared" ref="G98" si="92">D98*C98</f>
        <v>48707.040000000001</v>
      </c>
      <c r="H98" s="222">
        <f t="shared" ref="H98" si="93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94">C99*(E99-D99)</f>
        <v>-5426.9999999999982</v>
      </c>
      <c r="G99" s="39">
        <f t="shared" ref="G99" si="95">D99*C99</f>
        <v>46002</v>
      </c>
      <c r="H99" s="222">
        <f t="shared" ref="H99" si="96">(E99-D99)/D99</f>
        <v>-0.11797313160297374</v>
      </c>
      <c r="I99" s="193" t="s">
        <v>775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97">C100*(E100-D100)</f>
        <v>-5021.7999999999993</v>
      </c>
      <c r="G100" s="39">
        <f t="shared" ref="G100" si="98">D100*C100</f>
        <v>43269.8</v>
      </c>
      <c r="H100" s="222">
        <f t="shared" ref="H100" si="99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100">C101*(E101-D101)</f>
        <v>-3724.4999999999982</v>
      </c>
      <c r="G101" s="39">
        <f t="shared" ref="G101" si="101">D101*C101</f>
        <v>40449.5</v>
      </c>
      <c r="H101" s="222">
        <f t="shared" ref="H101" si="102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103">C102*(E102-D102)</f>
        <v>-4290.9999999999964</v>
      </c>
      <c r="G102" s="39">
        <f t="shared" ref="G102" si="104">D102*C102</f>
        <v>43211</v>
      </c>
      <c r="H102" s="222">
        <f t="shared" ref="H102" si="105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106">C103*(E103-D103)</f>
        <v>-3612.7</v>
      </c>
      <c r="G103" s="39">
        <f t="shared" ref="G103" si="107">D103*C103</f>
        <v>40402.700000000004</v>
      </c>
      <c r="H103" s="222">
        <f t="shared" ref="H103" si="108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9">C104*(E104-D104)</f>
        <v>-4197.6999999999989</v>
      </c>
      <c r="G104" s="39">
        <f t="shared" ref="G104" si="110">D104*C104</f>
        <v>40402.700000000004</v>
      </c>
      <c r="H104" s="222">
        <f t="shared" ref="H104" si="111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12">C105*(E105-D105)</f>
        <v>-5158.5</v>
      </c>
      <c r="G105" s="39">
        <f t="shared" ref="G105" si="113">D105*C105</f>
        <v>45823.5</v>
      </c>
      <c r="H105" s="222">
        <f t="shared" ref="H105" si="114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15">C106*(E106-D106)</f>
        <v>-5729.0000000000018</v>
      </c>
      <c r="G106" s="39">
        <f t="shared" ref="G106" si="116">D106*C106</f>
        <v>51170</v>
      </c>
      <c r="H106" s="222">
        <f t="shared" ref="H106" si="117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18">C107*(E107-D107)</f>
        <v>-4686.5000000000009</v>
      </c>
      <c r="G107" s="39">
        <f t="shared" ref="G107" si="119">D107*C107</f>
        <v>40202.5</v>
      </c>
      <c r="H107" s="222">
        <f t="shared" ref="H107" si="120">(E107-D107)/D107</f>
        <v>-0.1165723524656427</v>
      </c>
      <c r="I107" s="39"/>
      <c r="J107" s="39"/>
      <c r="K107" s="39">
        <v>-2938</v>
      </c>
      <c r="L107" s="39"/>
      <c r="M107" t="s">
        <v>849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21">C108*(E108-D108)</f>
        <v>-3841.5000000000023</v>
      </c>
      <c r="G108" s="39">
        <f t="shared" ref="G108" si="122">D108*C108</f>
        <v>40202.5</v>
      </c>
      <c r="H108" s="222">
        <f t="shared" ref="H108" si="123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24">C109*(E109-D109)</f>
        <v>-3578.9</v>
      </c>
      <c r="G109" s="39">
        <f t="shared" ref="G109" si="125">D109*C109</f>
        <v>40160.9</v>
      </c>
      <c r="H109" s="222">
        <f t="shared" ref="H109" si="126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27">C110*(E110-D110)</f>
        <v>-2889.8999999999987</v>
      </c>
      <c r="G110" s="39">
        <f t="shared" ref="G110" si="128">D110*C110</f>
        <v>40160.9</v>
      </c>
      <c r="H110" s="222">
        <f t="shared" ref="H110" si="129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30">C111*(E111-D111)</f>
        <v>-1500</v>
      </c>
      <c r="G111" s="39">
        <f t="shared" ref="G111" si="131">D111*C111</f>
        <v>31220</v>
      </c>
      <c r="H111" s="222">
        <f t="shared" ref="H111" si="132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33">C112*(E112-D112)</f>
        <v>-1485.6400000000015</v>
      </c>
      <c r="G112" s="39">
        <f t="shared" ref="G112" si="134">D112*C112</f>
        <v>40004.639999999999</v>
      </c>
      <c r="H112" s="222">
        <f t="shared" ref="H112" si="135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36">C113*(E113-D113)</f>
        <v>-1901.6400000000019</v>
      </c>
      <c r="G113" s="39">
        <f t="shared" ref="G113:G114" si="137">D113*C113</f>
        <v>40004.639999999999</v>
      </c>
      <c r="H113" s="222">
        <f t="shared" ref="H113:H114" si="138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36"/>
        <v>-594.99999999999886</v>
      </c>
      <c r="G114" s="39">
        <f t="shared" si="137"/>
        <v>30855</v>
      </c>
      <c r="H114" s="222">
        <f t="shared" si="138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9">C115*(E115-D115)</f>
        <v>9.055999999998221</v>
      </c>
      <c r="G115" s="39">
        <f t="shared" ref="G115" si="140">D115*C115</f>
        <v>24694.944</v>
      </c>
      <c r="H115" s="222">
        <f t="shared" ref="H115" si="141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42">C116*(E116-D116)</f>
        <v>-350.99999999999943</v>
      </c>
      <c r="G116" s="39">
        <f t="shared" ref="G116" si="143">D116*C116</f>
        <v>39819</v>
      </c>
      <c r="H116" s="222">
        <f t="shared" ref="H116" si="144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45">C117*(E117-D117)</f>
        <v>-1669.4999999999993</v>
      </c>
      <c r="G117" s="39">
        <f t="shared" ref="G117" si="146">D117*C117</f>
        <v>45679.5</v>
      </c>
      <c r="H117" s="222">
        <f t="shared" ref="H117" si="147">(E117-D117)/D117</f>
        <v>-3.6548123337602191E-2</v>
      </c>
      <c r="I117" s="193" t="s">
        <v>921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48">C118*(E118-D118)</f>
        <v>-1602.0000000000009</v>
      </c>
      <c r="G118" s="39">
        <f t="shared" ref="G118" si="149">D118*C118</f>
        <v>53928</v>
      </c>
      <c r="H118" s="222">
        <f t="shared" ref="H118" si="150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51">C119*(E119-D119)</f>
        <v>-4302.0000000000009</v>
      </c>
      <c r="G119" s="39">
        <f t="shared" ref="G119" si="152">D119*C119</f>
        <v>53928</v>
      </c>
      <c r="H119" s="222">
        <f t="shared" ref="H119" si="153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54">C120*(E120-D120)</f>
        <v>-2106.0000000000032</v>
      </c>
      <c r="G120" s="39">
        <f t="shared" ref="G120" si="155">D120*C120</f>
        <v>53928</v>
      </c>
      <c r="H120" s="222">
        <f t="shared" ref="H120" si="156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57">C121*(E121-D121)</f>
        <v>-4446.0000000000045</v>
      </c>
      <c r="G121" s="39">
        <f t="shared" ref="G121" si="158">D121*C121</f>
        <v>53928</v>
      </c>
      <c r="H121" s="222">
        <f t="shared" ref="H121" si="159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60">C122*(E122-D122)</f>
        <v>-3286.7999999999947</v>
      </c>
      <c r="G122" s="39">
        <f t="shared" ref="G122" si="161">D122*C122</f>
        <v>53704.799999999996</v>
      </c>
      <c r="H122" s="222">
        <f t="shared" ref="H122" si="162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63">C123*(E123-D123)</f>
        <v>-5780.0000000000009</v>
      </c>
      <c r="G123" s="39">
        <f t="shared" ref="G123" si="164">D123*C123</f>
        <v>58960</v>
      </c>
      <c r="H123" s="222">
        <f t="shared" ref="H123" si="165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66">C124*(E124-D124)</f>
        <v>-13344.599999999999</v>
      </c>
      <c r="G124" s="39">
        <f t="shared" ref="G124" si="167">D124*C124</f>
        <v>66198.600000000006</v>
      </c>
      <c r="H124" s="222">
        <f t="shared" ref="H124" si="168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9">C125*(E125-D125)</f>
        <v>-13365</v>
      </c>
      <c r="G125" s="39">
        <f t="shared" ref="G125" si="170">D125*C125</f>
        <v>70815</v>
      </c>
      <c r="H125" s="222">
        <f t="shared" ref="H125" si="171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72">C126*(E126-D126)</f>
        <v>-13349.999999999998</v>
      </c>
      <c r="G126" s="39">
        <f t="shared" ref="G126" si="173">D126*C126</f>
        <v>82290</v>
      </c>
      <c r="H126" s="222">
        <f t="shared" ref="H126" si="174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75">C127*(E127-D127)</f>
        <v>-10050.000000000004</v>
      </c>
      <c r="G127" s="39">
        <f t="shared" ref="G127" si="176">D127*C127</f>
        <v>82290</v>
      </c>
      <c r="H127" s="222">
        <f t="shared" ref="H127" si="177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78">C128*(E128-D128)</f>
        <v>-11618.999999999993</v>
      </c>
      <c r="G128" s="39">
        <f t="shared" ref="G128" si="179">D128*C128</f>
        <v>81459</v>
      </c>
      <c r="H128" s="222">
        <f t="shared" ref="H128" si="180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81">C129*(E129-D129)</f>
        <v>-9646</v>
      </c>
      <c r="G129" s="39">
        <f t="shared" ref="G129" si="182">D129*C129</f>
        <v>76678</v>
      </c>
      <c r="H129" s="222">
        <f t="shared" ref="H129" si="183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84">C130*(E130-D130)</f>
        <v>-9250.0000000000073</v>
      </c>
      <c r="G130" s="39">
        <f t="shared" ref="G130" si="185">D130*C130</f>
        <v>69450</v>
      </c>
      <c r="H130" s="222">
        <f t="shared" ref="H130" si="186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87">C131*(E131-D131)</f>
        <v>-10025.000000000004</v>
      </c>
      <c r="G131" s="39">
        <f t="shared" ref="G131" si="188">D131*C131</f>
        <v>69450</v>
      </c>
      <c r="H131" s="222">
        <f t="shared" ref="H131" si="189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90">C132*(E132-D132)</f>
        <v>-7954.0000000000009</v>
      </c>
      <c r="G132" s="39">
        <f t="shared" ref="G132" si="191">D132*C132</f>
        <v>57114</v>
      </c>
      <c r="H132" s="222">
        <f t="shared" ref="H132" si="192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93">C133*(E133-D133)</f>
        <v>-8754.9999999999964</v>
      </c>
      <c r="G133" s="39">
        <f t="shared" ref="G133" si="194">D133*C133</f>
        <v>69205</v>
      </c>
      <c r="H133" s="222">
        <f t="shared" ref="H133" si="195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96">C134*(E134-D134)</f>
        <v>-7005.2000000000025</v>
      </c>
      <c r="G134" s="39">
        <f t="shared" ref="G134" si="197">D134*C134</f>
        <v>56765.2</v>
      </c>
      <c r="H134" s="222">
        <f t="shared" ref="H134" si="198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9">C135*(E135-D135)</f>
        <v>-8205</v>
      </c>
      <c r="G135" s="39">
        <f t="shared" ref="G135" si="200">D135*C135</f>
        <v>68905</v>
      </c>
      <c r="H135" s="222">
        <f t="shared" ref="H135" si="201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202">C136*(E136-D136)</f>
        <v>-6930.0000000000045</v>
      </c>
      <c r="G136" s="39">
        <f t="shared" ref="G136" si="203">D136*C136</f>
        <v>61468</v>
      </c>
      <c r="H136" s="222">
        <f t="shared" ref="H136" si="204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205">C137*(E137-D137)</f>
        <v>-5678</v>
      </c>
      <c r="G137" s="39">
        <f t="shared" ref="G137" si="206">D137*C137</f>
        <v>48824</v>
      </c>
      <c r="H137" s="222">
        <f t="shared" ref="H137" si="207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208">C138*(E138-D138)</f>
        <v>-5867.9999999999982</v>
      </c>
      <c r="G138" s="39">
        <f t="shared" ref="G138" si="209">D138*C138</f>
        <v>43653</v>
      </c>
      <c r="H138" s="222">
        <f t="shared" ref="H138" si="210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11">C139*(E139-D139)</f>
        <v>-5909.1999999999989</v>
      </c>
      <c r="G139" s="39">
        <f t="shared" ref="G139" si="212">D139*C139</f>
        <v>48732.2</v>
      </c>
      <c r="H139" s="222">
        <f t="shared" ref="H139" si="213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14">C140*(E140-D140)</f>
        <v>-6607.9999999999973</v>
      </c>
      <c r="G140" s="39">
        <f t="shared" ref="G140" si="215">D140*C140</f>
        <v>56128</v>
      </c>
      <c r="H140" s="222">
        <f t="shared" ref="H140" si="216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17">C141*(E141-D141)</f>
        <v>-7839.9999999999964</v>
      </c>
      <c r="G141" s="39">
        <f t="shared" ref="G141" si="218">D141*C141</f>
        <v>56120</v>
      </c>
      <c r="H141" s="222">
        <f t="shared" ref="H141" si="219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20">C142*(E142-D142)</f>
        <v>-6979.9999999999973</v>
      </c>
      <c r="G142" s="39">
        <f t="shared" ref="G142:G143" si="221">D142*C142</f>
        <v>56120</v>
      </c>
      <c r="H142" s="222">
        <f t="shared" ref="H142:H143" si="222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20"/>
        <v>-5384</v>
      </c>
      <c r="G143" s="39">
        <f t="shared" si="221"/>
        <v>55984</v>
      </c>
      <c r="H143" s="222">
        <f t="shared" si="222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23">C144*(E144-D144)</f>
        <v>-6204.0000000000009</v>
      </c>
      <c r="G144" s="39">
        <f t="shared" ref="G144" si="224">D144*C144</f>
        <v>55984</v>
      </c>
      <c r="H144" s="222">
        <f t="shared" ref="H144" si="225">(E144-D144)/D144</f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ref="F145:F146" si="226">C145*(E145-D145)</f>
        <v>-6444.0000000000027</v>
      </c>
      <c r="G145" s="39">
        <f t="shared" ref="G145:G146" si="227">D145*C145</f>
        <v>55984</v>
      </c>
      <c r="H145" s="222">
        <f t="shared" ref="H145:H146" si="228">(E145-D145)/D145</f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226"/>
        <v>-6841.9999999999991</v>
      </c>
      <c r="G146" s="39">
        <f t="shared" si="227"/>
        <v>60896</v>
      </c>
      <c r="H146" s="222">
        <f t="shared" si="228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ref="F147:F148" si="229">C147*(E147-D147)</f>
        <v>-6923.3999999999969</v>
      </c>
      <c r="G147" s="39">
        <f t="shared" ref="G147:G148" si="230">D147*C147</f>
        <v>60647.4</v>
      </c>
      <c r="H147" s="222">
        <f t="shared" ref="H147:H148" si="231">(E147-D147)/D147</f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229"/>
        <v>-4856.0000000000018</v>
      </c>
      <c r="G148" s="39">
        <f t="shared" si="230"/>
        <v>55576</v>
      </c>
      <c r="H148" s="222">
        <f t="shared" si="231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B149" s="10"/>
      <c r="C149" s="10"/>
      <c r="D149" s="39"/>
      <c r="E149" s="39"/>
      <c r="F149" s="39"/>
      <c r="G149" s="39"/>
      <c r="H149" s="222"/>
      <c r="I149" s="39"/>
      <c r="J149" s="39"/>
      <c r="K149" s="39"/>
      <c r="L149" s="39"/>
    </row>
    <row r="150" spans="1:12" x14ac:dyDescent="0.25">
      <c r="B150" s="10"/>
      <c r="C150" s="10"/>
      <c r="D150" s="39"/>
      <c r="E150" s="39"/>
      <c r="F150" s="39"/>
      <c r="G150" s="39"/>
      <c r="H150" s="222"/>
      <c r="I150" s="39"/>
      <c r="J150" s="39"/>
      <c r="K150" s="39"/>
      <c r="L150" s="39"/>
    </row>
    <row r="151" spans="1:12" x14ac:dyDescent="0.25">
      <c r="B151" s="10"/>
      <c r="C151" s="10"/>
      <c r="D151" s="39"/>
      <c r="E151" s="39"/>
      <c r="F151" s="39"/>
      <c r="G151" s="39"/>
      <c r="H151" s="222"/>
      <c r="I151" s="39"/>
      <c r="J151" s="39"/>
      <c r="K151" s="39"/>
      <c r="L151" s="39"/>
    </row>
    <row r="152" spans="1:12" x14ac:dyDescent="0.25">
      <c r="B152" s="10"/>
      <c r="C152" s="10"/>
      <c r="D152" s="39"/>
      <c r="E152" s="39"/>
      <c r="F152" s="39"/>
      <c r="G152" s="39"/>
      <c r="H152" s="222"/>
      <c r="I152" s="39"/>
      <c r="J152" s="39"/>
      <c r="K152" s="39"/>
      <c r="L152" s="39"/>
    </row>
    <row r="153" spans="1:12" x14ac:dyDescent="0.25">
      <c r="B153" s="10"/>
      <c r="C153" s="10"/>
      <c r="D153" s="39"/>
      <c r="E153" s="39"/>
      <c r="F153" s="39"/>
      <c r="G153" s="39"/>
      <c r="H153" s="222"/>
      <c r="I153" s="39"/>
      <c r="J153" s="39"/>
      <c r="K153" s="39"/>
      <c r="L153" s="39"/>
    </row>
    <row r="155" spans="1:12" x14ac:dyDescent="0.25">
      <c r="B155" s="361">
        <v>42484</v>
      </c>
      <c r="C155" s="362">
        <v>100</v>
      </c>
      <c r="D155" s="363">
        <v>35.917999999999999</v>
      </c>
      <c r="E155" s="363">
        <v>35.58</v>
      </c>
      <c r="F155" s="363">
        <f t="shared" ref="F155:F168" si="232">C155*(E155-D155)</f>
        <v>-33.800000000000097</v>
      </c>
      <c r="G155" s="363">
        <f t="shared" ref="G155:G168" si="233">D155*C155</f>
        <v>3591.7999999999997</v>
      </c>
      <c r="H155" s="364">
        <f t="shared" ref="H155:H168" si="234">(E155-D155)/D155</f>
        <v>-9.410323514672336E-3</v>
      </c>
      <c r="I155" s="363"/>
    </row>
    <row r="156" spans="1:12" x14ac:dyDescent="0.25">
      <c r="B156" s="361">
        <v>42485</v>
      </c>
      <c r="C156" s="362">
        <v>100</v>
      </c>
      <c r="D156" s="363">
        <v>35.917999999999999</v>
      </c>
      <c r="E156" s="363">
        <v>36.770000000000003</v>
      </c>
      <c r="F156" s="363">
        <f t="shared" si="232"/>
        <v>85.200000000000387</v>
      </c>
      <c r="G156" s="363">
        <f t="shared" si="233"/>
        <v>3591.7999999999997</v>
      </c>
      <c r="H156" s="364">
        <f t="shared" si="234"/>
        <v>2.3720697143493622E-2</v>
      </c>
      <c r="I156" s="363"/>
    </row>
    <row r="157" spans="1:12" x14ac:dyDescent="0.25">
      <c r="B157" s="361">
        <v>42498</v>
      </c>
      <c r="C157" s="362">
        <v>100</v>
      </c>
      <c r="D157" s="363">
        <v>35.917999999999999</v>
      </c>
      <c r="E157" s="363">
        <v>34.549999999999997</v>
      </c>
      <c r="F157" s="363">
        <f t="shared" si="232"/>
        <v>-136.80000000000021</v>
      </c>
      <c r="G157" s="363">
        <f t="shared" si="233"/>
        <v>3591.7999999999997</v>
      </c>
      <c r="H157" s="364">
        <f t="shared" si="234"/>
        <v>-3.8086753159975562E-2</v>
      </c>
      <c r="I157" s="363"/>
    </row>
    <row r="158" spans="1:12" x14ac:dyDescent="0.25">
      <c r="B158" s="361">
        <v>42508</v>
      </c>
      <c r="C158" s="362">
        <v>140</v>
      </c>
      <c r="D158" s="363">
        <v>35.423999999999999</v>
      </c>
      <c r="E158" s="363">
        <v>34.369999999999997</v>
      </c>
      <c r="F158" s="363">
        <f t="shared" si="232"/>
        <v>-147.56000000000029</v>
      </c>
      <c r="G158" s="363">
        <f t="shared" si="233"/>
        <v>4959.3599999999997</v>
      </c>
      <c r="H158" s="364">
        <f t="shared" si="234"/>
        <v>-2.9753839205058776E-2</v>
      </c>
      <c r="I158" s="363"/>
    </row>
    <row r="159" spans="1:12" x14ac:dyDescent="0.25">
      <c r="B159" s="361">
        <v>42509</v>
      </c>
      <c r="C159" s="362">
        <v>240</v>
      </c>
      <c r="D159" s="363">
        <v>35.034999999999997</v>
      </c>
      <c r="E159" s="363">
        <v>34.83</v>
      </c>
      <c r="F159" s="363">
        <f t="shared" si="232"/>
        <v>-49.199999999999591</v>
      </c>
      <c r="G159" s="363">
        <f t="shared" si="233"/>
        <v>8408.4</v>
      </c>
      <c r="H159" s="364">
        <f t="shared" si="234"/>
        <v>-5.8512915655772315E-3</v>
      </c>
      <c r="I159" s="363"/>
    </row>
    <row r="160" spans="1:12" x14ac:dyDescent="0.25">
      <c r="B160" s="361">
        <v>42514</v>
      </c>
      <c r="C160" s="362">
        <v>200</v>
      </c>
      <c r="D160" s="363">
        <v>34.972000000000001</v>
      </c>
      <c r="E160" s="363">
        <v>35.520000000000003</v>
      </c>
      <c r="F160" s="363">
        <f t="shared" si="232"/>
        <v>109.60000000000036</v>
      </c>
      <c r="G160" s="363">
        <f t="shared" si="233"/>
        <v>6994.4000000000005</v>
      </c>
      <c r="H160" s="364">
        <f t="shared" si="234"/>
        <v>1.5669678600022927E-2</v>
      </c>
      <c r="I160" s="363"/>
    </row>
    <row r="161" spans="2:9" x14ac:dyDescent="0.25">
      <c r="B161" s="361">
        <v>42515</v>
      </c>
      <c r="C161" s="362">
        <v>200</v>
      </c>
      <c r="D161" s="363">
        <v>34.972000000000001</v>
      </c>
      <c r="E161" s="363">
        <v>34.94</v>
      </c>
      <c r="F161" s="363">
        <f t="shared" si="232"/>
        <v>-6.4000000000007162</v>
      </c>
      <c r="G161" s="363">
        <f t="shared" si="233"/>
        <v>6994.4000000000005</v>
      </c>
      <c r="H161" s="364">
        <f t="shared" si="234"/>
        <v>-9.150177284685914E-4</v>
      </c>
      <c r="I161" s="363"/>
    </row>
    <row r="162" spans="2:9" x14ac:dyDescent="0.25">
      <c r="B162" s="361">
        <v>42521</v>
      </c>
      <c r="C162" s="362">
        <v>160</v>
      </c>
      <c r="D162" s="363">
        <v>34.718000000000004</v>
      </c>
      <c r="E162" s="363">
        <v>35.76</v>
      </c>
      <c r="F162" s="363">
        <f t="shared" si="232"/>
        <v>166.71999999999912</v>
      </c>
      <c r="G162" s="363">
        <f t="shared" si="233"/>
        <v>5554.880000000001</v>
      </c>
      <c r="H162" s="364">
        <f t="shared" si="234"/>
        <v>3.0013249611152554E-2</v>
      </c>
      <c r="I162" s="363"/>
    </row>
    <row r="163" spans="2:9" x14ac:dyDescent="0.25">
      <c r="B163" s="361">
        <v>42527</v>
      </c>
      <c r="C163" s="362">
        <v>160</v>
      </c>
      <c r="D163" s="363">
        <v>34.652000000000001</v>
      </c>
      <c r="E163" s="363">
        <v>36.020000000000003</v>
      </c>
      <c r="F163" s="363">
        <f t="shared" si="232"/>
        <v>218.88000000000034</v>
      </c>
      <c r="G163" s="363">
        <f t="shared" si="233"/>
        <v>5544.32</v>
      </c>
      <c r="H163" s="364">
        <f t="shared" si="234"/>
        <v>3.9478240794182211E-2</v>
      </c>
      <c r="I163" s="363"/>
    </row>
    <row r="164" spans="2:9" x14ac:dyDescent="0.25">
      <c r="B164" s="361">
        <v>42498</v>
      </c>
      <c r="C164" s="362">
        <v>160</v>
      </c>
      <c r="D164" s="363">
        <v>34.652000000000001</v>
      </c>
      <c r="E164" s="363">
        <v>36.520000000000003</v>
      </c>
      <c r="F164" s="363">
        <f t="shared" si="232"/>
        <v>298.88000000000034</v>
      </c>
      <c r="G164" s="363">
        <f t="shared" si="233"/>
        <v>5544.32</v>
      </c>
      <c r="H164" s="364">
        <f t="shared" si="234"/>
        <v>5.3907422371003176E-2</v>
      </c>
      <c r="I164" s="363"/>
    </row>
    <row r="165" spans="2:9" x14ac:dyDescent="0.25">
      <c r="B165" s="361">
        <v>42531</v>
      </c>
      <c r="C165" s="362">
        <v>60</v>
      </c>
      <c r="D165" s="363">
        <v>30.757000000000001</v>
      </c>
      <c r="E165" s="363">
        <v>36.81</v>
      </c>
      <c r="F165" s="363">
        <f t="shared" si="232"/>
        <v>363.18000000000006</v>
      </c>
      <c r="G165" s="363">
        <f t="shared" si="233"/>
        <v>1845.42</v>
      </c>
      <c r="H165" s="364">
        <f t="shared" si="234"/>
        <v>0.1968007282894951</v>
      </c>
      <c r="I165" s="363"/>
    </row>
    <row r="166" spans="2:9" x14ac:dyDescent="0.25">
      <c r="B166" s="361">
        <v>42536</v>
      </c>
      <c r="C166" s="362">
        <v>160</v>
      </c>
      <c r="D166" s="363">
        <v>33.652999999999999</v>
      </c>
      <c r="E166" s="363">
        <v>35.71</v>
      </c>
      <c r="F166" s="363">
        <f t="shared" si="232"/>
        <v>329.12000000000035</v>
      </c>
      <c r="G166" s="363">
        <f t="shared" si="233"/>
        <v>5384.48</v>
      </c>
      <c r="H166" s="364">
        <f t="shared" si="234"/>
        <v>6.1123822541823976E-2</v>
      </c>
      <c r="I166" s="363"/>
    </row>
    <row r="167" spans="2:9" x14ac:dyDescent="0.25">
      <c r="B167" s="361">
        <v>42542</v>
      </c>
      <c r="C167" s="362">
        <v>160</v>
      </c>
      <c r="D167" s="363">
        <v>33.65</v>
      </c>
      <c r="E167" s="363">
        <v>34.71</v>
      </c>
      <c r="F167" s="363">
        <f t="shared" si="232"/>
        <v>169.60000000000036</v>
      </c>
      <c r="G167" s="363">
        <f t="shared" si="233"/>
        <v>5384</v>
      </c>
      <c r="H167" s="364">
        <f t="shared" si="234"/>
        <v>3.1500742942050589E-2</v>
      </c>
      <c r="I167" s="363"/>
    </row>
    <row r="168" spans="2:9" x14ac:dyDescent="0.25">
      <c r="B168" s="361">
        <v>42548</v>
      </c>
      <c r="C168" s="362">
        <v>160</v>
      </c>
      <c r="D168" s="363">
        <v>33.652999999999999</v>
      </c>
      <c r="E168" s="363">
        <v>36.619999999999997</v>
      </c>
      <c r="F168" s="363">
        <f t="shared" si="232"/>
        <v>474.7199999999998</v>
      </c>
      <c r="G168" s="363">
        <f t="shared" si="233"/>
        <v>5384.48</v>
      </c>
      <c r="H168" s="364">
        <f t="shared" si="234"/>
        <v>8.8164502421775148E-2</v>
      </c>
      <c r="I168" s="363"/>
    </row>
    <row r="169" spans="2:9" x14ac:dyDescent="0.25">
      <c r="B169" s="361">
        <v>42556</v>
      </c>
      <c r="C169" s="362">
        <v>160</v>
      </c>
      <c r="D169" s="363">
        <v>33.652999999999999</v>
      </c>
      <c r="E169" s="363">
        <v>37.33</v>
      </c>
      <c r="F169" s="363">
        <f t="shared" ref="F169:F211" si="235">C169*(E169-D169)</f>
        <v>588.31999999999994</v>
      </c>
      <c r="G169" s="363">
        <f t="shared" ref="G169:G182" si="236">D169*C169</f>
        <v>5384.48</v>
      </c>
      <c r="H169" s="364">
        <f t="shared" ref="H169:H211" si="237">(E169-D169)/D169</f>
        <v>0.10926217573470418</v>
      </c>
      <c r="I169" s="363"/>
    </row>
    <row r="170" spans="2:9" x14ac:dyDescent="0.25">
      <c r="B170" s="361">
        <v>42559</v>
      </c>
      <c r="C170" s="362">
        <v>160</v>
      </c>
      <c r="D170" s="363">
        <v>33.652999999999999</v>
      </c>
      <c r="E170" s="363">
        <v>37.86</v>
      </c>
      <c r="F170" s="363">
        <f t="shared" si="235"/>
        <v>673.12000000000012</v>
      </c>
      <c r="G170" s="363">
        <f t="shared" si="236"/>
        <v>5384.48</v>
      </c>
      <c r="H170" s="364">
        <f t="shared" si="237"/>
        <v>0.12501114313731318</v>
      </c>
      <c r="I170" s="363"/>
    </row>
    <row r="171" spans="2:9" x14ac:dyDescent="0.25">
      <c r="B171" s="361">
        <v>42563</v>
      </c>
      <c r="C171" s="362">
        <v>160</v>
      </c>
      <c r="D171" s="363">
        <v>33.652999999999999</v>
      </c>
      <c r="E171" s="363">
        <v>37.39</v>
      </c>
      <c r="F171" s="363">
        <f t="shared" si="235"/>
        <v>597.9200000000003</v>
      </c>
      <c r="G171" s="363">
        <f t="shared" si="236"/>
        <v>5384.48</v>
      </c>
      <c r="H171" s="364">
        <f t="shared" si="237"/>
        <v>0.11104507770481092</v>
      </c>
      <c r="I171" s="363"/>
    </row>
    <row r="172" spans="2:9" x14ac:dyDescent="0.25">
      <c r="B172" s="361">
        <v>42566</v>
      </c>
      <c r="C172" s="362">
        <v>160</v>
      </c>
      <c r="D172" s="363">
        <v>33.652999999999999</v>
      </c>
      <c r="E172" s="363">
        <v>36.71</v>
      </c>
      <c r="F172" s="363">
        <f t="shared" si="235"/>
        <v>489.12000000000035</v>
      </c>
      <c r="G172" s="363">
        <f t="shared" si="236"/>
        <v>5384.48</v>
      </c>
      <c r="H172" s="364">
        <f t="shared" si="237"/>
        <v>9.0838855376935257E-2</v>
      </c>
      <c r="I172" s="363"/>
    </row>
    <row r="173" spans="2:9" x14ac:dyDescent="0.25">
      <c r="B173" s="361">
        <v>42570</v>
      </c>
      <c r="C173" s="362">
        <v>160</v>
      </c>
      <c r="D173" s="363">
        <v>33.652999999999999</v>
      </c>
      <c r="E173" s="363">
        <v>36.21</v>
      </c>
      <c r="F173" s="363">
        <f t="shared" si="235"/>
        <v>409.12000000000035</v>
      </c>
      <c r="G173" s="363">
        <f t="shared" si="236"/>
        <v>5384.48</v>
      </c>
      <c r="H173" s="364">
        <f t="shared" si="237"/>
        <v>7.5981338959379613E-2</v>
      </c>
      <c r="I173" s="363"/>
    </row>
    <row r="174" spans="2:9" x14ac:dyDescent="0.25">
      <c r="B174" s="361">
        <v>42571</v>
      </c>
      <c r="C174" s="362">
        <v>160</v>
      </c>
      <c r="D174" s="363">
        <v>33.652999999999999</v>
      </c>
      <c r="E174" s="363">
        <v>36.4</v>
      </c>
      <c r="F174" s="363">
        <f t="shared" si="235"/>
        <v>439.52</v>
      </c>
      <c r="G174" s="363">
        <f t="shared" si="236"/>
        <v>5384.48</v>
      </c>
      <c r="H174" s="364">
        <f t="shared" si="237"/>
        <v>8.16271951980507E-2</v>
      </c>
      <c r="I174" s="363"/>
    </row>
    <row r="175" spans="2:9" x14ac:dyDescent="0.25">
      <c r="B175" s="361">
        <v>42572</v>
      </c>
      <c r="C175" s="362">
        <v>160</v>
      </c>
      <c r="D175" s="363">
        <v>33.652999999999999</v>
      </c>
      <c r="E175" s="363">
        <v>35.96</v>
      </c>
      <c r="F175" s="363">
        <f t="shared" si="235"/>
        <v>369.12000000000035</v>
      </c>
      <c r="G175" s="363">
        <f t="shared" si="236"/>
        <v>5384.48</v>
      </c>
      <c r="H175" s="364">
        <f t="shared" si="237"/>
        <v>6.8552580750601791E-2</v>
      </c>
      <c r="I175" s="363"/>
    </row>
    <row r="176" spans="2:9" x14ac:dyDescent="0.25">
      <c r="B176" s="361">
        <v>42576</v>
      </c>
      <c r="C176" s="362">
        <v>160</v>
      </c>
      <c r="D176" s="363">
        <v>33.652999999999999</v>
      </c>
      <c r="E176" s="363">
        <v>35.79</v>
      </c>
      <c r="F176" s="363">
        <f t="shared" si="235"/>
        <v>341.92000000000007</v>
      </c>
      <c r="G176" s="363">
        <f t="shared" si="236"/>
        <v>5384.48</v>
      </c>
      <c r="H176" s="364">
        <f t="shared" si="237"/>
        <v>6.3501025168632833E-2</v>
      </c>
      <c r="I176" s="363"/>
    </row>
    <row r="177" spans="2:9" x14ac:dyDescent="0.25">
      <c r="B177" s="361">
        <v>42577</v>
      </c>
      <c r="C177" s="362">
        <v>160</v>
      </c>
      <c r="D177" s="363">
        <v>33.652999999999999</v>
      </c>
      <c r="E177" s="363">
        <v>36.42</v>
      </c>
      <c r="F177" s="363">
        <f t="shared" si="235"/>
        <v>442.72000000000048</v>
      </c>
      <c r="G177" s="363">
        <f t="shared" si="236"/>
        <v>5384.48</v>
      </c>
      <c r="H177" s="364">
        <f t="shared" si="237"/>
        <v>8.222149585475301E-2</v>
      </c>
      <c r="I177" s="363"/>
    </row>
    <row r="178" spans="2:9" x14ac:dyDescent="0.25">
      <c r="B178" s="361">
        <v>42579</v>
      </c>
      <c r="C178" s="362">
        <v>230</v>
      </c>
      <c r="D178" s="363">
        <v>34.006</v>
      </c>
      <c r="E178" s="363">
        <v>34.4</v>
      </c>
      <c r="F178" s="363">
        <f t="shared" si="235"/>
        <v>90.619999999999621</v>
      </c>
      <c r="G178" s="363">
        <f t="shared" si="236"/>
        <v>7821.38</v>
      </c>
      <c r="H178" s="364">
        <f t="shared" si="237"/>
        <v>1.1586190672234263E-2</v>
      </c>
      <c r="I178" s="363"/>
    </row>
    <row r="179" spans="2:9" x14ac:dyDescent="0.25">
      <c r="B179" s="361">
        <v>42580</v>
      </c>
      <c r="C179" s="362">
        <v>260</v>
      </c>
      <c r="D179" s="363">
        <v>33.991999999999997</v>
      </c>
      <c r="E179" s="363">
        <v>34.19</v>
      </c>
      <c r="F179" s="363">
        <f t="shared" si="235"/>
        <v>51.480000000000103</v>
      </c>
      <c r="G179" s="363">
        <f t="shared" si="236"/>
        <v>8837.92</v>
      </c>
      <c r="H179" s="364">
        <f t="shared" si="237"/>
        <v>5.824899976465063E-3</v>
      </c>
      <c r="I179" s="363"/>
    </row>
    <row r="180" spans="2:9" x14ac:dyDescent="0.25">
      <c r="B180" s="361">
        <v>42584</v>
      </c>
      <c r="C180" s="362">
        <v>300</v>
      </c>
      <c r="D180" s="363">
        <v>33.866</v>
      </c>
      <c r="E180" s="363">
        <v>32.61</v>
      </c>
      <c r="F180" s="363">
        <f t="shared" si="235"/>
        <v>-376.80000000000007</v>
      </c>
      <c r="G180" s="363">
        <f t="shared" si="236"/>
        <v>10159.799999999999</v>
      </c>
      <c r="H180" s="364">
        <f t="shared" si="237"/>
        <v>-3.7087344239059829E-2</v>
      </c>
      <c r="I180" s="363"/>
    </row>
    <row r="181" spans="2:9" x14ac:dyDescent="0.25">
      <c r="B181" s="361">
        <v>42586</v>
      </c>
      <c r="C181" s="362">
        <v>400</v>
      </c>
      <c r="D181" s="363">
        <v>33.520000000000003</v>
      </c>
      <c r="E181" s="363">
        <v>32.549999999999997</v>
      </c>
      <c r="F181" s="363">
        <f t="shared" si="235"/>
        <v>-388.00000000000239</v>
      </c>
      <c r="G181" s="363">
        <f t="shared" si="236"/>
        <v>13408.000000000002</v>
      </c>
      <c r="H181" s="364">
        <f t="shared" si="237"/>
        <v>-2.8937947494033587E-2</v>
      </c>
      <c r="I181" s="363"/>
    </row>
    <row r="182" spans="2:9" x14ac:dyDescent="0.25">
      <c r="B182" s="361">
        <v>42587</v>
      </c>
      <c r="C182" s="362">
        <v>400</v>
      </c>
      <c r="D182" s="363">
        <v>33.387349999999998</v>
      </c>
      <c r="E182" s="363">
        <v>32.729999999999997</v>
      </c>
      <c r="F182" s="363">
        <f t="shared" si="235"/>
        <v>-262.9400000000004</v>
      </c>
      <c r="G182" s="363">
        <f t="shared" si="236"/>
        <v>13354.939999999999</v>
      </c>
      <c r="H182" s="364">
        <f t="shared" si="237"/>
        <v>-1.9688594632398231E-2</v>
      </c>
      <c r="I182" s="363"/>
    </row>
    <row r="183" spans="2:9" x14ac:dyDescent="0.25">
      <c r="B183" s="361">
        <v>42598</v>
      </c>
      <c r="C183" s="362">
        <v>400</v>
      </c>
      <c r="D183" s="363">
        <v>33.387349999999998</v>
      </c>
      <c r="E183" s="363">
        <v>32.1</v>
      </c>
      <c r="F183" s="363">
        <f t="shared" si="235"/>
        <v>-514.93999999999858</v>
      </c>
      <c r="G183" s="363">
        <f t="shared" ref="G183:G188" si="238">D183*C183</f>
        <v>13354.939999999999</v>
      </c>
      <c r="H183" s="364">
        <f t="shared" si="237"/>
        <v>-3.8558016733882636E-2</v>
      </c>
      <c r="I183" s="363"/>
    </row>
    <row r="184" spans="2:9" x14ac:dyDescent="0.25">
      <c r="B184" s="361">
        <v>42599</v>
      </c>
      <c r="C184" s="362">
        <v>500</v>
      </c>
      <c r="D184" s="363">
        <v>33.045879999999997</v>
      </c>
      <c r="E184" s="363">
        <v>31.88</v>
      </c>
      <c r="F184" s="363">
        <f t="shared" si="235"/>
        <v>-582.93999999999892</v>
      </c>
      <c r="G184" s="363">
        <f t="shared" si="238"/>
        <v>16522.939999999999</v>
      </c>
      <c r="H184" s="364">
        <f t="shared" si="237"/>
        <v>-3.5280646180401248E-2</v>
      </c>
      <c r="I184" s="363"/>
    </row>
    <row r="185" spans="2:9" x14ac:dyDescent="0.25">
      <c r="B185" s="361">
        <v>42600</v>
      </c>
      <c r="C185" s="362">
        <v>500</v>
      </c>
      <c r="D185" s="363">
        <v>33.045879999999997</v>
      </c>
      <c r="E185" s="363">
        <v>32.46</v>
      </c>
      <c r="F185" s="363">
        <f t="shared" si="235"/>
        <v>-292.93999999999801</v>
      </c>
      <c r="G185" s="363">
        <f t="shared" si="238"/>
        <v>16522.939999999999</v>
      </c>
      <c r="H185" s="364">
        <f t="shared" si="237"/>
        <v>-1.7729290307899079E-2</v>
      </c>
      <c r="I185" s="363"/>
    </row>
    <row r="186" spans="2:9" x14ac:dyDescent="0.25">
      <c r="B186" s="361">
        <v>42601</v>
      </c>
      <c r="C186" s="362">
        <v>500</v>
      </c>
      <c r="D186" s="363">
        <v>33.045879999999997</v>
      </c>
      <c r="E186" s="363">
        <v>32.61</v>
      </c>
      <c r="F186" s="363">
        <f t="shared" si="235"/>
        <v>-217.93999999999869</v>
      </c>
      <c r="G186" s="363">
        <f t="shared" si="238"/>
        <v>16522.939999999999</v>
      </c>
      <c r="H186" s="364">
        <f t="shared" si="237"/>
        <v>-1.3190146547769266E-2</v>
      </c>
      <c r="I186" s="363"/>
    </row>
    <row r="187" spans="2:9" x14ac:dyDescent="0.25">
      <c r="B187" s="361">
        <v>42604</v>
      </c>
      <c r="C187" s="362">
        <v>500</v>
      </c>
      <c r="D187" s="363">
        <v>33.045879999999997</v>
      </c>
      <c r="E187" s="363">
        <v>32.86</v>
      </c>
      <c r="F187" s="363">
        <f t="shared" si="235"/>
        <v>-92.93999999999869</v>
      </c>
      <c r="G187" s="363">
        <f t="shared" si="238"/>
        <v>16522.939999999999</v>
      </c>
      <c r="H187" s="364">
        <f t="shared" si="237"/>
        <v>-5.624906947552839E-3</v>
      </c>
      <c r="I187" s="363"/>
    </row>
    <row r="188" spans="2:9" x14ac:dyDescent="0.25">
      <c r="B188" s="361">
        <v>42605</v>
      </c>
      <c r="C188" s="362">
        <v>500</v>
      </c>
      <c r="D188" s="363">
        <v>33.045879999999997</v>
      </c>
      <c r="E188" s="363">
        <v>32.25</v>
      </c>
      <c r="F188" s="363">
        <f t="shared" si="235"/>
        <v>-397.93999999999841</v>
      </c>
      <c r="G188" s="363">
        <f t="shared" si="238"/>
        <v>16522.939999999999</v>
      </c>
      <c r="H188" s="364">
        <f t="shared" si="237"/>
        <v>-2.4084091572080902E-2</v>
      </c>
      <c r="I188" s="363"/>
    </row>
    <row r="189" spans="2:9" x14ac:dyDescent="0.25">
      <c r="B189" s="361">
        <v>42606</v>
      </c>
      <c r="C189" s="362">
        <v>500</v>
      </c>
      <c r="D189" s="363">
        <v>33.045879999999997</v>
      </c>
      <c r="E189" s="363">
        <v>32.99</v>
      </c>
      <c r="F189" s="363">
        <f t="shared" si="235"/>
        <v>-27.939999999997411</v>
      </c>
      <c r="G189" s="363">
        <f t="shared" ref="G189:G211" si="239">D189*C189</f>
        <v>16522.939999999999</v>
      </c>
      <c r="H189" s="364">
        <f t="shared" si="237"/>
        <v>-1.6909823554402191E-3</v>
      </c>
      <c r="I189" s="363"/>
    </row>
    <row r="190" spans="2:9" x14ac:dyDescent="0.25">
      <c r="B190" s="361">
        <v>42607</v>
      </c>
      <c r="C190" s="362">
        <v>500</v>
      </c>
      <c r="D190" s="363">
        <v>33.045879999999997</v>
      </c>
      <c r="E190" s="363">
        <v>32.76</v>
      </c>
      <c r="F190" s="363">
        <f t="shared" si="235"/>
        <v>-142.9399999999994</v>
      </c>
      <c r="G190" s="363">
        <f t="shared" si="239"/>
        <v>16522.939999999999</v>
      </c>
      <c r="H190" s="364">
        <f t="shared" si="237"/>
        <v>-8.6510027876394533E-3</v>
      </c>
      <c r="I190" s="363"/>
    </row>
    <row r="191" spans="2:9" x14ac:dyDescent="0.25">
      <c r="B191" s="361">
        <v>42611</v>
      </c>
      <c r="C191" s="362">
        <v>500</v>
      </c>
      <c r="D191" s="363">
        <v>33.045879999999997</v>
      </c>
      <c r="E191" s="363">
        <v>32.33</v>
      </c>
      <c r="F191" s="363">
        <f t="shared" si="235"/>
        <v>-357.93999999999926</v>
      </c>
      <c r="G191" s="363">
        <f t="shared" si="239"/>
        <v>16522.939999999999</v>
      </c>
      <c r="H191" s="364">
        <f t="shared" si="237"/>
        <v>-2.1663214900011697E-2</v>
      </c>
      <c r="I191" s="363"/>
    </row>
    <row r="192" spans="2:9" x14ac:dyDescent="0.25">
      <c r="B192" s="361">
        <v>42612</v>
      </c>
      <c r="C192" s="362">
        <v>500</v>
      </c>
      <c r="D192" s="363">
        <v>33.045879999999997</v>
      </c>
      <c r="E192" s="363">
        <v>32.159999999999997</v>
      </c>
      <c r="F192" s="363">
        <f t="shared" si="235"/>
        <v>-442.94000000000011</v>
      </c>
      <c r="G192" s="363">
        <f t="shared" si="239"/>
        <v>16522.939999999999</v>
      </c>
      <c r="H192" s="364">
        <f t="shared" si="237"/>
        <v>-2.6807577828158919E-2</v>
      </c>
      <c r="I192" s="363"/>
    </row>
    <row r="193" spans="2:9" x14ac:dyDescent="0.25">
      <c r="B193" s="361">
        <v>42614</v>
      </c>
      <c r="C193" s="362">
        <v>500</v>
      </c>
      <c r="D193" s="363">
        <v>33.045879999999997</v>
      </c>
      <c r="E193" s="363">
        <v>31.96</v>
      </c>
      <c r="F193" s="363">
        <f t="shared" si="235"/>
        <v>-542.93999999999801</v>
      </c>
      <c r="G193" s="363">
        <f t="shared" si="239"/>
        <v>16522.939999999999</v>
      </c>
      <c r="H193" s="364">
        <f t="shared" si="237"/>
        <v>-3.2859769508331936E-2</v>
      </c>
      <c r="I193" s="363"/>
    </row>
    <row r="194" spans="2:9" x14ac:dyDescent="0.25">
      <c r="B194" s="361">
        <v>42615</v>
      </c>
      <c r="C194" s="362">
        <v>500</v>
      </c>
      <c r="D194" s="363">
        <v>32.94988</v>
      </c>
      <c r="E194" s="363">
        <v>32.5</v>
      </c>
      <c r="F194" s="363">
        <f t="shared" si="235"/>
        <v>-224.94000000000014</v>
      </c>
      <c r="G194" s="363">
        <f t="shared" si="239"/>
        <v>16474.939999999999</v>
      </c>
      <c r="H194" s="364">
        <f t="shared" si="237"/>
        <v>-1.3653463988336233E-2</v>
      </c>
      <c r="I194" s="363" t="s">
        <v>185</v>
      </c>
    </row>
    <row r="195" spans="2:9" x14ac:dyDescent="0.25">
      <c r="B195" s="361">
        <v>42619</v>
      </c>
      <c r="C195" s="362">
        <v>500</v>
      </c>
      <c r="D195" s="363">
        <v>32.94988</v>
      </c>
      <c r="E195" s="363">
        <v>32.67</v>
      </c>
      <c r="F195" s="363">
        <f t="shared" si="235"/>
        <v>-139.93999999999929</v>
      </c>
      <c r="G195" s="363">
        <f t="shared" si="239"/>
        <v>16474.939999999999</v>
      </c>
      <c r="H195" s="364">
        <f t="shared" si="237"/>
        <v>-8.4941128768905548E-3</v>
      </c>
      <c r="I195" s="363"/>
    </row>
    <row r="196" spans="2:9" x14ac:dyDescent="0.25">
      <c r="B196" s="361">
        <v>42620</v>
      </c>
      <c r="C196" s="362">
        <v>600</v>
      </c>
      <c r="D196" s="363">
        <v>32.733229999999999</v>
      </c>
      <c r="E196" s="363">
        <v>31.32</v>
      </c>
      <c r="F196" s="363">
        <f t="shared" si="235"/>
        <v>-847.93799999999919</v>
      </c>
      <c r="G196" s="363">
        <f t="shared" si="239"/>
        <v>19639.937999999998</v>
      </c>
      <c r="H196" s="364">
        <f t="shared" si="237"/>
        <v>-4.3174168879759153E-2</v>
      </c>
      <c r="I196" s="363"/>
    </row>
    <row r="197" spans="2:9" x14ac:dyDescent="0.25">
      <c r="B197" s="361">
        <v>42620</v>
      </c>
      <c r="C197" s="362">
        <v>700</v>
      </c>
      <c r="D197" s="363">
        <v>32.511339999999997</v>
      </c>
      <c r="E197" s="363">
        <v>31.32</v>
      </c>
      <c r="F197" s="363">
        <f t="shared" si="235"/>
        <v>-833.93799999999771</v>
      </c>
      <c r="G197" s="363">
        <f t="shared" si="239"/>
        <v>22757.937999999998</v>
      </c>
      <c r="H197" s="364">
        <f t="shared" si="237"/>
        <v>-3.6643829506873504E-2</v>
      </c>
      <c r="I197" s="363"/>
    </row>
    <row r="198" spans="2:9" x14ac:dyDescent="0.25">
      <c r="B198" s="361">
        <v>42621</v>
      </c>
      <c r="C198" s="362">
        <v>700</v>
      </c>
      <c r="D198" s="363">
        <v>32.511339999999997</v>
      </c>
      <c r="E198" s="363">
        <v>31.31</v>
      </c>
      <c r="F198" s="363">
        <f t="shared" si="235"/>
        <v>-840.93799999999885</v>
      </c>
      <c r="G198" s="363">
        <f t="shared" si="239"/>
        <v>22757.937999999998</v>
      </c>
      <c r="H198" s="364">
        <f t="shared" si="237"/>
        <v>-3.6951414491066759E-2</v>
      </c>
      <c r="I198" s="363"/>
    </row>
    <row r="199" spans="2:9" x14ac:dyDescent="0.25">
      <c r="B199" s="361">
        <v>42622</v>
      </c>
      <c r="C199" s="362">
        <v>700</v>
      </c>
      <c r="D199" s="363">
        <v>32.511339999999997</v>
      </c>
      <c r="E199" s="363">
        <v>31.51</v>
      </c>
      <c r="F199" s="363">
        <f t="shared" si="235"/>
        <v>-700.9379999999968</v>
      </c>
      <c r="G199" s="363">
        <f t="shared" si="239"/>
        <v>22757.937999999998</v>
      </c>
      <c r="H199" s="364">
        <f t="shared" si="237"/>
        <v>-3.0799714807202519E-2</v>
      </c>
      <c r="I199" s="363"/>
    </row>
    <row r="200" spans="2:9" x14ac:dyDescent="0.25">
      <c r="B200" s="361">
        <v>42625</v>
      </c>
      <c r="C200" s="362">
        <v>800</v>
      </c>
      <c r="D200" s="363">
        <v>32.297429999999999</v>
      </c>
      <c r="E200" s="363">
        <v>30.89</v>
      </c>
      <c r="F200" s="363">
        <f t="shared" si="235"/>
        <v>-1125.9439999999984</v>
      </c>
      <c r="G200" s="363">
        <f t="shared" si="239"/>
        <v>25837.944</v>
      </c>
      <c r="H200" s="364">
        <f t="shared" si="237"/>
        <v>-4.3577151494716394E-2</v>
      </c>
      <c r="I200" s="363"/>
    </row>
    <row r="201" spans="2:9" x14ac:dyDescent="0.25">
      <c r="B201" s="361">
        <v>42632</v>
      </c>
      <c r="C201" s="362">
        <v>800</v>
      </c>
      <c r="D201" s="363">
        <v>32.297429999999999</v>
      </c>
      <c r="E201" s="363">
        <v>30.79</v>
      </c>
      <c r="F201" s="363">
        <f t="shared" si="235"/>
        <v>-1205.9439999999995</v>
      </c>
      <c r="G201" s="363">
        <f t="shared" si="239"/>
        <v>25837.944</v>
      </c>
      <c r="H201" s="364">
        <f t="shared" si="237"/>
        <v>-4.6673373082626063E-2</v>
      </c>
      <c r="I201" s="363"/>
    </row>
    <row r="202" spans="2:9" x14ac:dyDescent="0.25">
      <c r="B202" s="361">
        <v>42633</v>
      </c>
      <c r="C202" s="362">
        <v>800</v>
      </c>
      <c r="D202" s="363">
        <v>32.297429999999999</v>
      </c>
      <c r="E202" s="363">
        <v>31.09</v>
      </c>
      <c r="F202" s="363">
        <f t="shared" si="235"/>
        <v>-965.94399999999894</v>
      </c>
      <c r="G202" s="363">
        <f t="shared" si="239"/>
        <v>25837.944</v>
      </c>
      <c r="H202" s="364">
        <f t="shared" si="237"/>
        <v>-3.7384708318897161E-2</v>
      </c>
      <c r="I202" s="363"/>
    </row>
    <row r="203" spans="2:9" x14ac:dyDescent="0.25">
      <c r="B203" s="361">
        <v>42605</v>
      </c>
      <c r="C203" s="362">
        <v>800</v>
      </c>
      <c r="D203" s="363">
        <v>32.297429999999999</v>
      </c>
      <c r="E203" s="363">
        <v>30.45</v>
      </c>
      <c r="F203" s="363">
        <f t="shared" si="235"/>
        <v>-1477.9439999999995</v>
      </c>
      <c r="G203" s="363">
        <f t="shared" si="239"/>
        <v>25837.944</v>
      </c>
      <c r="H203" s="364">
        <f t="shared" si="237"/>
        <v>-5.7200526481518785E-2</v>
      </c>
      <c r="I203" s="363"/>
    </row>
    <row r="204" spans="2:9" x14ac:dyDescent="0.25">
      <c r="B204" s="361">
        <v>42639</v>
      </c>
      <c r="C204" s="362">
        <v>900</v>
      </c>
      <c r="D204" s="363">
        <v>32.05104</v>
      </c>
      <c r="E204" s="363">
        <v>30.08</v>
      </c>
      <c r="F204" s="363">
        <f t="shared" si="235"/>
        <v>-1773.936000000002</v>
      </c>
      <c r="G204" s="363">
        <f t="shared" si="239"/>
        <v>28845.936000000002</v>
      </c>
      <c r="H204" s="364">
        <f t="shared" si="237"/>
        <v>-6.14969124246827E-2</v>
      </c>
      <c r="I204" s="363"/>
    </row>
    <row r="205" spans="2:9" x14ac:dyDescent="0.25">
      <c r="B205" s="361">
        <v>42640</v>
      </c>
      <c r="C205" s="362">
        <v>900</v>
      </c>
      <c r="D205" s="363">
        <v>32.05104</v>
      </c>
      <c r="E205" s="363">
        <v>29.9</v>
      </c>
      <c r="F205" s="363">
        <f t="shared" si="235"/>
        <v>-1935.9360000000017</v>
      </c>
      <c r="G205" s="363">
        <f t="shared" si="239"/>
        <v>28845.936000000002</v>
      </c>
      <c r="H205" s="364">
        <f t="shared" si="237"/>
        <v>-6.7112954837034985E-2</v>
      </c>
      <c r="I205" s="363"/>
    </row>
    <row r="206" spans="2:9" x14ac:dyDescent="0.25">
      <c r="B206" s="361">
        <v>42641</v>
      </c>
      <c r="C206" s="362">
        <v>900</v>
      </c>
      <c r="D206" s="363">
        <v>32.05104</v>
      </c>
      <c r="E206" s="363">
        <v>29.84</v>
      </c>
      <c r="F206" s="363">
        <f t="shared" si="235"/>
        <v>-1989.9360000000006</v>
      </c>
      <c r="G206" s="363">
        <f t="shared" si="239"/>
        <v>28845.936000000002</v>
      </c>
      <c r="H206" s="364">
        <f t="shared" si="237"/>
        <v>-6.8984968974485708E-2</v>
      </c>
      <c r="I206" s="363"/>
    </row>
    <row r="207" spans="2:9" x14ac:dyDescent="0.25">
      <c r="B207" s="361">
        <v>42643</v>
      </c>
      <c r="C207" s="362">
        <v>900</v>
      </c>
      <c r="D207" s="363">
        <v>32.05104</v>
      </c>
      <c r="E207" s="363">
        <v>29.68</v>
      </c>
      <c r="F207" s="363">
        <f t="shared" si="235"/>
        <v>-2133.9360000000006</v>
      </c>
      <c r="G207" s="363">
        <f t="shared" si="239"/>
        <v>28845.936000000002</v>
      </c>
      <c r="H207" s="364">
        <f t="shared" si="237"/>
        <v>-7.3977006674354431E-2</v>
      </c>
      <c r="I207" s="363"/>
    </row>
    <row r="208" spans="2:9" x14ac:dyDescent="0.25">
      <c r="B208" s="361">
        <v>42646</v>
      </c>
      <c r="C208" s="362">
        <v>1000</v>
      </c>
      <c r="D208" s="363">
        <v>31.78594</v>
      </c>
      <c r="E208" s="363">
        <v>29.28</v>
      </c>
      <c r="F208" s="363">
        <f t="shared" si="235"/>
        <v>-2505.9399999999991</v>
      </c>
      <c r="G208" s="363">
        <f t="shared" si="239"/>
        <v>31785.94</v>
      </c>
      <c r="H208" s="364">
        <f t="shared" si="237"/>
        <v>-7.8838001959356835E-2</v>
      </c>
      <c r="I208" s="363"/>
    </row>
    <row r="209" spans="2:9" x14ac:dyDescent="0.25">
      <c r="B209" s="361">
        <v>42648</v>
      </c>
      <c r="C209" s="362">
        <v>1000</v>
      </c>
      <c r="D209" s="363">
        <v>31.78594</v>
      </c>
      <c r="E209" s="363">
        <v>28.84</v>
      </c>
      <c r="F209" s="363">
        <f t="shared" si="235"/>
        <v>-2945.94</v>
      </c>
      <c r="G209" s="363">
        <f t="shared" si="239"/>
        <v>31785.94</v>
      </c>
      <c r="H209" s="364">
        <f t="shared" si="237"/>
        <v>-9.2680600290568724E-2</v>
      </c>
      <c r="I209" s="363"/>
    </row>
    <row r="210" spans="2:9" x14ac:dyDescent="0.25">
      <c r="B210" s="361">
        <v>42649</v>
      </c>
      <c r="C210" s="362">
        <v>1000</v>
      </c>
      <c r="D210" s="363">
        <v>31.78594</v>
      </c>
      <c r="E210" s="363">
        <v>29.37</v>
      </c>
      <c r="F210" s="363">
        <f t="shared" si="235"/>
        <v>-2415.9399999999991</v>
      </c>
      <c r="G210" s="363">
        <f t="shared" si="239"/>
        <v>31785.94</v>
      </c>
      <c r="H210" s="364">
        <f t="shared" si="237"/>
        <v>-7.6006561391608968E-2</v>
      </c>
      <c r="I210" s="363"/>
    </row>
    <row r="211" spans="2:9" x14ac:dyDescent="0.25">
      <c r="B211" s="361">
        <v>42650</v>
      </c>
      <c r="C211" s="362">
        <v>1000</v>
      </c>
      <c r="D211" s="363">
        <v>31.78594</v>
      </c>
      <c r="E211" s="363">
        <v>29</v>
      </c>
      <c r="F211" s="363">
        <f t="shared" si="235"/>
        <v>-2785.94</v>
      </c>
      <c r="G211" s="363">
        <f t="shared" si="239"/>
        <v>31785.94</v>
      </c>
      <c r="H211" s="364">
        <f t="shared" si="237"/>
        <v>-8.7646928170128049E-2</v>
      </c>
      <c r="I211" s="363"/>
    </row>
    <row r="212" spans="2:9" x14ac:dyDescent="0.25">
      <c r="B212" s="361">
        <v>42661</v>
      </c>
      <c r="C212" s="362">
        <v>1000</v>
      </c>
      <c r="D212" s="363">
        <v>31.78594</v>
      </c>
      <c r="E212" s="363">
        <v>30.64</v>
      </c>
      <c r="F212" s="363">
        <f t="shared" ref="F212:F217" si="240">C212*(E212-D212)</f>
        <v>-1145.9399999999996</v>
      </c>
      <c r="G212" s="363">
        <f t="shared" ref="G212:G217" si="241">D212*C212</f>
        <v>31785.94</v>
      </c>
      <c r="H212" s="364">
        <f t="shared" ref="H212:H217" si="242">(E212-D212)/D212</f>
        <v>-3.6051788935611138E-2</v>
      </c>
      <c r="I212" s="363"/>
    </row>
    <row r="213" spans="2:9" x14ac:dyDescent="0.25">
      <c r="B213" s="361">
        <v>42671</v>
      </c>
      <c r="C213" s="362">
        <v>900</v>
      </c>
      <c r="D213" s="363">
        <v>31.837789999999998</v>
      </c>
      <c r="E213" s="363">
        <v>31.26</v>
      </c>
      <c r="F213" s="363">
        <f t="shared" si="240"/>
        <v>-520.01099999999701</v>
      </c>
      <c r="G213" s="363">
        <f t="shared" si="241"/>
        <v>28654.010999999999</v>
      </c>
      <c r="H213" s="364">
        <f t="shared" si="242"/>
        <v>-1.8147930493919232E-2</v>
      </c>
      <c r="I213" s="363"/>
    </row>
    <row r="214" spans="2:9" x14ac:dyDescent="0.25">
      <c r="B214" s="361">
        <v>42674</v>
      </c>
      <c r="C214" s="362">
        <v>1000</v>
      </c>
      <c r="D214" s="363">
        <v>31.763999999999999</v>
      </c>
      <c r="E214" s="363">
        <v>30.98</v>
      </c>
      <c r="F214" s="363">
        <f t="shared" si="240"/>
        <v>-783.99999999999886</v>
      </c>
      <c r="G214" s="363">
        <f t="shared" si="241"/>
        <v>31764</v>
      </c>
      <c r="H214" s="364">
        <f t="shared" si="242"/>
        <v>-2.468202997103636E-2</v>
      </c>
      <c r="I214" s="363"/>
    </row>
    <row r="215" spans="2:9" x14ac:dyDescent="0.25">
      <c r="B215" s="361">
        <v>42676</v>
      </c>
      <c r="C215" s="362">
        <v>500</v>
      </c>
      <c r="D215" s="363">
        <v>31.518719999999998</v>
      </c>
      <c r="E215" s="363">
        <v>32.22</v>
      </c>
      <c r="F215" s="363">
        <f t="shared" si="240"/>
        <v>350.64000000000027</v>
      </c>
      <c r="G215" s="363">
        <f t="shared" si="241"/>
        <v>15759.359999999999</v>
      </c>
      <c r="H215" s="364">
        <f t="shared" si="242"/>
        <v>2.2249634502923995E-2</v>
      </c>
      <c r="I215" s="363">
        <v>31</v>
      </c>
    </row>
    <row r="216" spans="2:9" x14ac:dyDescent="0.25">
      <c r="B216" s="361">
        <v>42677</v>
      </c>
      <c r="C216" s="362">
        <v>800</v>
      </c>
      <c r="D216" s="363">
        <v>31.51858</v>
      </c>
      <c r="E216" s="363">
        <v>31.02</v>
      </c>
      <c r="F216" s="363">
        <f t="shared" si="240"/>
        <v>-398.86400000000037</v>
      </c>
      <c r="G216" s="363">
        <f t="shared" si="241"/>
        <v>25214.864000000001</v>
      </c>
      <c r="H216" s="364">
        <f t="shared" si="242"/>
        <v>-1.5818606041262027E-2</v>
      </c>
      <c r="I216" s="363"/>
    </row>
    <row r="217" spans="2:9" x14ac:dyDescent="0.25">
      <c r="B217" s="361">
        <v>42701</v>
      </c>
      <c r="C217" s="362">
        <v>400</v>
      </c>
      <c r="D217" s="363">
        <v>30.677849999999999</v>
      </c>
      <c r="E217" s="363">
        <v>33.880000000000003</v>
      </c>
      <c r="F217" s="363">
        <f t="shared" si="240"/>
        <v>1280.8600000000013</v>
      </c>
      <c r="G217" s="363">
        <f t="shared" si="241"/>
        <v>12271.14</v>
      </c>
      <c r="H217" s="364">
        <f t="shared" si="242"/>
        <v>0.10437987016691207</v>
      </c>
      <c r="I217" s="363"/>
    </row>
    <row r="218" spans="2:9" x14ac:dyDescent="0.25">
      <c r="B218" s="361">
        <v>42704</v>
      </c>
      <c r="C218" s="362">
        <v>400</v>
      </c>
      <c r="D218" s="363">
        <v>30.677849999999999</v>
      </c>
      <c r="E218" s="363">
        <v>32.299999999999997</v>
      </c>
      <c r="F218" s="363">
        <f t="shared" ref="F218:F224" si="243">C218*(E218-D218)</f>
        <v>648.8599999999991</v>
      </c>
      <c r="G218" s="363">
        <f t="shared" ref="G218:G224" si="244">D218*C218</f>
        <v>12271.14</v>
      </c>
      <c r="H218" s="364">
        <f t="shared" ref="H218:H224" si="245">(E218-D218)/D218</f>
        <v>5.2876912821465581E-2</v>
      </c>
      <c r="I218" s="363"/>
    </row>
    <row r="219" spans="2:9" x14ac:dyDescent="0.25">
      <c r="B219" s="361">
        <v>42706</v>
      </c>
      <c r="C219" s="362">
        <v>400</v>
      </c>
      <c r="D219" s="363">
        <v>30.527850000000001</v>
      </c>
      <c r="E219" s="363">
        <v>33.299999999999997</v>
      </c>
      <c r="F219" s="363">
        <f t="shared" si="243"/>
        <v>1108.8599999999985</v>
      </c>
      <c r="G219" s="363">
        <f t="shared" si="244"/>
        <v>12211.14</v>
      </c>
      <c r="H219" s="364">
        <f t="shared" si="245"/>
        <v>9.0807246497869851E-2</v>
      </c>
      <c r="I219" s="363"/>
    </row>
    <row r="220" spans="2:9" x14ac:dyDescent="0.25">
      <c r="B220" s="361">
        <v>42712</v>
      </c>
      <c r="C220" s="362">
        <v>300</v>
      </c>
      <c r="D220" s="363">
        <v>29.297370000000001</v>
      </c>
      <c r="E220" s="363">
        <v>34.19</v>
      </c>
      <c r="F220" s="363">
        <f t="shared" si="243"/>
        <v>1467.7889999999991</v>
      </c>
      <c r="G220" s="363">
        <f t="shared" si="244"/>
        <v>8789.2109999999993</v>
      </c>
      <c r="H220" s="364">
        <f t="shared" si="245"/>
        <v>0.16699894905242338</v>
      </c>
      <c r="I220" s="363"/>
    </row>
    <row r="221" spans="2:9" x14ac:dyDescent="0.25">
      <c r="B221" s="361">
        <v>42713</v>
      </c>
      <c r="C221" s="362">
        <v>200</v>
      </c>
      <c r="D221" s="363">
        <v>26.551449999999999</v>
      </c>
      <c r="E221" s="363">
        <v>34.78</v>
      </c>
      <c r="F221" s="363">
        <f t="shared" si="243"/>
        <v>1645.7100000000005</v>
      </c>
      <c r="G221" s="363">
        <f t="shared" si="244"/>
        <v>5310.29</v>
      </c>
      <c r="H221" s="364">
        <f t="shared" si="245"/>
        <v>0.30990962828772073</v>
      </c>
      <c r="I221" s="363"/>
    </row>
    <row r="222" spans="2:9" x14ac:dyDescent="0.25">
      <c r="B222" s="361">
        <v>42716</v>
      </c>
      <c r="C222" s="362">
        <v>300</v>
      </c>
      <c r="D222" s="363">
        <v>29.0943</v>
      </c>
      <c r="E222" s="363">
        <v>34.22</v>
      </c>
      <c r="F222" s="363">
        <f t="shared" si="243"/>
        <v>1537.7099999999996</v>
      </c>
      <c r="G222" s="363">
        <f t="shared" si="244"/>
        <v>8728.2900000000009</v>
      </c>
      <c r="H222" s="364">
        <f t="shared" si="245"/>
        <v>0.17617540205469795</v>
      </c>
      <c r="I222" s="363"/>
    </row>
    <row r="223" spans="2:9" x14ac:dyDescent="0.25">
      <c r="B223" s="361">
        <v>42718</v>
      </c>
      <c r="C223" s="362">
        <v>100</v>
      </c>
      <c r="D223" s="363">
        <v>17.179500000000001</v>
      </c>
      <c r="E223" s="363">
        <v>34.72</v>
      </c>
      <c r="F223" s="363">
        <f t="shared" si="243"/>
        <v>1754.0499999999997</v>
      </c>
      <c r="G223" s="363">
        <f t="shared" si="244"/>
        <v>1717.95</v>
      </c>
      <c r="H223" s="364">
        <f t="shared" si="245"/>
        <v>1.021013417154166</v>
      </c>
      <c r="I223" s="363"/>
    </row>
    <row r="224" spans="2:9" x14ac:dyDescent="0.25">
      <c r="B224" s="361">
        <v>42718</v>
      </c>
      <c r="C224" s="362">
        <v>300</v>
      </c>
      <c r="D224" s="363">
        <v>28.9132</v>
      </c>
      <c r="E224" s="363">
        <v>34.72</v>
      </c>
      <c r="F224" s="363">
        <f t="shared" si="243"/>
        <v>1742.0399999999997</v>
      </c>
      <c r="G224" s="363">
        <f t="shared" si="244"/>
        <v>8673.9599999999991</v>
      </c>
      <c r="H224" s="364">
        <f t="shared" si="245"/>
        <v>0.20083560449898313</v>
      </c>
      <c r="I224" s="363"/>
    </row>
    <row r="225" spans="2:9" x14ac:dyDescent="0.25">
      <c r="B225" s="361">
        <v>42729</v>
      </c>
      <c r="C225" s="362">
        <v>300</v>
      </c>
      <c r="D225" s="363">
        <v>28.9132</v>
      </c>
      <c r="E225" s="363">
        <v>35.08</v>
      </c>
      <c r="F225" s="363">
        <f>C225*(E225-D225)</f>
        <v>1850.0399999999995</v>
      </c>
      <c r="G225" s="363">
        <f>D225*C225</f>
        <v>8673.9599999999991</v>
      </c>
      <c r="H225" s="364">
        <f>(E225-D225)/D225</f>
        <v>0.21328666491429515</v>
      </c>
      <c r="I225" s="363"/>
    </row>
    <row r="226" spans="2:9" x14ac:dyDescent="0.25">
      <c r="B226" s="361">
        <v>42745</v>
      </c>
      <c r="C226" s="362">
        <v>400</v>
      </c>
      <c r="D226" s="363">
        <v>30.12988</v>
      </c>
      <c r="E226" s="363">
        <v>33.19</v>
      </c>
      <c r="F226" s="363">
        <f>C226*(E226-D226)</f>
        <v>1224.0479999999991</v>
      </c>
      <c r="G226" s="363">
        <f>D226*C226</f>
        <v>12051.951999999999</v>
      </c>
      <c r="H226" s="364">
        <f>(E226-D226)/D226</f>
        <v>0.1015642943151449</v>
      </c>
      <c r="I226" s="363"/>
    </row>
    <row r="227" spans="2:9" x14ac:dyDescent="0.25">
      <c r="B227" s="361">
        <v>42752</v>
      </c>
      <c r="C227" s="362">
        <v>300</v>
      </c>
      <c r="D227" s="363">
        <v>28.620100000000001</v>
      </c>
      <c r="E227" s="363">
        <v>34.840000000000003</v>
      </c>
      <c r="F227" s="363">
        <f>C227*(E227-D227)</f>
        <v>1865.9700000000007</v>
      </c>
      <c r="G227" s="363">
        <f>D227*C227</f>
        <v>8586.0300000000007</v>
      </c>
      <c r="H227" s="364">
        <f>(E227-D227)/D227</f>
        <v>0.21732628467405782</v>
      </c>
      <c r="I227" s="363">
        <v>28.25</v>
      </c>
    </row>
    <row r="228" spans="2:9" x14ac:dyDescent="0.25">
      <c r="B228" s="361">
        <v>42754</v>
      </c>
      <c r="C228" s="362">
        <v>400</v>
      </c>
      <c r="D228" s="363">
        <v>30.032579999999999</v>
      </c>
      <c r="E228" s="363">
        <v>34.26</v>
      </c>
      <c r="F228" s="363">
        <f>C228*(E228-D228)</f>
        <v>1690.9679999999994</v>
      </c>
      <c r="G228" s="363">
        <f>D228*C228</f>
        <v>12013.031999999999</v>
      </c>
      <c r="H228" s="364">
        <f>(E228-D228)/D228</f>
        <v>0.14076113340911767</v>
      </c>
      <c r="I228" s="363"/>
    </row>
    <row r="243" spans="1:13" x14ac:dyDescent="0.25">
      <c r="M243" s="2">
        <f>M271+K274-F274</f>
        <v>1747.9699999999939</v>
      </c>
    </row>
    <row r="244" spans="1:13" x14ac:dyDescent="0.25">
      <c r="M244" s="252" t="s">
        <v>38</v>
      </c>
    </row>
    <row r="245" spans="1:13" x14ac:dyDescent="0.25">
      <c r="M245" s="251">
        <v>10.5</v>
      </c>
    </row>
    <row r="246" spans="1:13" x14ac:dyDescent="0.25">
      <c r="L246" t="s">
        <v>65</v>
      </c>
      <c r="M246" s="251">
        <v>48</v>
      </c>
    </row>
    <row r="247" spans="1:13" x14ac:dyDescent="0.25">
      <c r="A247" s="252" t="s">
        <v>1</v>
      </c>
      <c r="B247" s="252" t="s">
        <v>2</v>
      </c>
      <c r="C247" s="252" t="s">
        <v>4</v>
      </c>
      <c r="D247" s="253" t="s">
        <v>5</v>
      </c>
      <c r="E247" s="253" t="s">
        <v>94</v>
      </c>
      <c r="F247" s="253" t="s">
        <v>60</v>
      </c>
      <c r="G247" s="252" t="s">
        <v>3</v>
      </c>
      <c r="H247" s="252" t="s">
        <v>6</v>
      </c>
      <c r="I247" s="253" t="s">
        <v>7</v>
      </c>
      <c r="J247" s="253" t="s">
        <v>95</v>
      </c>
      <c r="K247" s="253" t="s">
        <v>61</v>
      </c>
      <c r="L247" s="252" t="s">
        <v>37</v>
      </c>
      <c r="M247" s="251">
        <v>60</v>
      </c>
    </row>
    <row r="248" spans="1:13" x14ac:dyDescent="0.25">
      <c r="A248" s="254" t="s">
        <v>195</v>
      </c>
      <c r="B248" s="255">
        <v>42482</v>
      </c>
      <c r="C248" s="250">
        <v>80</v>
      </c>
      <c r="D248" s="251">
        <v>36.01</v>
      </c>
      <c r="E248" s="251">
        <v>0</v>
      </c>
      <c r="F248" s="251">
        <f t="shared" ref="F248:F268" si="246">D248*C248+E248</f>
        <v>2880.7999999999997</v>
      </c>
      <c r="G248" s="255">
        <v>42514</v>
      </c>
      <c r="H248" s="250">
        <v>40</v>
      </c>
      <c r="I248" s="251">
        <v>35.35</v>
      </c>
      <c r="J248" s="251">
        <v>0.03</v>
      </c>
      <c r="K248" s="251">
        <f>I248*H248-J248</f>
        <v>1413.97</v>
      </c>
      <c r="L248" s="255">
        <v>42522</v>
      </c>
      <c r="M248" s="250"/>
    </row>
    <row r="249" spans="1:13" x14ac:dyDescent="0.25">
      <c r="A249" s="257" t="s">
        <v>71</v>
      </c>
      <c r="B249" s="255">
        <v>42482</v>
      </c>
      <c r="C249" s="250">
        <v>20</v>
      </c>
      <c r="D249" s="251">
        <v>35.549999999999997</v>
      </c>
      <c r="E249" s="251">
        <v>0</v>
      </c>
      <c r="F249" s="251">
        <f t="shared" si="246"/>
        <v>711</v>
      </c>
      <c r="G249" s="250"/>
      <c r="H249" s="250"/>
      <c r="I249" s="251"/>
      <c r="J249" s="251"/>
      <c r="K249" s="251"/>
      <c r="L249" s="255">
        <v>42614</v>
      </c>
      <c r="M249" s="250"/>
    </row>
    <row r="250" spans="1:13" x14ac:dyDescent="0.25">
      <c r="A250" s="250"/>
      <c r="B250" s="255">
        <v>42508</v>
      </c>
      <c r="C250" s="250">
        <v>40</v>
      </c>
      <c r="D250" s="251">
        <v>34.19</v>
      </c>
      <c r="E250" s="251">
        <v>0</v>
      </c>
      <c r="F250" s="251">
        <f t="shared" si="246"/>
        <v>1367.6</v>
      </c>
      <c r="G250" s="255">
        <v>42521</v>
      </c>
      <c r="H250" s="256">
        <v>40</v>
      </c>
      <c r="I250" s="251">
        <v>35.99</v>
      </c>
      <c r="J250" s="251">
        <v>0.03</v>
      </c>
      <c r="K250" s="251">
        <f t="shared" ref="K250:K265" si="247">I250*H250-J250</f>
        <v>1439.5700000000002</v>
      </c>
      <c r="L250" s="255">
        <v>42706</v>
      </c>
      <c r="M250" s="250"/>
    </row>
    <row r="251" spans="1:13" x14ac:dyDescent="0.25">
      <c r="A251" s="250"/>
      <c r="B251" s="255">
        <v>42509</v>
      </c>
      <c r="C251" s="250">
        <v>100</v>
      </c>
      <c r="D251" s="251">
        <v>34.49</v>
      </c>
      <c r="E251" s="251">
        <v>0</v>
      </c>
      <c r="F251" s="251">
        <f t="shared" si="246"/>
        <v>3449</v>
      </c>
      <c r="G251" s="255">
        <v>42531</v>
      </c>
      <c r="H251" s="256">
        <v>100</v>
      </c>
      <c r="I251" s="251">
        <v>36.99</v>
      </c>
      <c r="J251" s="251">
        <v>0.08</v>
      </c>
      <c r="K251" s="251">
        <f t="shared" si="247"/>
        <v>3698.92</v>
      </c>
      <c r="L251" s="250"/>
      <c r="M251" s="250"/>
    </row>
    <row r="252" spans="1:13" x14ac:dyDescent="0.25">
      <c r="A252" s="250"/>
      <c r="B252" s="255">
        <v>42536</v>
      </c>
      <c r="C252" s="250">
        <v>100</v>
      </c>
      <c r="D252" s="251">
        <v>35.39</v>
      </c>
      <c r="E252" s="251">
        <v>0</v>
      </c>
      <c r="F252" s="251">
        <f t="shared" si="246"/>
        <v>3539</v>
      </c>
      <c r="G252" s="255">
        <v>42594</v>
      </c>
      <c r="H252" s="256">
        <v>100</v>
      </c>
      <c r="I252" s="251">
        <v>32.58</v>
      </c>
      <c r="J252" s="251">
        <v>7.0000000000000007E-2</v>
      </c>
      <c r="K252" s="251">
        <f t="shared" si="247"/>
        <v>3257.93</v>
      </c>
      <c r="L252" s="250"/>
      <c r="M252" s="250"/>
    </row>
    <row r="253" spans="1:13" x14ac:dyDescent="0.25">
      <c r="A253" s="250"/>
      <c r="B253" s="255">
        <v>42579</v>
      </c>
      <c r="C253" s="250">
        <v>40</v>
      </c>
      <c r="D253" s="251">
        <v>35</v>
      </c>
      <c r="E253" s="251">
        <v>0</v>
      </c>
      <c r="F253" s="251">
        <f t="shared" si="246"/>
        <v>1400</v>
      </c>
      <c r="G253" s="255">
        <v>42671</v>
      </c>
      <c r="H253" s="256">
        <v>100</v>
      </c>
      <c r="I253" s="251">
        <v>31.32</v>
      </c>
      <c r="J253" s="251">
        <v>7.0000000000000007E-2</v>
      </c>
      <c r="K253" s="251">
        <f t="shared" si="247"/>
        <v>3131.93</v>
      </c>
      <c r="L253" s="250"/>
      <c r="M253" s="250"/>
    </row>
    <row r="254" spans="1:13" x14ac:dyDescent="0.25">
      <c r="A254" s="250"/>
      <c r="B254" s="255">
        <v>42579</v>
      </c>
      <c r="C254" s="250">
        <v>30</v>
      </c>
      <c r="D254" s="251">
        <v>34.57</v>
      </c>
      <c r="E254" s="251">
        <v>-7.0000000000000007E-2</v>
      </c>
      <c r="F254" s="251">
        <f t="shared" si="246"/>
        <v>1037.03</v>
      </c>
      <c r="G254" s="255">
        <v>42676</v>
      </c>
      <c r="H254" s="256">
        <v>200</v>
      </c>
      <c r="I254" s="251">
        <v>31.83</v>
      </c>
      <c r="J254" s="251">
        <v>0.14000000000000001</v>
      </c>
      <c r="K254" s="251">
        <f t="shared" si="247"/>
        <v>6365.86</v>
      </c>
      <c r="L254" s="250"/>
      <c r="M254" s="250"/>
    </row>
    <row r="255" spans="1:13" x14ac:dyDescent="0.25">
      <c r="A255" s="250"/>
      <c r="B255" s="255">
        <v>42580</v>
      </c>
      <c r="C255" s="250">
        <v>30</v>
      </c>
      <c r="D255" s="251">
        <v>33.880000000000003</v>
      </c>
      <c r="E255" s="251">
        <v>0</v>
      </c>
      <c r="F255" s="251">
        <f t="shared" si="246"/>
        <v>1016.4000000000001</v>
      </c>
      <c r="G255" s="255">
        <v>42676</v>
      </c>
      <c r="H255" s="256">
        <v>100</v>
      </c>
      <c r="I255" s="251">
        <v>31.98</v>
      </c>
      <c r="J255" s="251">
        <v>7.0000000000000007E-2</v>
      </c>
      <c r="K255" s="251">
        <f t="shared" si="247"/>
        <v>3197.93</v>
      </c>
      <c r="L255" s="250"/>
      <c r="M255" s="250"/>
    </row>
    <row r="256" spans="1:13" x14ac:dyDescent="0.25">
      <c r="A256" s="250"/>
      <c r="B256" s="255">
        <v>42584</v>
      </c>
      <c r="C256" s="250">
        <v>40</v>
      </c>
      <c r="D256" s="251">
        <v>33.049999999999997</v>
      </c>
      <c r="E256" s="251">
        <v>0</v>
      </c>
      <c r="F256" s="251">
        <f t="shared" si="246"/>
        <v>1322</v>
      </c>
      <c r="G256" s="255">
        <v>42676</v>
      </c>
      <c r="H256" s="256">
        <v>100</v>
      </c>
      <c r="I256" s="251">
        <v>32.18</v>
      </c>
      <c r="J256" s="251">
        <v>7.0000000000000007E-2</v>
      </c>
      <c r="K256" s="251">
        <f t="shared" si="247"/>
        <v>3217.93</v>
      </c>
      <c r="L256" s="250"/>
      <c r="M256" s="250"/>
    </row>
    <row r="257" spans="1:13" x14ac:dyDescent="0.25">
      <c r="A257" s="250"/>
      <c r="B257" s="255">
        <v>42586</v>
      </c>
      <c r="C257" s="250">
        <v>100</v>
      </c>
      <c r="D257" s="251">
        <v>32.479999999999997</v>
      </c>
      <c r="E257" s="251">
        <v>0</v>
      </c>
      <c r="F257" s="251">
        <f t="shared" si="246"/>
        <v>3247.9999999999995</v>
      </c>
      <c r="G257" s="255">
        <v>42676</v>
      </c>
      <c r="H257" s="256">
        <v>100</v>
      </c>
      <c r="I257" s="251">
        <v>32.229999999999997</v>
      </c>
      <c r="J257" s="251">
        <v>7.0000000000000007E-2</v>
      </c>
      <c r="K257" s="251">
        <f t="shared" si="247"/>
        <v>3222.9299999999994</v>
      </c>
      <c r="L257" s="250"/>
      <c r="M257" s="250"/>
    </row>
    <row r="258" spans="1:13" x14ac:dyDescent="0.25">
      <c r="A258" s="250"/>
      <c r="B258" s="255">
        <v>42593</v>
      </c>
      <c r="C258" s="250">
        <v>100</v>
      </c>
      <c r="D258" s="251">
        <v>32.049999999999997</v>
      </c>
      <c r="E258" s="251">
        <v>0</v>
      </c>
      <c r="F258" s="251">
        <f t="shared" si="246"/>
        <v>3204.9999999999995</v>
      </c>
      <c r="G258" s="255">
        <v>42683</v>
      </c>
      <c r="H258" s="256">
        <v>100</v>
      </c>
      <c r="I258" s="251">
        <v>32.33</v>
      </c>
      <c r="J258" s="251">
        <v>7.0000000000000007E-2</v>
      </c>
      <c r="K258" s="251">
        <f t="shared" si="247"/>
        <v>3232.93</v>
      </c>
      <c r="L258" s="250"/>
      <c r="M258" s="250"/>
    </row>
    <row r="259" spans="1:13" x14ac:dyDescent="0.25">
      <c r="A259" s="250"/>
      <c r="B259" s="255">
        <v>42599</v>
      </c>
      <c r="C259" s="250">
        <v>100</v>
      </c>
      <c r="D259" s="251">
        <v>31.68</v>
      </c>
      <c r="E259" s="251">
        <v>0</v>
      </c>
      <c r="F259" s="251">
        <f t="shared" si="246"/>
        <v>3168</v>
      </c>
      <c r="G259" s="255">
        <v>42683</v>
      </c>
      <c r="H259" s="256">
        <v>200</v>
      </c>
      <c r="I259" s="251">
        <v>32.08</v>
      </c>
      <c r="J259" s="251">
        <v>0.14000000000000001</v>
      </c>
      <c r="K259" s="251">
        <f t="shared" si="247"/>
        <v>6415.86</v>
      </c>
      <c r="L259" s="250"/>
      <c r="M259" s="250"/>
    </row>
    <row r="260" spans="1:13" x14ac:dyDescent="0.25">
      <c r="A260" s="250"/>
      <c r="B260" s="255">
        <v>42620</v>
      </c>
      <c r="C260" s="250">
        <v>100</v>
      </c>
      <c r="D260" s="251">
        <v>31.65</v>
      </c>
      <c r="E260" s="251">
        <v>0</v>
      </c>
      <c r="F260" s="251">
        <f t="shared" si="246"/>
        <v>3165</v>
      </c>
      <c r="G260" s="255">
        <v>42684</v>
      </c>
      <c r="H260" s="256">
        <v>100</v>
      </c>
      <c r="I260" s="251">
        <v>32.950000000000003</v>
      </c>
      <c r="J260" s="251">
        <v>7.0000000000000007E-2</v>
      </c>
      <c r="K260" s="251">
        <f t="shared" si="247"/>
        <v>3294.9300000000003</v>
      </c>
      <c r="L260" s="250"/>
      <c r="M260" s="250"/>
    </row>
    <row r="261" spans="1:13" x14ac:dyDescent="0.25">
      <c r="A261" s="250"/>
      <c r="B261" s="255">
        <v>42620</v>
      </c>
      <c r="C261" s="250">
        <v>100</v>
      </c>
      <c r="D261" s="251">
        <v>31.18</v>
      </c>
      <c r="E261" s="251">
        <v>0</v>
      </c>
      <c r="F261" s="251">
        <f t="shared" si="246"/>
        <v>3118</v>
      </c>
      <c r="G261" s="255">
        <v>42712</v>
      </c>
      <c r="H261" s="256">
        <v>100</v>
      </c>
      <c r="I261" s="251">
        <v>34.22</v>
      </c>
      <c r="J261" s="251">
        <v>7.0000000000000007E-2</v>
      </c>
      <c r="K261" s="251">
        <f t="shared" si="247"/>
        <v>3421.93</v>
      </c>
      <c r="L261" s="250"/>
      <c r="M261" s="250"/>
    </row>
    <row r="262" spans="1:13" x14ac:dyDescent="0.25">
      <c r="A262" s="250"/>
      <c r="B262" s="255">
        <v>42625</v>
      </c>
      <c r="C262" s="250">
        <v>100</v>
      </c>
      <c r="D262" s="251">
        <v>30.8</v>
      </c>
      <c r="E262" s="251">
        <v>0</v>
      </c>
      <c r="F262" s="251">
        <f t="shared" si="246"/>
        <v>3080</v>
      </c>
      <c r="G262" s="255">
        <v>42713</v>
      </c>
      <c r="H262" s="256">
        <v>100</v>
      </c>
      <c r="I262" s="251">
        <v>34.79</v>
      </c>
      <c r="J262" s="251">
        <v>0.08</v>
      </c>
      <c r="K262" s="251">
        <f t="shared" si="247"/>
        <v>3478.92</v>
      </c>
      <c r="L262" s="250"/>
      <c r="M262" s="250"/>
    </row>
    <row r="263" spans="1:13" x14ac:dyDescent="0.25">
      <c r="A263" s="250"/>
      <c r="B263" s="255">
        <v>42639</v>
      </c>
      <c r="C263" s="250">
        <v>100</v>
      </c>
      <c r="D263" s="251">
        <v>30.08</v>
      </c>
      <c r="E263" s="251">
        <v>0</v>
      </c>
      <c r="F263" s="251">
        <f t="shared" si="246"/>
        <v>3008</v>
      </c>
      <c r="G263" s="255">
        <v>42718</v>
      </c>
      <c r="H263" s="256">
        <v>100</v>
      </c>
      <c r="I263" s="251">
        <v>35.21</v>
      </c>
      <c r="J263" s="251">
        <v>0.57999999999999996</v>
      </c>
      <c r="K263" s="251">
        <f t="shared" si="247"/>
        <v>3520.42</v>
      </c>
      <c r="L263" s="250"/>
      <c r="M263" s="250"/>
    </row>
    <row r="264" spans="1:13" x14ac:dyDescent="0.25">
      <c r="A264" s="250"/>
      <c r="B264" s="255">
        <v>42646</v>
      </c>
      <c r="C264" s="250">
        <v>100</v>
      </c>
      <c r="D264" s="251">
        <v>29.4</v>
      </c>
      <c r="E264" s="251">
        <v>0</v>
      </c>
      <c r="F264" s="251">
        <f t="shared" si="246"/>
        <v>2940</v>
      </c>
      <c r="G264" s="255">
        <v>42718</v>
      </c>
      <c r="H264" s="256">
        <v>100</v>
      </c>
      <c r="I264" s="251">
        <v>34.9</v>
      </c>
      <c r="J264" s="251">
        <v>0.08</v>
      </c>
      <c r="K264" s="251">
        <f t="shared" si="247"/>
        <v>3489.92</v>
      </c>
      <c r="L264" s="250"/>
      <c r="M264" s="250"/>
    </row>
    <row r="265" spans="1:13" x14ac:dyDescent="0.25">
      <c r="A265" s="250"/>
      <c r="B265" s="255">
        <v>42674</v>
      </c>
      <c r="C265" s="250">
        <v>100</v>
      </c>
      <c r="D265" s="251">
        <v>31.1</v>
      </c>
      <c r="E265" s="251">
        <v>0</v>
      </c>
      <c r="F265" s="251">
        <f t="shared" si="246"/>
        <v>3110</v>
      </c>
      <c r="G265" s="255">
        <v>42752</v>
      </c>
      <c r="H265" s="256">
        <v>100</v>
      </c>
      <c r="I265" s="251">
        <v>34.659999999999997</v>
      </c>
      <c r="J265" s="251">
        <v>0.08</v>
      </c>
      <c r="K265" s="251">
        <f t="shared" si="247"/>
        <v>3465.9199999999996</v>
      </c>
      <c r="L265" s="250"/>
      <c r="M265" s="250"/>
    </row>
    <row r="266" spans="1:13" x14ac:dyDescent="0.25">
      <c r="A266" s="250"/>
      <c r="B266" s="255">
        <v>42677</v>
      </c>
      <c r="C266" s="250">
        <v>200</v>
      </c>
      <c r="D266" s="251">
        <v>31.68</v>
      </c>
      <c r="E266" s="251">
        <v>0</v>
      </c>
      <c r="F266" s="251">
        <f t="shared" si="246"/>
        <v>6336</v>
      </c>
      <c r="G266" s="250"/>
      <c r="H266" s="250"/>
      <c r="I266" s="251"/>
      <c r="J266" s="251"/>
      <c r="K266" s="251"/>
      <c r="L266" s="250"/>
      <c r="M266" s="250"/>
    </row>
    <row r="267" spans="1:13" x14ac:dyDescent="0.25">
      <c r="A267" s="250"/>
      <c r="B267" s="255">
        <v>42677</v>
      </c>
      <c r="C267" s="250">
        <v>100</v>
      </c>
      <c r="D267" s="251">
        <v>31.2</v>
      </c>
      <c r="E267" s="251">
        <v>-0.5</v>
      </c>
      <c r="F267" s="251">
        <f t="shared" si="246"/>
        <v>3119.5</v>
      </c>
      <c r="G267" s="250"/>
      <c r="H267" s="250"/>
      <c r="I267" s="251"/>
      <c r="J267" s="251"/>
      <c r="K267" s="251"/>
      <c r="L267" s="250"/>
      <c r="M267" s="250"/>
    </row>
    <row r="268" spans="1:13" x14ac:dyDescent="0.25">
      <c r="A268" s="250"/>
      <c r="B268" s="255">
        <v>42716</v>
      </c>
      <c r="C268" s="250">
        <v>100</v>
      </c>
      <c r="D268" s="251">
        <v>34.18</v>
      </c>
      <c r="E268" s="251">
        <v>0</v>
      </c>
      <c r="F268" s="251">
        <f t="shared" si="246"/>
        <v>3418</v>
      </c>
      <c r="G268" s="250"/>
      <c r="H268" s="250"/>
      <c r="I268" s="251"/>
      <c r="J268" s="251"/>
      <c r="K268" s="251"/>
      <c r="L268" s="250"/>
      <c r="M268" s="250"/>
    </row>
    <row r="269" spans="1:13" x14ac:dyDescent="0.25">
      <c r="A269" s="250"/>
      <c r="B269" s="255"/>
      <c r="C269" s="250"/>
      <c r="D269" s="251"/>
      <c r="E269" s="251"/>
      <c r="F269" s="251"/>
      <c r="G269" s="250"/>
      <c r="H269" s="250"/>
      <c r="I269" s="251"/>
      <c r="J269" s="251"/>
      <c r="K269" s="251"/>
      <c r="L269" s="250"/>
      <c r="M269" s="250"/>
    </row>
    <row r="270" spans="1:13" x14ac:dyDescent="0.25">
      <c r="A270" s="250"/>
      <c r="B270" s="255"/>
      <c r="C270" s="250"/>
      <c r="D270" s="251"/>
      <c r="E270" s="251"/>
      <c r="F270" s="251"/>
      <c r="G270" s="250"/>
      <c r="H270" s="250"/>
      <c r="I270" s="251"/>
      <c r="J270" s="251"/>
      <c r="K270" s="251"/>
      <c r="L270" s="250"/>
      <c r="M270" s="250"/>
    </row>
    <row r="271" spans="1:13" x14ac:dyDescent="0.25">
      <c r="A271" s="250"/>
      <c r="B271" s="255"/>
      <c r="C271" s="250"/>
      <c r="D271" s="251"/>
      <c r="E271" s="251"/>
      <c r="F271" s="251"/>
      <c r="G271" s="250"/>
      <c r="H271" s="250"/>
      <c r="I271" s="251"/>
      <c r="J271" s="251"/>
      <c r="K271" s="251"/>
      <c r="L271" s="250"/>
      <c r="M271" s="18">
        <f>SUM(M245:M270)</f>
        <v>118.5</v>
      </c>
    </row>
    <row r="272" spans="1:13" x14ac:dyDescent="0.25">
      <c r="A272" s="250"/>
      <c r="B272" s="250"/>
      <c r="C272" s="250"/>
      <c r="D272" s="251"/>
      <c r="E272" s="251"/>
      <c r="F272" s="251"/>
      <c r="G272" s="250"/>
      <c r="H272" s="250"/>
      <c r="I272" s="251"/>
      <c r="J272" s="251"/>
      <c r="K272" s="251"/>
      <c r="L272" s="250"/>
    </row>
    <row r="273" spans="1:12" x14ac:dyDescent="0.25">
      <c r="A273" s="250"/>
      <c r="B273" s="250"/>
      <c r="C273" s="250"/>
      <c r="D273" s="251"/>
      <c r="E273" s="251"/>
      <c r="F273" s="251"/>
      <c r="G273" s="250"/>
      <c r="H273" s="250"/>
      <c r="I273" s="251"/>
      <c r="J273" s="251"/>
      <c r="K273" s="251"/>
      <c r="L273" s="250"/>
    </row>
    <row r="274" spans="1:12" x14ac:dyDescent="0.25">
      <c r="A274" s="31" t="s">
        <v>81</v>
      </c>
      <c r="B274" s="14"/>
      <c r="C274" s="14">
        <f>SUM(C248:C271)</f>
        <v>1780</v>
      </c>
      <c r="D274" s="18"/>
      <c r="E274" s="18"/>
      <c r="F274" s="18">
        <f>SUM(F248:F271)</f>
        <v>57638.33</v>
      </c>
      <c r="G274" s="14"/>
      <c r="H274" s="14">
        <f>SUM(H248:H273)</f>
        <v>1780</v>
      </c>
      <c r="I274" s="18"/>
      <c r="J274" s="18"/>
      <c r="K274" s="18">
        <f>SUM(K248:K273)</f>
        <v>59267.799999999996</v>
      </c>
      <c r="L274" s="14"/>
    </row>
  </sheetData>
  <mergeCells count="1">
    <mergeCell ref="O22:P22"/>
  </mergeCells>
  <conditionalFormatting sqref="O23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9:F163 K94:K128 K132 H150:H153 F150:F153 K150:K153 K141:K142 F139:F142 H139:H142">
    <cfRule type="expression" dxfId="1845" priority="93">
      <formula>F94&gt;0</formula>
    </cfRule>
    <cfRule type="expression" dxfId="1844" priority="94">
      <formula>F94&lt;0</formula>
    </cfRule>
  </conditionalFormatting>
  <conditionalFormatting sqref="F164:F177 F180:F224 F227:F228">
    <cfRule type="expression" dxfId="1843" priority="89">
      <formula>F164&gt;0</formula>
    </cfRule>
    <cfRule type="expression" dxfId="1842" priority="90">
      <formula>F164&lt;0</formula>
    </cfRule>
  </conditionalFormatting>
  <conditionalFormatting sqref="F164:F177 F180:F224 F227:F228">
    <cfRule type="expression" dxfId="1841" priority="91">
      <formula>F164&gt;0</formula>
    </cfRule>
    <cfRule type="expression" dxfId="1840" priority="92">
      <formula>F164&lt;0</formula>
    </cfRule>
  </conditionalFormatting>
  <conditionalFormatting sqref="H159:H177 H180:H224 H227:H228">
    <cfRule type="expression" dxfId="1839" priority="87">
      <formula>H159&gt;0</formula>
    </cfRule>
    <cfRule type="expression" dxfId="1838" priority="88">
      <formula>H159&lt;0</formula>
    </cfRule>
  </conditionalFormatting>
  <conditionalFormatting sqref="F155:F158">
    <cfRule type="expression" dxfId="1837" priority="81">
      <formula>F155&gt;0</formula>
    </cfRule>
    <cfRule type="expression" dxfId="1836" priority="82">
      <formula>F155&lt;0</formula>
    </cfRule>
  </conditionalFormatting>
  <conditionalFormatting sqref="H155:H158">
    <cfRule type="expression" dxfId="1835" priority="79">
      <formula>H155&gt;0</formula>
    </cfRule>
    <cfRule type="expression" dxfId="1834" priority="80">
      <formula>H155&lt;0</formula>
    </cfRule>
  </conditionalFormatting>
  <conditionalFormatting sqref="Q8">
    <cfRule type="expression" dxfId="1833" priority="75">
      <formula>Q8&gt;0</formula>
    </cfRule>
    <cfRule type="expression" dxfId="1832" priority="76">
      <formula>Q8&lt;0</formula>
    </cfRule>
  </conditionalFormatting>
  <conditionalFormatting sqref="Q7">
    <cfRule type="expression" dxfId="1831" priority="77">
      <formula>Q7&gt;0</formula>
    </cfRule>
    <cfRule type="expression" dxfId="1830" priority="78">
      <formula>Q7&lt;0</formula>
    </cfRule>
  </conditionalFormatting>
  <conditionalFormatting sqref="F178">
    <cfRule type="expression" dxfId="1829" priority="71">
      <formula>F178&gt;0</formula>
    </cfRule>
    <cfRule type="expression" dxfId="1828" priority="72">
      <formula>F178&lt;0</formula>
    </cfRule>
  </conditionalFormatting>
  <conditionalFormatting sqref="F178">
    <cfRule type="expression" dxfId="1827" priority="73">
      <formula>F178&gt;0</formula>
    </cfRule>
    <cfRule type="expression" dxfId="1826" priority="74">
      <formula>F178&lt;0</formula>
    </cfRule>
  </conditionalFormatting>
  <conditionalFormatting sqref="H178">
    <cfRule type="expression" dxfId="1825" priority="69">
      <formula>H178&gt;0</formula>
    </cfRule>
    <cfRule type="expression" dxfId="1824" priority="70">
      <formula>H178&lt;0</formula>
    </cfRule>
  </conditionalFormatting>
  <conditionalFormatting sqref="F179">
    <cfRule type="expression" dxfId="1823" priority="65">
      <formula>F179&gt;0</formula>
    </cfRule>
    <cfRule type="expression" dxfId="1822" priority="66">
      <formula>F179&lt;0</formula>
    </cfRule>
  </conditionalFormatting>
  <conditionalFormatting sqref="F179">
    <cfRule type="expression" dxfId="1821" priority="67">
      <formula>F179&gt;0</formula>
    </cfRule>
    <cfRule type="expression" dxfId="1820" priority="68">
      <formula>F179&lt;0</formula>
    </cfRule>
  </conditionalFormatting>
  <conditionalFormatting sqref="H179">
    <cfRule type="expression" dxfId="1819" priority="63">
      <formula>H179&gt;0</formula>
    </cfRule>
    <cfRule type="expression" dxfId="1818" priority="64">
      <formula>H179&lt;0</formula>
    </cfRule>
  </conditionalFormatting>
  <conditionalFormatting sqref="F225:F226">
    <cfRule type="expression" dxfId="1817" priority="59">
      <formula>F225&gt;0</formula>
    </cfRule>
    <cfRule type="expression" dxfId="1816" priority="60">
      <formula>F225&lt;0</formula>
    </cfRule>
  </conditionalFormatting>
  <conditionalFormatting sqref="F225:F226">
    <cfRule type="expression" dxfId="1815" priority="61">
      <formula>F225&gt;0</formula>
    </cfRule>
    <cfRule type="expression" dxfId="1814" priority="62">
      <formula>F225&lt;0</formula>
    </cfRule>
  </conditionalFormatting>
  <conditionalFormatting sqref="H225:H226">
    <cfRule type="expression" dxfId="1813" priority="57">
      <formula>H225&gt;0</formula>
    </cfRule>
    <cfRule type="expression" dxfId="1812" priority="58">
      <formula>H225&lt;0</formula>
    </cfRule>
  </conditionalFormatting>
  <conditionalFormatting sqref="F64:F79">
    <cfRule type="expression" dxfId="1811" priority="55">
      <formula>F64&gt;0</formula>
    </cfRule>
    <cfRule type="expression" dxfId="1810" priority="56">
      <formula>F64&lt;0</formula>
    </cfRule>
  </conditionalFormatting>
  <conditionalFormatting sqref="H64:H79">
    <cfRule type="expression" dxfId="1809" priority="53">
      <formula>H64&gt;0</formula>
    </cfRule>
    <cfRule type="expression" dxfId="1808" priority="54">
      <formula>H64&lt;0</formula>
    </cfRule>
  </conditionalFormatting>
  <conditionalFormatting sqref="Q10">
    <cfRule type="expression" dxfId="1807" priority="51">
      <formula>Q10&gt;0</formula>
    </cfRule>
    <cfRule type="expression" dxfId="1806" priority="52">
      <formula>Q10&lt;0</formula>
    </cfRule>
  </conditionalFormatting>
  <conditionalFormatting sqref="J74:K74">
    <cfRule type="expression" dxfId="1805" priority="49">
      <formula>J74&gt;0</formula>
    </cfRule>
    <cfRule type="expression" dxfId="1804" priority="50">
      <formula>J74&lt;0</formula>
    </cfRule>
  </conditionalFormatting>
  <conditionalFormatting sqref="K75">
    <cfRule type="expression" dxfId="1803" priority="47">
      <formula>K75&gt;0</formula>
    </cfRule>
    <cfRule type="expression" dxfId="1802" priority="48">
      <formula>K75&lt;0</formula>
    </cfRule>
  </conditionalFormatting>
  <conditionalFormatting sqref="K76:K89">
    <cfRule type="expression" dxfId="1801" priority="45">
      <formula>K76&gt;0</formula>
    </cfRule>
    <cfRule type="expression" dxfId="1800" priority="46">
      <formula>K76&lt;0</formula>
    </cfRule>
  </conditionalFormatting>
  <conditionalFormatting sqref="F81:F89">
    <cfRule type="expression" dxfId="1799" priority="43">
      <formula>F81&gt;0</formula>
    </cfRule>
    <cfRule type="expression" dxfId="1798" priority="44">
      <formula>F81&lt;0</formula>
    </cfRule>
  </conditionalFormatting>
  <conditionalFormatting sqref="H81:H89">
    <cfRule type="expression" dxfId="1797" priority="41">
      <formula>H81&gt;0</formula>
    </cfRule>
    <cfRule type="expression" dxfId="1796" priority="42">
      <formula>H81&lt;0</formula>
    </cfRule>
  </conditionalFormatting>
  <conditionalFormatting sqref="R4">
    <cfRule type="expression" dxfId="1795" priority="39">
      <formula>R4&gt;0</formula>
    </cfRule>
    <cfRule type="expression" dxfId="1794" priority="40">
      <formula>R4&lt;0</formula>
    </cfRule>
  </conditionalFormatting>
  <conditionalFormatting sqref="Q9">
    <cfRule type="expression" dxfId="1793" priority="37">
      <formula>Q9&gt;0</formula>
    </cfRule>
    <cfRule type="expression" dxfId="1792" priority="38">
      <formula>Q9&lt;0</formula>
    </cfRule>
  </conditionalFormatting>
  <conditionalFormatting sqref="K90:K93">
    <cfRule type="expression" dxfId="1791" priority="35">
      <formula>K90&gt;0</formula>
    </cfRule>
    <cfRule type="expression" dxfId="1790" priority="36">
      <formula>K90&lt;0</formula>
    </cfRule>
  </conditionalFormatting>
  <conditionalFormatting sqref="F90:F113">
    <cfRule type="expression" dxfId="1789" priority="33">
      <formula>F90&gt;0</formula>
    </cfRule>
    <cfRule type="expression" dxfId="1788" priority="34">
      <formula>F90&lt;0</formula>
    </cfRule>
  </conditionalFormatting>
  <conditionalFormatting sqref="H90:H113">
    <cfRule type="expression" dxfId="1787" priority="31">
      <formula>H90&gt;0</formula>
    </cfRule>
    <cfRule type="expression" dxfId="1786" priority="32">
      <formula>H90&lt;0</formula>
    </cfRule>
  </conditionalFormatting>
  <conditionalFormatting sqref="W1:W3 W5:W6">
    <cfRule type="iconSet" priority="29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85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85" priority="27">
      <formula>F114&gt;0</formula>
    </cfRule>
    <cfRule type="expression" dxfId="1784" priority="28">
      <formula>F114&lt;0</formula>
    </cfRule>
  </conditionalFormatting>
  <conditionalFormatting sqref="H114:H138">
    <cfRule type="expression" dxfId="1783" priority="25">
      <formula>H114&gt;0</formula>
    </cfRule>
    <cfRule type="expression" dxfId="1782" priority="26">
      <formula>H114&lt;0</formula>
    </cfRule>
  </conditionalFormatting>
  <conditionalFormatting sqref="K129:K131">
    <cfRule type="expression" dxfId="1781" priority="23">
      <formula>K129&gt;0</formula>
    </cfRule>
    <cfRule type="expression" dxfId="1780" priority="24">
      <formula>K129&lt;0</formula>
    </cfRule>
  </conditionalFormatting>
  <conditionalFormatting sqref="K133:K135">
    <cfRule type="expression" dxfId="1779" priority="21">
      <formula>K133&gt;0</formula>
    </cfRule>
    <cfRule type="expression" dxfId="1778" priority="22">
      <formula>K133&lt;0</formula>
    </cfRule>
  </conditionalFormatting>
  <conditionalFormatting sqref="K140">
    <cfRule type="expression" dxfId="1777" priority="17">
      <formula>K140&gt;0</formula>
    </cfRule>
    <cfRule type="expression" dxfId="1776" priority="18">
      <formula>K140&lt;0</formula>
    </cfRule>
  </conditionalFormatting>
  <conditionalFormatting sqref="K136:K138">
    <cfRule type="expression" dxfId="1775" priority="15">
      <formula>K136&gt;0</formula>
    </cfRule>
    <cfRule type="expression" dxfId="1774" priority="16">
      <formula>K136&lt;0</formula>
    </cfRule>
  </conditionalFormatting>
  <conditionalFormatting sqref="K139">
    <cfRule type="expression" dxfId="1773" priority="9">
      <formula>K139&gt;0</formula>
    </cfRule>
    <cfRule type="expression" dxfId="1772" priority="10">
      <formula>K139&lt;0</formula>
    </cfRule>
  </conditionalFormatting>
  <conditionalFormatting sqref="H148:H149 F148:F149 K148:K149">
    <cfRule type="expression" dxfId="1771" priority="7">
      <formula>F148&gt;0</formula>
    </cfRule>
    <cfRule type="expression" dxfId="1770" priority="8">
      <formula>F148&lt;0</formula>
    </cfRule>
  </conditionalFormatting>
  <conditionalFormatting sqref="H143:H147 F143:F147 K143:K147">
    <cfRule type="expression" dxfId="1769" priority="5">
      <formula>F143&gt;0</formula>
    </cfRule>
    <cfRule type="expression" dxfId="1768" priority="6">
      <formula>F143&lt;0</formula>
    </cfRule>
  </conditionalFormatting>
  <conditionalFormatting sqref="F80">
    <cfRule type="expression" dxfId="1767" priority="3">
      <formula>F80&gt;0</formula>
    </cfRule>
    <cfRule type="expression" dxfId="1766" priority="4">
      <formula>F80&lt;0</formula>
    </cfRule>
  </conditionalFormatting>
  <conditionalFormatting sqref="H80">
    <cfRule type="expression" dxfId="1765" priority="1">
      <formula>H80&gt;0</formula>
    </cfRule>
    <cfRule type="expression" dxfId="1764" priority="2">
      <formula>H80&lt;0</formula>
    </cfRule>
  </conditionalFormatting>
  <hyperlinks>
    <hyperlink ref="A3" location="ACTIVE!A1" display="Back"/>
    <hyperlink ref="A24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12.1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12.1</v>
      </c>
      <c r="R4" s="475">
        <v>5.3E-3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13.31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13.189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13.068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12.947000000000001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12.826000000000001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12.705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12.584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12.462999999999999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12.342000000000001</v>
      </c>
      <c r="Q49" s="2"/>
      <c r="T49" s="91" t="s">
        <v>103</v>
      </c>
      <c r="U49" s="86" t="s">
        <v>371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12.221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12.1</v>
      </c>
      <c r="Q51" s="2"/>
      <c r="T51" s="91" t="s">
        <v>104</v>
      </c>
      <c r="U51" s="86" t="s">
        <v>588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11.978999999999999</v>
      </c>
      <c r="Q52" s="2"/>
      <c r="T52" s="91" t="s">
        <v>105</v>
      </c>
      <c r="U52" s="86" t="s">
        <v>388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11.857999999999999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11.737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11.616</v>
      </c>
      <c r="T55" s="91" t="s">
        <v>107</v>
      </c>
      <c r="U55" s="86" t="s">
        <v>589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11.494999999999999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11.373999999999999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11.253</v>
      </c>
      <c r="T58" s="91" t="s">
        <v>108</v>
      </c>
      <c r="U58" s="86" t="s">
        <v>532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11.132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11.010999999999999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10.89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253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263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276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63" priority="31">
      <formula>Q7&gt;0</formula>
    </cfRule>
    <cfRule type="expression" dxfId="1762" priority="32">
      <formula>Q7&lt;0</formula>
    </cfRule>
  </conditionalFormatting>
  <conditionalFormatting sqref="Q8">
    <cfRule type="expression" dxfId="1761" priority="29">
      <formula>Q8&gt;0</formula>
    </cfRule>
    <cfRule type="expression" dxfId="1760" priority="30">
      <formula>Q8&lt;0</formula>
    </cfRule>
  </conditionalFormatting>
  <conditionalFormatting sqref="F62:F65">
    <cfRule type="expression" dxfId="1759" priority="21">
      <formula>F62&gt;0</formula>
    </cfRule>
    <cfRule type="expression" dxfId="1758" priority="22">
      <formula>F62&lt;0</formula>
    </cfRule>
  </conditionalFormatting>
  <conditionalFormatting sqref="F66:F74 F78:F98 F102:F106">
    <cfRule type="expression" dxfId="1757" priority="17">
      <formula>F66&gt;0</formula>
    </cfRule>
    <cfRule type="expression" dxfId="1756" priority="18">
      <formula>F66&lt;0</formula>
    </cfRule>
  </conditionalFormatting>
  <conditionalFormatting sqref="F66:F74 F78:F98 F102:F106">
    <cfRule type="expression" dxfId="1755" priority="19">
      <formula>F66&gt;0</formula>
    </cfRule>
    <cfRule type="expression" dxfId="1754" priority="20">
      <formula>F66&lt;0</formula>
    </cfRule>
  </conditionalFormatting>
  <conditionalFormatting sqref="H62:H74 H78:H98 H102:H106">
    <cfRule type="expression" dxfId="1753" priority="15">
      <formula>H62&gt;0</formula>
    </cfRule>
    <cfRule type="expression" dxfId="1752" priority="16">
      <formula>H62&lt;0</formula>
    </cfRule>
  </conditionalFormatting>
  <conditionalFormatting sqref="F57:F61">
    <cfRule type="expression" dxfId="1751" priority="13">
      <formula>F57&gt;0</formula>
    </cfRule>
    <cfRule type="expression" dxfId="1750" priority="14">
      <formula>F57&lt;0</formula>
    </cfRule>
  </conditionalFormatting>
  <conditionalFormatting sqref="H57:H61">
    <cfRule type="expression" dxfId="1749" priority="11">
      <formula>H57&gt;0</formula>
    </cfRule>
    <cfRule type="expression" dxfId="1748" priority="12">
      <formula>H57&lt;0</formula>
    </cfRule>
  </conditionalFormatting>
  <conditionalFormatting sqref="F75:F77">
    <cfRule type="expression" dxfId="1747" priority="7">
      <formula>F75&gt;0</formula>
    </cfRule>
    <cfRule type="expression" dxfId="1746" priority="8">
      <formula>F75&lt;0</formula>
    </cfRule>
  </conditionalFormatting>
  <conditionalFormatting sqref="F75:F77">
    <cfRule type="expression" dxfId="1745" priority="9">
      <formula>F75&gt;0</formula>
    </cfRule>
    <cfRule type="expression" dxfId="1744" priority="10">
      <formula>F75&lt;0</formula>
    </cfRule>
  </conditionalFormatting>
  <conditionalFormatting sqref="H75:H77">
    <cfRule type="expression" dxfId="1743" priority="5">
      <formula>H75&gt;0</formula>
    </cfRule>
    <cfRule type="expression" dxfId="1742" priority="6">
      <formula>H75&lt;0</formula>
    </cfRule>
  </conditionalFormatting>
  <conditionalFormatting sqref="F22:F30">
    <cfRule type="expression" dxfId="1741" priority="3">
      <formula>F22&gt;0</formula>
    </cfRule>
    <cfRule type="expression" dxfId="1740" priority="4">
      <formula>F22&lt;0</formula>
    </cfRule>
  </conditionalFormatting>
  <conditionalFormatting sqref="F99:F101">
    <cfRule type="expression" dxfId="1739" priority="1">
      <formula>F99&gt;0</formula>
    </cfRule>
    <cfRule type="expression" dxfId="1738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735">
        <v>43249</v>
      </c>
      <c r="C2" s="4">
        <v>50</v>
      </c>
      <c r="D2" s="3">
        <v>119.88</v>
      </c>
      <c r="E2" s="3">
        <v>0</v>
      </c>
      <c r="F2" s="3">
        <f>C2*D2+E2</f>
        <v>5994</v>
      </c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119.88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122.66</v>
      </c>
      <c r="R4" s="475">
        <v>-1.1299999999999999E-2</v>
      </c>
      <c r="T4" s="156"/>
      <c r="U4" s="1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6133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5994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293.77999999999975</v>
      </c>
      <c r="R7" s="29">
        <v>43280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139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2.3189856523189858E-2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50</v>
      </c>
      <c r="D18" s="18"/>
      <c r="E18" s="18"/>
      <c r="F18" s="18">
        <f>SUM(F2:F6)</f>
        <v>5994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(E25-D25)*C25</f>
        <v>-23.999999999999488</v>
      </c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50" t="s">
        <v>78</v>
      </c>
      <c r="P40" s="850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134.92600000000002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133.6994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132.47280000000001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131.24620000000002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130.0196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128.79300000000001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127.5664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126.3398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125.11319999999999</v>
      </c>
      <c r="Q49" s="2"/>
      <c r="T49" s="91" t="s">
        <v>103</v>
      </c>
      <c r="U49" s="127" t="s">
        <v>356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123.8866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122.66</v>
      </c>
      <c r="Q51" s="2"/>
      <c r="T51" s="91" t="s">
        <v>104</v>
      </c>
      <c r="U51" s="127" t="s">
        <v>590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121.43339999999999</v>
      </c>
      <c r="Q52" s="2"/>
      <c r="T52" s="91" t="s">
        <v>105</v>
      </c>
      <c r="U52" s="127" t="s">
        <v>591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120.2068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118.9802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117.75359999999999</v>
      </c>
      <c r="T55" s="91" t="s">
        <v>107</v>
      </c>
      <c r="U55" s="127" t="s">
        <v>592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116.52699999999999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115.3004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114.07380000000001</v>
      </c>
      <c r="T58" s="91" t="s">
        <v>108</v>
      </c>
      <c r="U58" s="127" t="s">
        <v>539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112.8472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111.6206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110.39400000000001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270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360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398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415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37" priority="19">
      <formula>F25&gt;0</formula>
    </cfRule>
    <cfRule type="expression" dxfId="1736" priority="20">
      <formula>F25&lt;0</formula>
    </cfRule>
  </conditionalFormatting>
  <conditionalFormatting sqref="Q7">
    <cfRule type="expression" dxfId="1735" priority="17">
      <formula>Q7&gt;0</formula>
    </cfRule>
    <cfRule type="expression" dxfId="1734" priority="18">
      <formula>Q7&lt;0</formula>
    </cfRule>
  </conditionalFormatting>
  <conditionalFormatting sqref="Q8">
    <cfRule type="expression" dxfId="1733" priority="15">
      <formula>Q8&gt;0</formula>
    </cfRule>
    <cfRule type="expression" dxfId="1732" priority="16">
      <formula>Q8&lt;0</formula>
    </cfRule>
  </conditionalFormatting>
  <conditionalFormatting sqref="M74">
    <cfRule type="expression" dxfId="1731" priority="9">
      <formula>M74&gt;0</formula>
    </cfRule>
    <cfRule type="expression" dxfId="1730" priority="10">
      <formula>M74&lt;0</formula>
    </cfRule>
  </conditionalFormatting>
  <conditionalFormatting sqref="F113:F149 H113:H149">
    <cfRule type="expression" dxfId="1729" priority="7">
      <formula>F113&gt;0</formula>
    </cfRule>
    <cfRule type="expression" dxfId="1728" priority="8">
      <formula>F113&lt;0</formula>
    </cfRule>
  </conditionalFormatting>
  <conditionalFormatting sqref="F105:F112">
    <cfRule type="expression" dxfId="1727" priority="5">
      <formula>F105&gt;0</formula>
    </cfRule>
    <cfRule type="expression" dxfId="1726" priority="6">
      <formula>F105&lt;0</formula>
    </cfRule>
  </conditionalFormatting>
  <conditionalFormatting sqref="H105:H112">
    <cfRule type="expression" dxfId="1725" priority="3">
      <formula>H105&gt;0</formula>
    </cfRule>
    <cfRule type="expression" dxfId="1724" priority="4">
      <formula>H105&lt;0</formula>
    </cfRule>
  </conditionalFormatting>
  <conditionalFormatting sqref="Q10">
    <cfRule type="expression" dxfId="1723" priority="1">
      <formula>Q10&gt;0</formula>
    </cfRule>
    <cfRule type="expression" dxfId="172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695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28">
        <f>C23-H23</f>
        <v>45</v>
      </c>
      <c r="T2" s="1">
        <v>43080</v>
      </c>
      <c r="U2" t="s">
        <v>818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(F23-K23-M23)/Q2)</f>
        <v>159.1311111111113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251.8399</v>
      </c>
      <c r="R4" s="495">
        <v>-4.7999999999999996E-3</v>
      </c>
      <c r="T4" s="772">
        <v>43103</v>
      </c>
      <c r="U4" s="30" t="s">
        <v>1040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11332.7955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929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4396.6654999999919</v>
      </c>
      <c r="R7">
        <v>45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4171.8954999999914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0.58259373821726124</v>
      </c>
      <c r="T9" s="772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M71</f>
        <v>224.77000000000044</v>
      </c>
      <c r="U10" t="s">
        <v>984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948</v>
      </c>
      <c r="Q12" s="1"/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975</v>
      </c>
      <c r="Q13" s="2">
        <f>Q4/(8.16*1.2)</f>
        <v>25.718944035947715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970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970</v>
      </c>
      <c r="B16" s="434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50" t="s">
        <v>78</v>
      </c>
      <c r="P16" s="850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277.02388999999999</v>
      </c>
      <c r="T17" s="1">
        <v>43257</v>
      </c>
      <c r="U17" t="s">
        <v>1039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274.50549100000001</v>
      </c>
    </row>
    <row r="19" spans="1:21" x14ac:dyDescent="0.25">
      <c r="B19" s="72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271.98709200000002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269.46869300000003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266.95029399999999</v>
      </c>
    </row>
    <row r="22" spans="1:21" x14ac:dyDescent="0.25">
      <c r="O22" s="81">
        <v>1.05</v>
      </c>
      <c r="P22" s="81">
        <f t="shared" si="4"/>
        <v>264.431895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261.91349600000001</v>
      </c>
    </row>
    <row r="24" spans="1:21" ht="15.75" thickBot="1" x14ac:dyDescent="0.3">
      <c r="A24" s="341" t="s">
        <v>193</v>
      </c>
      <c r="B24" s="342"/>
      <c r="C24" s="343">
        <f>SumByColor($A$24,C2:C22)</f>
        <v>280</v>
      </c>
      <c r="D24" s="343"/>
      <c r="E24" s="343"/>
      <c r="F24" s="344">
        <f>SumByColor($A$24,F2:F22)</f>
        <v>58787</v>
      </c>
      <c r="G24" s="343"/>
      <c r="H24" s="343">
        <f>SumByColor($A$24,H2:H22)</f>
        <v>280</v>
      </c>
      <c r="I24" s="343"/>
      <c r="J24" s="343"/>
      <c r="K24" s="344">
        <f>SumByColor($A$24,K2:K22)</f>
        <v>61353</v>
      </c>
      <c r="L24" s="343"/>
      <c r="M24" s="344">
        <f>SumByColor($A$24,M2:M22)</f>
        <v>0</v>
      </c>
      <c r="O24" s="81">
        <v>1.03</v>
      </c>
      <c r="P24" s="81">
        <f t="shared" si="4"/>
        <v>259.39509700000002</v>
      </c>
    </row>
    <row r="25" spans="1:21" x14ac:dyDescent="0.25">
      <c r="O25" s="81">
        <v>1.02</v>
      </c>
      <c r="P25" s="81">
        <f t="shared" si="4"/>
        <v>256.87669799999998</v>
      </c>
    </row>
    <row r="26" spans="1:21" x14ac:dyDescent="0.25">
      <c r="O26" s="81">
        <v>1.01</v>
      </c>
      <c r="P26" s="81">
        <f t="shared" si="4"/>
        <v>254.35829899999999</v>
      </c>
    </row>
    <row r="27" spans="1:21" x14ac:dyDescent="0.25">
      <c r="O27" s="81">
        <v>1</v>
      </c>
      <c r="P27" s="81">
        <f t="shared" si="4"/>
        <v>251.8399</v>
      </c>
    </row>
    <row r="28" spans="1:21" x14ac:dyDescent="0.25">
      <c r="O28" s="81">
        <v>0.99</v>
      </c>
      <c r="P28" s="81">
        <f t="shared" si="4"/>
        <v>249.32150100000001</v>
      </c>
    </row>
    <row r="29" spans="1:21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5" t="s">
        <v>65</v>
      </c>
      <c r="G29" s="220" t="s">
        <v>151</v>
      </c>
      <c r="H29" s="220" t="s">
        <v>88</v>
      </c>
      <c r="I29" s="220" t="s">
        <v>154</v>
      </c>
      <c r="J29" s="220" t="s">
        <v>150</v>
      </c>
      <c r="K29" s="220" t="s">
        <v>498</v>
      </c>
      <c r="L29" s="220" t="s">
        <v>975</v>
      </c>
      <c r="O29" s="81">
        <v>0.98</v>
      </c>
      <c r="P29" s="81">
        <f t="shared" si="4"/>
        <v>246.803102</v>
      </c>
    </row>
    <row r="30" spans="1:21" x14ac:dyDescent="0.25">
      <c r="B30" s="184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2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244.28470300000001</v>
      </c>
    </row>
    <row r="31" spans="1:21" x14ac:dyDescent="0.25">
      <c r="B31" s="184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2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241.76630399999999</v>
      </c>
    </row>
    <row r="32" spans="1:21" x14ac:dyDescent="0.25">
      <c r="B32" s="184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2">
        <f t="shared" ref="H32" si="13">(E32-D32)/D32</f>
        <v>0.21291992393830553</v>
      </c>
      <c r="I32" s="39"/>
      <c r="J32" s="39">
        <f>F32+$M$71</f>
        <v>1434.0700000000006</v>
      </c>
      <c r="K32" s="39"/>
      <c r="L32" s="155"/>
      <c r="O32" s="81">
        <v>0.95</v>
      </c>
      <c r="P32" s="81">
        <f t="shared" si="4"/>
        <v>239.247905</v>
      </c>
    </row>
    <row r="33" spans="1:17" x14ac:dyDescent="0.25">
      <c r="B33" s="184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2">
        <f t="shared" ref="H33" si="16">(E33-D33)/D33</f>
        <v>0.4857333353537498</v>
      </c>
      <c r="I33" s="39"/>
      <c r="J33" s="39">
        <f>F33+$M$71</f>
        <v>1827.5200000000009</v>
      </c>
      <c r="K33" s="39"/>
      <c r="L33" s="155"/>
      <c r="O33" s="81">
        <v>0.94</v>
      </c>
      <c r="P33" s="81">
        <f t="shared" si="4"/>
        <v>236.72950599999999</v>
      </c>
    </row>
    <row r="34" spans="1:17" x14ac:dyDescent="0.25">
      <c r="B34" s="184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2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5"/>
      <c r="O34" s="81">
        <v>0.93</v>
      </c>
      <c r="P34" s="81">
        <f t="shared" si="4"/>
        <v>234.211107</v>
      </c>
    </row>
    <row r="35" spans="1:17" x14ac:dyDescent="0.25">
      <c r="A35">
        <v>20</v>
      </c>
      <c r="B35" s="184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2">
        <f t="shared" si="19"/>
        <v>0.19278733665872988</v>
      </c>
      <c r="I35" s="39"/>
      <c r="J35" s="39">
        <v>1532</v>
      </c>
      <c r="K35" s="39"/>
      <c r="L35" s="155"/>
      <c r="O35" s="81">
        <v>0.92</v>
      </c>
      <c r="P35" s="81">
        <f t="shared" si="4"/>
        <v>231.69270800000001</v>
      </c>
    </row>
    <row r="36" spans="1:17" x14ac:dyDescent="0.25">
      <c r="B36" s="184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2">
        <f t="shared" si="19"/>
        <v>0.45647898429997263</v>
      </c>
      <c r="I36" s="39"/>
      <c r="J36" s="39">
        <v>1712.54</v>
      </c>
      <c r="K36" s="39"/>
      <c r="L36" s="155"/>
      <c r="O36" s="81">
        <v>0.91</v>
      </c>
      <c r="P36" s="81">
        <f t="shared" si="4"/>
        <v>229.17430899999999</v>
      </c>
    </row>
    <row r="37" spans="1:17" x14ac:dyDescent="0.25">
      <c r="A37">
        <v>5</v>
      </c>
      <c r="B37" s="184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2">
        <f t="shared" si="19"/>
        <v>0.21543212462458969</v>
      </c>
      <c r="I37" s="39"/>
      <c r="J37" s="39">
        <v>1683</v>
      </c>
      <c r="K37" s="39"/>
      <c r="L37" s="155"/>
      <c r="O37" s="81">
        <v>0.9</v>
      </c>
      <c r="P37" s="81">
        <f t="shared" si="4"/>
        <v>226.65591000000001</v>
      </c>
    </row>
    <row r="38" spans="1:17" x14ac:dyDescent="0.25">
      <c r="A38">
        <v>5</v>
      </c>
      <c r="B38" s="184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2">
        <f t="shared" si="19"/>
        <v>0.13684698006853185</v>
      </c>
      <c r="I38" s="39"/>
      <c r="J38" s="39">
        <v>1464</v>
      </c>
      <c r="K38" s="39"/>
      <c r="L38" s="155"/>
    </row>
    <row r="39" spans="1:17" x14ac:dyDescent="0.25">
      <c r="B39" s="184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2">
        <f t="shared" ref="H39:H44" si="22">(E39-D39)/D39</f>
        <v>0.11458606625801998</v>
      </c>
      <c r="I39" s="39"/>
      <c r="J39" s="39">
        <v>1262</v>
      </c>
      <c r="K39" s="39"/>
      <c r="L39" s="155"/>
    </row>
    <row r="40" spans="1:17" x14ac:dyDescent="0.25">
      <c r="A40">
        <v>5</v>
      </c>
      <c r="B40" s="184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2">
        <f t="shared" si="22"/>
        <v>7.2021889963842511E-2</v>
      </c>
      <c r="I40" s="39"/>
      <c r="J40" s="39">
        <v>1036</v>
      </c>
      <c r="K40" s="39"/>
      <c r="L40" s="155"/>
    </row>
    <row r="41" spans="1:17" x14ac:dyDescent="0.25">
      <c r="A41">
        <v>5</v>
      </c>
      <c r="B41" s="184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2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4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2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43140</v>
      </c>
      <c r="C43" s="228">
        <v>55</v>
      </c>
      <c r="D43" s="229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2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4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2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4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2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4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2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4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2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4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2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4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2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4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2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4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2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4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2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4">
        <v>43176</v>
      </c>
      <c r="C53" s="228">
        <v>55</v>
      </c>
      <c r="D53" s="229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2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4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2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4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2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4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2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4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2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4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2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4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2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4">
        <v>43210</v>
      </c>
      <c r="C60" s="228">
        <v>55</v>
      </c>
      <c r="D60" s="229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2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4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2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4">
        <v>43210</v>
      </c>
      <c r="C62" s="228">
        <v>55</v>
      </c>
      <c r="D62" s="229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2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4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2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4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2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A69" s="4"/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3"/>
      <c r="B71" s="563"/>
      <c r="C71" s="563"/>
      <c r="D71" s="564"/>
      <c r="E71" s="564"/>
      <c r="F71" s="564"/>
      <c r="G71" s="563"/>
      <c r="H71" s="563"/>
      <c r="I71" s="564"/>
      <c r="J71" s="564"/>
      <c r="K71" s="564"/>
      <c r="L71" s="563" t="s">
        <v>65</v>
      </c>
      <c r="M71" s="564">
        <f>M89+K89-F89</f>
        <v>224.77000000000044</v>
      </c>
    </row>
    <row r="72" spans="1:13" x14ac:dyDescent="0.25">
      <c r="A72" s="685" t="s">
        <v>1</v>
      </c>
      <c r="B72" s="685" t="s">
        <v>2</v>
      </c>
      <c r="C72" s="685" t="s">
        <v>4</v>
      </c>
      <c r="D72" s="686" t="s">
        <v>5</v>
      </c>
      <c r="E72" s="686" t="s">
        <v>94</v>
      </c>
      <c r="F72" s="686" t="s">
        <v>60</v>
      </c>
      <c r="G72" s="685" t="s">
        <v>3</v>
      </c>
      <c r="H72" s="685" t="s">
        <v>6</v>
      </c>
      <c r="I72" s="686" t="s">
        <v>7</v>
      </c>
      <c r="J72" s="686" t="s">
        <v>95</v>
      </c>
      <c r="K72" s="686" t="s">
        <v>61</v>
      </c>
      <c r="L72" s="685" t="s">
        <v>37</v>
      </c>
      <c r="M72" s="685" t="s">
        <v>38</v>
      </c>
    </row>
    <row r="73" spans="1:13" x14ac:dyDescent="0.25">
      <c r="A73" s="687" t="s">
        <v>695</v>
      </c>
      <c r="B73" s="566">
        <v>42972</v>
      </c>
      <c r="C73" s="563">
        <v>15</v>
      </c>
      <c r="D73" s="564">
        <v>210.01</v>
      </c>
      <c r="E73" s="564">
        <v>0</v>
      </c>
      <c r="F73" s="564">
        <f>C73*D73+E73</f>
        <v>3150.1499999999996</v>
      </c>
      <c r="G73" s="566">
        <v>43005</v>
      </c>
      <c r="H73" s="563">
        <v>15</v>
      </c>
      <c r="I73" s="564">
        <v>225</v>
      </c>
      <c r="J73" s="564">
        <v>0.08</v>
      </c>
      <c r="K73" s="564">
        <f>H73*I73-J73</f>
        <v>3374.92</v>
      </c>
      <c r="L73" s="566"/>
      <c r="M73" s="564"/>
    </row>
    <row r="74" spans="1:13" x14ac:dyDescent="0.25">
      <c r="A74" s="688"/>
      <c r="B74" s="566"/>
      <c r="C74" s="563"/>
      <c r="D74" s="564"/>
      <c r="E74" s="564"/>
      <c r="F74" s="564"/>
      <c r="G74" s="566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6"/>
      <c r="H75" s="565"/>
      <c r="I75" s="564"/>
      <c r="J75" s="564"/>
      <c r="K75" s="564"/>
      <c r="L75" s="563"/>
      <c r="M75" s="563"/>
    </row>
    <row r="76" spans="1:13" x14ac:dyDescent="0.25">
      <c r="A76" s="563"/>
      <c r="B76" s="566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6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/>
      <c r="M88" s="563"/>
    </row>
    <row r="89" spans="1:13" x14ac:dyDescent="0.25">
      <c r="A89" s="689" t="s">
        <v>81</v>
      </c>
      <c r="B89" s="690"/>
      <c r="C89" s="690">
        <f>SUM(C73:C77)</f>
        <v>15</v>
      </c>
      <c r="D89" s="691"/>
      <c r="E89" s="691"/>
      <c r="F89" s="691">
        <f>SUM(F73:F77)</f>
        <v>3150.1499999999996</v>
      </c>
      <c r="G89" s="690"/>
      <c r="H89" s="692">
        <f>SUM(H73:H76)</f>
        <v>15</v>
      </c>
      <c r="I89" s="691"/>
      <c r="J89" s="691"/>
      <c r="K89" s="691">
        <f>SUM(K73:K76)</f>
        <v>3374.92</v>
      </c>
      <c r="L89" s="690"/>
      <c r="M89" s="691">
        <f>SUM(M73:M81)</f>
        <v>0</v>
      </c>
    </row>
    <row r="90" spans="1:13" ht="15.75" thickBot="1" x14ac:dyDescent="0.3">
      <c r="A90" s="693" t="s">
        <v>193</v>
      </c>
      <c r="B90" s="725"/>
      <c r="C90" s="694">
        <f>SumByColor($A$24,C73:C88)</f>
        <v>0</v>
      </c>
      <c r="D90" s="694"/>
      <c r="E90" s="694"/>
      <c r="F90" s="695">
        <f>SumByColor($A$24,F73:F88)</f>
        <v>0</v>
      </c>
      <c r="G90" s="694"/>
      <c r="H90" s="694">
        <f>SumByColor($A$24,H73:H88)</f>
        <v>0</v>
      </c>
      <c r="I90" s="694"/>
      <c r="J90" s="694"/>
      <c r="K90" s="695">
        <f>SumByColor($A$24,K74:K88)</f>
        <v>0</v>
      </c>
      <c r="L90" s="694"/>
      <c r="M90" s="695">
        <f>SumByColor($A$24,M73:M88)</f>
        <v>0</v>
      </c>
    </row>
    <row r="93" spans="1:13" x14ac:dyDescent="0.25">
      <c r="B93" s="182" t="s">
        <v>113</v>
      </c>
      <c r="C93" s="182" t="s">
        <v>146</v>
      </c>
      <c r="D93" s="183" t="s">
        <v>145</v>
      </c>
      <c r="E93" s="185" t="s">
        <v>147</v>
      </c>
      <c r="F93" s="185" t="s">
        <v>65</v>
      </c>
      <c r="G93" s="220" t="s">
        <v>151</v>
      </c>
      <c r="H93" s="220" t="s">
        <v>88</v>
      </c>
      <c r="I93" s="220" t="s">
        <v>154</v>
      </c>
      <c r="J93" s="220" t="s">
        <v>150</v>
      </c>
      <c r="K93" s="220" t="s">
        <v>670</v>
      </c>
      <c r="L93" s="220" t="s">
        <v>676</v>
      </c>
    </row>
    <row r="94" spans="1:13" x14ac:dyDescent="0.25">
      <c r="B94" s="184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2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4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2">
        <f t="shared" si="41"/>
        <v>6.6139707632969932E-2</v>
      </c>
      <c r="I95" s="39"/>
      <c r="J95" s="39"/>
      <c r="K95" s="39"/>
      <c r="L95" s="39"/>
    </row>
    <row r="96" spans="1:13" x14ac:dyDescent="0.25">
      <c r="B96" s="184">
        <v>43005</v>
      </c>
      <c r="C96" s="10">
        <v>0</v>
      </c>
      <c r="D96" s="39"/>
      <c r="E96" s="39"/>
      <c r="F96" s="39">
        <v>224.77</v>
      </c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155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21" priority="39">
      <formula>Q7&gt;0</formula>
    </cfRule>
    <cfRule type="expression" dxfId="1720" priority="40">
      <formula>Q7&lt;0</formula>
    </cfRule>
  </conditionalFormatting>
  <conditionalFormatting sqref="Q8">
    <cfRule type="expression" dxfId="1719" priority="37">
      <formula>Q8&gt;0</formula>
    </cfRule>
    <cfRule type="expression" dxfId="1718" priority="38">
      <formula>Q8&lt;0</formula>
    </cfRule>
  </conditionalFormatting>
  <conditionalFormatting sqref="F35:F54 F57:F69">
    <cfRule type="expression" dxfId="1717" priority="35">
      <formula>F35&gt;0</formula>
    </cfRule>
    <cfRule type="expression" dxfId="1716" priority="36">
      <formula>F35&lt;0</formula>
    </cfRule>
  </conditionalFormatting>
  <conditionalFormatting sqref="H35:H54 H57:H69">
    <cfRule type="expression" dxfId="1715" priority="33">
      <formula>H35&gt;0</formula>
    </cfRule>
    <cfRule type="expression" dxfId="1714" priority="34">
      <formula>H35&lt;0</formula>
    </cfRule>
  </conditionalFormatting>
  <conditionalFormatting sqref="Q10">
    <cfRule type="expression" dxfId="1713" priority="27">
      <formula>Q10&gt;0</formula>
    </cfRule>
    <cfRule type="expression" dxfId="1712" priority="28">
      <formula>Q10&lt;0</formula>
    </cfRule>
  </conditionalFormatting>
  <conditionalFormatting sqref="J30:J54 J57:J69">
    <cfRule type="expression" dxfId="1711" priority="25">
      <formula>J30&gt;0</formula>
    </cfRule>
    <cfRule type="expression" dxfId="1710" priority="26">
      <formula>J30&lt;0</formula>
    </cfRule>
  </conditionalFormatting>
  <conditionalFormatting sqref="K30:K43">
    <cfRule type="expression" dxfId="1709" priority="23">
      <formula>K30&gt;0</formula>
    </cfRule>
    <cfRule type="expression" dxfId="1708" priority="24">
      <formula>K30&lt;0</formula>
    </cfRule>
  </conditionalFormatting>
  <conditionalFormatting sqref="L30:L43">
    <cfRule type="expression" dxfId="1707" priority="21">
      <formula>L30&gt;0</formula>
    </cfRule>
    <cfRule type="expression" dxfId="1706" priority="22">
      <formula>L30&lt;0</formula>
    </cfRule>
  </conditionalFormatting>
  <conditionalFormatting sqref="F94:F115">
    <cfRule type="expression" dxfId="1705" priority="19">
      <formula>F94&gt;0</formula>
    </cfRule>
    <cfRule type="expression" dxfId="1704" priority="20">
      <formula>F94&lt;0</formula>
    </cfRule>
  </conditionalFormatting>
  <conditionalFormatting sqref="H94:H115">
    <cfRule type="expression" dxfId="1703" priority="17">
      <formula>H94&gt;0</formula>
    </cfRule>
    <cfRule type="expression" dxfId="1702" priority="18">
      <formula>H94&lt;0</formula>
    </cfRule>
  </conditionalFormatting>
  <conditionalFormatting sqref="J94:J107">
    <cfRule type="expression" dxfId="1701" priority="15">
      <formula>J94&gt;0</formula>
    </cfRule>
    <cfRule type="expression" dxfId="1700" priority="16">
      <formula>J94&lt;0</formula>
    </cfRule>
  </conditionalFormatting>
  <conditionalFormatting sqref="K94:K107">
    <cfRule type="expression" dxfId="1699" priority="13">
      <formula>K94&gt;0</formula>
    </cfRule>
    <cfRule type="expression" dxfId="1698" priority="14">
      <formula>K94&lt;0</formula>
    </cfRule>
  </conditionalFormatting>
  <conditionalFormatting sqref="L94:L107">
    <cfRule type="expression" dxfId="1697" priority="11">
      <formula>L94&gt;0</formula>
    </cfRule>
    <cfRule type="expression" dxfId="1696" priority="12">
      <formula>L94&lt;0</formula>
    </cfRule>
  </conditionalFormatting>
  <conditionalFormatting sqref="F30:F34">
    <cfRule type="expression" dxfId="1695" priority="9">
      <formula>F30&gt;0</formula>
    </cfRule>
    <cfRule type="expression" dxfId="1694" priority="10">
      <formula>F30&lt;0</formula>
    </cfRule>
  </conditionalFormatting>
  <conditionalFormatting sqref="H30:H34">
    <cfRule type="expression" dxfId="1693" priority="7">
      <formula>H30&gt;0</formula>
    </cfRule>
    <cfRule type="expression" dxfId="1692" priority="8">
      <formula>H30&lt;0</formula>
    </cfRule>
  </conditionalFormatting>
  <conditionalFormatting sqref="F55:F56">
    <cfRule type="expression" dxfId="1691" priority="5">
      <formula>F55&gt;0</formula>
    </cfRule>
    <cfRule type="expression" dxfId="1690" priority="6">
      <formula>F55&lt;0</formula>
    </cfRule>
  </conditionalFormatting>
  <conditionalFormatting sqref="H55:H56">
    <cfRule type="expression" dxfId="1689" priority="3">
      <formula>H55&gt;0</formula>
    </cfRule>
    <cfRule type="expression" dxfId="1688" priority="4">
      <formula>H55&lt;0</formula>
    </cfRule>
  </conditionalFormatting>
  <conditionalFormatting sqref="J55:J56">
    <cfRule type="expression" dxfId="1687" priority="1">
      <formula>J55&gt;0</formula>
    </cfRule>
    <cfRule type="expression" dxfId="1686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829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905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103.38</v>
      </c>
      <c r="T3" s="1"/>
      <c r="U3" t="s">
        <v>906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103.38</v>
      </c>
      <c r="R4" s="495">
        <v>-8.0000000000000004E-4</v>
      </c>
      <c r="T4" s="1"/>
      <c r="U4" t="s">
        <v>907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908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1006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1005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6.5776745985683888E-3</v>
      </c>
      <c r="R11">
        <v>0.17</v>
      </c>
      <c r="W11" s="134"/>
    </row>
    <row r="12" spans="1:23" x14ac:dyDescent="0.25">
      <c r="H12" s="70"/>
      <c r="O12" s="11" t="s">
        <v>997</v>
      </c>
      <c r="Q12" s="1"/>
      <c r="W12" s="134"/>
    </row>
    <row r="13" spans="1:23" x14ac:dyDescent="0.25">
      <c r="H13" s="70"/>
      <c r="O13" s="11" t="s">
        <v>975</v>
      </c>
      <c r="Q13">
        <f>Q4/4.75</f>
        <v>21.764210526315789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50" t="s">
        <v>78</v>
      </c>
      <c r="P15" s="850"/>
      <c r="W15" s="134"/>
    </row>
    <row r="16" spans="1:23" ht="15.75" thickTop="1" x14ac:dyDescent="0.25">
      <c r="H16" s="70"/>
      <c r="O16" s="81">
        <v>1.1000000000000001</v>
      </c>
      <c r="P16" s="81">
        <f>O16*$Q$4</f>
        <v>113.718</v>
      </c>
      <c r="W16" s="134"/>
    </row>
    <row r="17" spans="1:23" x14ac:dyDescent="0.25">
      <c r="O17" s="81">
        <v>1.0900000000000001</v>
      </c>
      <c r="P17" s="81">
        <f t="shared" ref="P17:P36" si="0">O17*$Q$4</f>
        <v>112.6842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111.6504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110.61660000000001</v>
      </c>
      <c r="W19" s="134"/>
    </row>
    <row r="20" spans="1:23" x14ac:dyDescent="0.25">
      <c r="O20" s="81">
        <v>1.06</v>
      </c>
      <c r="P20" s="81">
        <f t="shared" si="0"/>
        <v>109.58280000000001</v>
      </c>
      <c r="W20" s="134"/>
    </row>
    <row r="21" spans="1:23" x14ac:dyDescent="0.25">
      <c r="O21" s="81">
        <v>1.05</v>
      </c>
      <c r="P21" s="81">
        <f t="shared" si="0"/>
        <v>108.54900000000001</v>
      </c>
      <c r="W21" s="134"/>
    </row>
    <row r="22" spans="1:23" x14ac:dyDescent="0.25">
      <c r="O22" s="81">
        <v>1.04</v>
      </c>
      <c r="P22" s="81">
        <f t="shared" si="0"/>
        <v>107.51519999999999</v>
      </c>
      <c r="W22" s="134"/>
    </row>
    <row r="23" spans="1:23" x14ac:dyDescent="0.25">
      <c r="O23" s="81">
        <v>1.03</v>
      </c>
      <c r="P23" s="81">
        <f t="shared" si="0"/>
        <v>106.48139999999999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1.02</v>
      </c>
      <c r="P24" s="81">
        <f t="shared" si="0"/>
        <v>105.44759999999999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104.41379999999999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103.38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102.3462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101.3124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100.2786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99.244799999999998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98.210999999999984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97.177199999999985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96.1434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95.1096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94.075800000000001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93.042000000000002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829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85" priority="21">
      <formula>F47&gt;0</formula>
    </cfRule>
    <cfRule type="expression" dxfId="1684" priority="22">
      <formula>F47&lt;0</formula>
    </cfRule>
  </conditionalFormatting>
  <conditionalFormatting sqref="Q7">
    <cfRule type="expression" dxfId="1683" priority="19">
      <formula>Q7&gt;0</formula>
    </cfRule>
    <cfRule type="expression" dxfId="1682" priority="20">
      <formula>Q7&lt;0</formula>
    </cfRule>
  </conditionalFormatting>
  <conditionalFormatting sqref="Q8">
    <cfRule type="expression" dxfId="1681" priority="17">
      <formula>Q8&gt;0</formula>
    </cfRule>
    <cfRule type="expression" dxfId="1680" priority="18">
      <formula>Q8&lt;0</formula>
    </cfRule>
  </conditionalFormatting>
  <conditionalFormatting sqref="F25:F46">
    <cfRule type="expression" dxfId="1679" priority="15">
      <formula>F25&gt;0</formula>
    </cfRule>
    <cfRule type="expression" dxfId="1678" priority="16">
      <formula>F25&lt;0</formula>
    </cfRule>
  </conditionalFormatting>
  <conditionalFormatting sqref="H25:H46">
    <cfRule type="expression" dxfId="1677" priority="13">
      <formula>H25&gt;0</formula>
    </cfRule>
    <cfRule type="expression" dxfId="1676" priority="14">
      <formula>H25&lt;0</formula>
    </cfRule>
  </conditionalFormatting>
  <conditionalFormatting sqref="F89:F110">
    <cfRule type="expression" dxfId="1675" priority="11">
      <formula>F89&gt;0</formula>
    </cfRule>
    <cfRule type="expression" dxfId="1674" priority="12">
      <formula>F89&lt;0</formula>
    </cfRule>
  </conditionalFormatting>
  <conditionalFormatting sqref="H89:H110">
    <cfRule type="expression" dxfId="1673" priority="9">
      <formula>H89&gt;0</formula>
    </cfRule>
    <cfRule type="expression" dxfId="1672" priority="10">
      <formula>H89&lt;0</formula>
    </cfRule>
  </conditionalFormatting>
  <conditionalFormatting sqref="Q10">
    <cfRule type="expression" dxfId="1671" priority="7">
      <formula>Q10&gt;0</formula>
    </cfRule>
    <cfRule type="expression" dxfId="1670" priority="8">
      <formula>Q10&lt;0</formula>
    </cfRule>
  </conditionalFormatting>
  <conditionalFormatting sqref="J25:J38">
    <cfRule type="expression" dxfId="1669" priority="5">
      <formula>J25&gt;0</formula>
    </cfRule>
    <cfRule type="expression" dxfId="1668" priority="6">
      <formula>J25&lt;0</formula>
    </cfRule>
  </conditionalFormatting>
  <conditionalFormatting sqref="K25:K38">
    <cfRule type="expression" dxfId="1667" priority="3">
      <formula>K25&gt;0</formula>
    </cfRule>
    <cfRule type="expression" dxfId="1666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680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827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131.71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131.71</v>
      </c>
      <c r="R4" s="495">
        <v>3.6900000000000002E-2</v>
      </c>
      <c r="T4" s="29">
        <v>42738</v>
      </c>
      <c r="U4" t="s">
        <v>826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853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859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</v>
      </c>
      <c r="T9" s="29">
        <v>43114</v>
      </c>
      <c r="U9" t="s">
        <v>880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881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997</v>
      </c>
      <c r="Q12" s="29"/>
      <c r="T12" s="29">
        <v>43193</v>
      </c>
      <c r="U12" t="s">
        <v>968</v>
      </c>
    </row>
    <row r="13" spans="1:21" x14ac:dyDescent="0.25">
      <c r="C13" s="4"/>
      <c r="D13" s="3"/>
      <c r="E13" s="3"/>
      <c r="F13" s="3"/>
      <c r="H13" s="70"/>
      <c r="O13" s="11" t="s">
        <v>975</v>
      </c>
      <c r="Q13">
        <f>Q4/6.69</f>
        <v>19.687593423019432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50" t="s">
        <v>78</v>
      </c>
      <c r="P17" s="850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144.88100000000003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143.56390000000002</v>
      </c>
      <c r="Q19" s="2"/>
    </row>
    <row r="20" spans="1:17" x14ac:dyDescent="0.25">
      <c r="O20" s="81">
        <v>1.08</v>
      </c>
      <c r="P20" s="81">
        <f t="shared" si="3"/>
        <v>142.24680000000001</v>
      </c>
      <c r="Q20" s="2"/>
    </row>
    <row r="21" spans="1:17" x14ac:dyDescent="0.25">
      <c r="O21" s="81">
        <v>1.07</v>
      </c>
      <c r="P21" s="81">
        <f t="shared" si="3"/>
        <v>140.92970000000003</v>
      </c>
      <c r="Q21" s="2"/>
    </row>
    <row r="22" spans="1:17" x14ac:dyDescent="0.25">
      <c r="O22" s="81">
        <v>1.06</v>
      </c>
      <c r="P22" s="81">
        <f t="shared" si="3"/>
        <v>139.61260000000001</v>
      </c>
      <c r="Q22" s="2"/>
    </row>
    <row r="23" spans="1:17" x14ac:dyDescent="0.25">
      <c r="O23" s="81">
        <v>1.05</v>
      </c>
      <c r="P23" s="81">
        <f t="shared" si="3"/>
        <v>138.2955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70</v>
      </c>
      <c r="O24" s="81">
        <v>1.04</v>
      </c>
      <c r="P24" s="81">
        <f t="shared" si="3"/>
        <v>136.97840000000002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135.66130000000001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134.3442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133.02710000000002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131.71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130.3929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129.07580000000002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127.7587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126.44160000000001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125.1245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123.8074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122.49030000000002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121.17320000000001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119.85610000000001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118.53900000000002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858</v>
      </c>
      <c r="J47" s="39"/>
      <c r="K47" s="39"/>
      <c r="L47" s="39">
        <v>74.34</v>
      </c>
      <c r="M47" s="39" t="s">
        <v>879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942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973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 t="shared" ref="F62" si="51">C62*(E62-D62)</f>
        <v>2560.4999999999995</v>
      </c>
      <c r="G62" s="39">
        <f t="shared" ref="G62" si="52">D62*C62</f>
        <v>3685</v>
      </c>
      <c r="H62" s="222">
        <f t="shared" ref="H62" si="53"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65" priority="25">
      <formula>F7&gt;0</formula>
    </cfRule>
    <cfRule type="expression" dxfId="1664" priority="26">
      <formula>F7&lt;0</formula>
    </cfRule>
  </conditionalFormatting>
  <conditionalFormatting sqref="Q8">
    <cfRule type="expression" dxfId="1663" priority="23">
      <formula>Q8&gt;0</formula>
    </cfRule>
    <cfRule type="expression" dxfId="1662" priority="24">
      <formula>Q8&lt;0</formula>
    </cfRule>
  </conditionalFormatting>
  <conditionalFormatting sqref="F93:F114">
    <cfRule type="expression" dxfId="1661" priority="17">
      <formula>F93&gt;0</formula>
    </cfRule>
    <cfRule type="expression" dxfId="1660" priority="18">
      <formula>F93&lt;0</formula>
    </cfRule>
  </conditionalFormatting>
  <conditionalFormatting sqref="H93:H114">
    <cfRule type="expression" dxfId="1659" priority="15">
      <formula>H93&gt;0</formula>
    </cfRule>
    <cfRule type="expression" dxfId="1658" priority="16">
      <formula>H93&lt;0</formula>
    </cfRule>
  </conditionalFormatting>
  <conditionalFormatting sqref="Q10">
    <cfRule type="expression" dxfId="1657" priority="13">
      <formula>Q10&gt;0</formula>
    </cfRule>
    <cfRule type="expression" dxfId="1656" priority="14">
      <formula>Q10&lt;0</formula>
    </cfRule>
  </conditionalFormatting>
  <conditionalFormatting sqref="J25:J38">
    <cfRule type="expression" dxfId="1655" priority="11">
      <formula>J25&gt;0</formula>
    </cfRule>
    <cfRule type="expression" dxfId="1654" priority="12">
      <formula>J25&lt;0</formula>
    </cfRule>
  </conditionalFormatting>
  <conditionalFormatting sqref="K25:K38">
    <cfRule type="expression" dxfId="1653" priority="9">
      <formula>K25&gt;0</formula>
    </cfRule>
    <cfRule type="expression" dxfId="1652" priority="10">
      <formula>K25&lt;0</formula>
    </cfRule>
  </conditionalFormatting>
  <conditionalFormatting sqref="L25:L34">
    <cfRule type="expression" dxfId="1651" priority="7">
      <formula>L25&gt;0</formula>
    </cfRule>
    <cfRule type="expression" dxfId="1650" priority="8">
      <formula>L25&lt;0</formula>
    </cfRule>
  </conditionalFormatting>
  <conditionalFormatting sqref="J43">
    <cfRule type="expression" dxfId="1649" priority="5">
      <formula>J43&gt;0</formula>
    </cfRule>
    <cfRule type="expression" dxfId="1648" priority="6">
      <formula>J43&lt;0</formula>
    </cfRule>
  </conditionalFormatting>
  <conditionalFormatting sqref="M25:M34">
    <cfRule type="expression" dxfId="1647" priority="3">
      <formula>M25&gt;0</formula>
    </cfRule>
    <cfRule type="expression" dxfId="1646" priority="4">
      <formula>M25&lt;0</formula>
    </cfRule>
  </conditionalFormatting>
  <conditionalFormatting sqref="H61:H64 F61:F64">
    <cfRule type="expression" dxfId="1645" priority="1">
      <formula>F61&gt;0</formula>
    </cfRule>
    <cfRule type="expression" dxfId="1644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ref="F3" si="1">C3*D3+E3</f>
        <v>1769.0000000000002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33.130133333333333</v>
      </c>
      <c r="T3" s="1">
        <v>43215</v>
      </c>
      <c r="U3" t="s">
        <v>1029</v>
      </c>
    </row>
    <row r="4" spans="1:21" x14ac:dyDescent="0.25">
      <c r="B4" s="72">
        <v>43217</v>
      </c>
      <c r="C4" s="4">
        <v>150</v>
      </c>
      <c r="D4" s="3">
        <v>31.87</v>
      </c>
      <c r="E4" s="3">
        <v>0</v>
      </c>
      <c r="F4" s="3">
        <f>C4*D4+E4</f>
        <v>4780.5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32</v>
      </c>
      <c r="R4" s="495">
        <v>-2.5000000000000001E-3</v>
      </c>
      <c r="T4" s="772"/>
      <c r="U4" s="30" t="s">
        <v>1030</v>
      </c>
    </row>
    <row r="5" spans="1:21" x14ac:dyDescent="0.25">
      <c r="B5" s="72">
        <v>43228</v>
      </c>
      <c r="C5" s="7">
        <v>100</v>
      </c>
      <c r="D5" s="43">
        <v>30.6</v>
      </c>
      <c r="E5" s="43">
        <v>0</v>
      </c>
      <c r="F5" s="43">
        <f>C5*D5+E5</f>
        <v>3060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9600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9939.0400000000009</v>
      </c>
      <c r="T6" s="1">
        <v>43217</v>
      </c>
      <c r="U6" t="s">
        <v>1038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-339.04000000000087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-339.04000000000087</v>
      </c>
      <c r="T8" s="1">
        <v>43228</v>
      </c>
      <c r="U8" t="s">
        <v>1074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-3.4111946425409378E-2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56">
        <v>43262</v>
      </c>
      <c r="U11" t="s">
        <v>1039</v>
      </c>
    </row>
    <row r="12" spans="1:21" x14ac:dyDescent="0.25">
      <c r="H12" s="70"/>
      <c r="O12" s="11" t="s">
        <v>997</v>
      </c>
      <c r="Q12" s="1"/>
      <c r="T12" s="67"/>
    </row>
    <row r="13" spans="1:21" x14ac:dyDescent="0.25">
      <c r="H13" s="70"/>
      <c r="O13" s="11" t="s">
        <v>975</v>
      </c>
      <c r="Q13">
        <f>Q4/2.5</f>
        <v>12.8</v>
      </c>
      <c r="T13" s="156">
        <v>43263</v>
      </c>
      <c r="U13" t="s">
        <v>1119</v>
      </c>
    </row>
    <row r="14" spans="1:21" x14ac:dyDescent="0.25">
      <c r="H14" s="70"/>
      <c r="O14" s="11" t="s">
        <v>1114</v>
      </c>
    </row>
    <row r="15" spans="1:21" x14ac:dyDescent="0.25">
      <c r="H15" s="70"/>
      <c r="O15" s="11" t="s">
        <v>1042</v>
      </c>
      <c r="Q15" s="1">
        <v>43218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13147.5</v>
      </c>
      <c r="G18" s="14"/>
      <c r="H18" s="71">
        <f>SUM(H2:H5)</f>
        <v>100</v>
      </c>
      <c r="I18" s="18"/>
      <c r="J18" s="18"/>
      <c r="K18" s="18">
        <f>SUM(K2:K5)</f>
        <v>3179.96</v>
      </c>
      <c r="L18" s="14"/>
      <c r="M18" s="18">
        <f>SUM(M2:M17)</f>
        <v>28.5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3060</v>
      </c>
      <c r="G19" s="343"/>
      <c r="H19" s="343">
        <f>SumByColor($A$19,H2:H17)</f>
        <v>100</v>
      </c>
      <c r="I19" s="343"/>
      <c r="J19" s="343"/>
      <c r="K19" s="344">
        <f>SumByColor($A$19,K2:K17)</f>
        <v>3180</v>
      </c>
      <c r="L19" s="343"/>
      <c r="M19" s="344">
        <f>SumByColor($A$19,M2:M17)</f>
        <v>28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35.200000000000003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2">O24*$Q$4</f>
        <v>34.880000000000003</v>
      </c>
      <c r="Q24" s="2"/>
    </row>
    <row r="25" spans="1:17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3">C25*(E25-D25)</f>
        <v>-4.5000000000001705</v>
      </c>
      <c r="G25" s="39">
        <f t="shared" ref="G25" si="4">D25*C25</f>
        <v>5307</v>
      </c>
      <c r="H25" s="222">
        <f t="shared" ref="H25" si="5"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34.56</v>
      </c>
      <c r="Q25" s="2"/>
    </row>
    <row r="26" spans="1:17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6">C26*(E26-D26)</f>
        <v>-331.50000000000011</v>
      </c>
      <c r="G26" s="39">
        <f t="shared" ref="G26" si="7">D26*C26</f>
        <v>5307</v>
      </c>
      <c r="H26" s="222">
        <f t="shared" ref="H26" si="8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34.24</v>
      </c>
      <c r="Q26" s="2"/>
    </row>
    <row r="27" spans="1:17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9">C27*(E27-D27)</f>
        <v>-358.50000000000011</v>
      </c>
      <c r="G27" s="39">
        <f t="shared" ref="G27" si="10">D27*C27</f>
        <v>5307</v>
      </c>
      <c r="H27" s="222">
        <f t="shared" ref="H27" si="11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33.92</v>
      </c>
      <c r="Q27" s="2"/>
    </row>
    <row r="28" spans="1:17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2">C28*(E28-D28)</f>
        <v>-228.00000000000045</v>
      </c>
      <c r="G28" s="39">
        <f t="shared" ref="G28:G33" si="13">D28*C28</f>
        <v>5307</v>
      </c>
      <c r="H28" s="222">
        <f t="shared" ref="H28:H33" si="1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33.6</v>
      </c>
      <c r="Q28" s="2"/>
    </row>
    <row r="29" spans="1:17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2"/>
        <v>-168.00000000000068</v>
      </c>
      <c r="G29" s="39">
        <f t="shared" si="13"/>
        <v>5307</v>
      </c>
      <c r="H29" s="222">
        <f t="shared" si="1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33.28</v>
      </c>
      <c r="Q29" s="2"/>
    </row>
    <row r="30" spans="1:17" x14ac:dyDescent="0.25">
      <c r="B30" s="184">
        <v>43217</v>
      </c>
      <c r="C30" s="10">
        <v>300</v>
      </c>
      <c r="D30" s="39">
        <v>33.53</v>
      </c>
      <c r="E30" s="39">
        <v>31.81</v>
      </c>
      <c r="F30" s="39">
        <f t="shared" si="12"/>
        <v>-516.00000000000068</v>
      </c>
      <c r="G30" s="39">
        <f t="shared" si="13"/>
        <v>10059</v>
      </c>
      <c r="H30" s="222">
        <f t="shared" si="1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32.96</v>
      </c>
      <c r="Q30" s="2"/>
    </row>
    <row r="31" spans="1:17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2"/>
        <v>-883.20000000000073</v>
      </c>
      <c r="G31" s="39">
        <f t="shared" si="13"/>
        <v>13119.2</v>
      </c>
      <c r="H31" s="222">
        <f t="shared" si="14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32.64</v>
      </c>
      <c r="Q31" s="2"/>
    </row>
    <row r="32" spans="1:17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2"/>
        <v>-99.000000000000909</v>
      </c>
      <c r="G32" s="39">
        <f t="shared" si="13"/>
        <v>13119</v>
      </c>
      <c r="H32" s="222">
        <f t="shared" si="14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32.32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2"/>
        <v>-414.0000000000008</v>
      </c>
      <c r="G33" s="39">
        <f t="shared" si="13"/>
        <v>9939</v>
      </c>
      <c r="H33" s="222">
        <f t="shared" si="1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32</v>
      </c>
      <c r="Q33" s="2"/>
    </row>
    <row r="34" spans="1:17" x14ac:dyDescent="0.25">
      <c r="A34">
        <v>300</v>
      </c>
      <c r="B34" s="184">
        <v>43261</v>
      </c>
      <c r="C34" s="10">
        <v>300</v>
      </c>
      <c r="D34" s="39">
        <v>33.130000000000003</v>
      </c>
      <c r="E34" s="39">
        <v>32.08</v>
      </c>
      <c r="F34" s="39">
        <f t="shared" ref="F34" si="15">C34*(E34-D34)</f>
        <v>-315.00000000000125</v>
      </c>
      <c r="G34" s="39">
        <f t="shared" ref="G34" si="16">D34*C34</f>
        <v>9939</v>
      </c>
      <c r="H34" s="222">
        <f t="shared" ref="H34" si="1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31.68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2"/>
        <v>31.36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2"/>
        <v>31.04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2"/>
        <v>30.72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2"/>
        <v>30.4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2"/>
        <v>30.08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29.76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29.44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29.12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28.8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43" priority="33">
      <formula>F47&gt;0</formula>
    </cfRule>
    <cfRule type="expression" dxfId="1642" priority="34">
      <formula>F47&lt;0</formula>
    </cfRule>
  </conditionalFormatting>
  <conditionalFormatting sqref="Q7">
    <cfRule type="expression" dxfId="1641" priority="31">
      <formula>Q7&gt;0</formula>
    </cfRule>
    <cfRule type="expression" dxfId="1640" priority="32">
      <formula>Q7&lt;0</formula>
    </cfRule>
  </conditionalFormatting>
  <conditionalFormatting sqref="Q8">
    <cfRule type="expression" dxfId="1639" priority="29">
      <formula>Q8&gt;0</formula>
    </cfRule>
    <cfRule type="expression" dxfId="1638" priority="30">
      <formula>Q8&lt;0</formula>
    </cfRule>
  </conditionalFormatting>
  <conditionalFormatting sqref="F30:F46">
    <cfRule type="expression" dxfId="1637" priority="27">
      <formula>F30&gt;0</formula>
    </cfRule>
    <cfRule type="expression" dxfId="1636" priority="28">
      <formula>F30&lt;0</formula>
    </cfRule>
  </conditionalFormatting>
  <conditionalFormatting sqref="H30:H46">
    <cfRule type="expression" dxfId="1635" priority="25">
      <formula>H30&gt;0</formula>
    </cfRule>
    <cfRule type="expression" dxfId="1634" priority="26">
      <formula>H30&lt;0</formula>
    </cfRule>
  </conditionalFormatting>
  <conditionalFormatting sqref="Q10">
    <cfRule type="expression" dxfId="1633" priority="23">
      <formula>Q10&gt;0</formula>
    </cfRule>
    <cfRule type="expression" dxfId="1632" priority="24">
      <formula>Q10&lt;0</formula>
    </cfRule>
  </conditionalFormatting>
  <conditionalFormatting sqref="J25:J38">
    <cfRule type="expression" dxfId="1631" priority="21">
      <formula>J25&gt;0</formula>
    </cfRule>
    <cfRule type="expression" dxfId="1630" priority="22">
      <formula>J25&lt;0</formula>
    </cfRule>
  </conditionalFormatting>
  <conditionalFormatting sqref="K25:K38">
    <cfRule type="expression" dxfId="1629" priority="19">
      <formula>K25&gt;0</formula>
    </cfRule>
    <cfRule type="expression" dxfId="1628" priority="20">
      <formula>K25&lt;0</formula>
    </cfRule>
  </conditionalFormatting>
  <conditionalFormatting sqref="L25:L38">
    <cfRule type="expression" dxfId="1627" priority="17">
      <formula>L25&gt;0</formula>
    </cfRule>
    <cfRule type="expression" dxfId="1626" priority="18">
      <formula>L25&lt;0</formula>
    </cfRule>
  </conditionalFormatting>
  <conditionalFormatting sqref="F89:F110">
    <cfRule type="expression" dxfId="1625" priority="15">
      <formula>F89&gt;0</formula>
    </cfRule>
    <cfRule type="expression" dxfId="1624" priority="16">
      <formula>F89&lt;0</formula>
    </cfRule>
  </conditionalFormatting>
  <conditionalFormatting sqref="H89:H110">
    <cfRule type="expression" dxfId="1623" priority="13">
      <formula>H89&gt;0</formula>
    </cfRule>
    <cfRule type="expression" dxfId="1622" priority="14">
      <formula>H89&lt;0</formula>
    </cfRule>
  </conditionalFormatting>
  <conditionalFormatting sqref="J89:J102">
    <cfRule type="expression" dxfId="1621" priority="11">
      <formula>J89&gt;0</formula>
    </cfRule>
    <cfRule type="expression" dxfId="1620" priority="12">
      <formula>J89&lt;0</formula>
    </cfRule>
  </conditionalFormatting>
  <conditionalFormatting sqref="K89:K102">
    <cfRule type="expression" dxfId="1619" priority="9">
      <formula>K89&gt;0</formula>
    </cfRule>
    <cfRule type="expression" dxfId="1618" priority="10">
      <formula>K89&lt;0</formula>
    </cfRule>
  </conditionalFormatting>
  <conditionalFormatting sqref="L89:L102">
    <cfRule type="expression" dxfId="1617" priority="7">
      <formula>L89&gt;0</formula>
    </cfRule>
    <cfRule type="expression" dxfId="1616" priority="8">
      <formula>L89&lt;0</formula>
    </cfRule>
  </conditionalFormatting>
  <conditionalFormatting sqref="F25:F29">
    <cfRule type="expression" dxfId="1615" priority="5">
      <formula>F25&gt;0</formula>
    </cfRule>
    <cfRule type="expression" dxfId="1614" priority="6">
      <formula>F25&lt;0</formula>
    </cfRule>
  </conditionalFormatting>
  <conditionalFormatting sqref="H25:H29">
    <cfRule type="expression" dxfId="1613" priority="3">
      <formula>H25&gt;0</formula>
    </cfRule>
    <cfRule type="expression" dxfId="1612" priority="4">
      <formula>H25&lt;0</formula>
    </cfRule>
  </conditionalFormatting>
  <conditionalFormatting sqref="F29">
    <cfRule type="expression" dxfId="1611" priority="1">
      <formula>F29&gt;0</formula>
    </cfRule>
    <cfRule type="expression" dxfId="1610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961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85.59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85.59</v>
      </c>
      <c r="R4" s="495">
        <v>4.0000000000000001E-3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7.477509054796121E-3</v>
      </c>
      <c r="R11">
        <v>0.16</v>
      </c>
    </row>
    <row r="12" spans="1:21" x14ac:dyDescent="0.25">
      <c r="H12" s="70"/>
      <c r="O12" s="11" t="s">
        <v>997</v>
      </c>
      <c r="Q12" s="1"/>
    </row>
    <row r="13" spans="1:21" x14ac:dyDescent="0.25">
      <c r="H13" s="70"/>
      <c r="O13" s="11" t="s">
        <v>975</v>
      </c>
      <c r="Q13" s="2">
        <f>Q4/7.38</f>
        <v>11.597560975609756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94.149000000000015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93.29310000000001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92.437200000000004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91.581300000000013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90.725400000000008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89.869500000000002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89.013600000000011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88.157700000000006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87.3018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86.445900000000009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85.59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84.734099999999998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83.878200000000007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83.022300000000001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82.166399999999996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81.310500000000005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80.454599999999999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79.598700000000008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78.742800000000003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77.886900000000011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77.031000000000006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09" priority="31">
      <formula>F47&gt;0</formula>
    </cfRule>
    <cfRule type="expression" dxfId="1608" priority="32">
      <formula>F47&lt;0</formula>
    </cfRule>
  </conditionalFormatting>
  <conditionalFormatting sqref="Q7">
    <cfRule type="expression" dxfId="1607" priority="29">
      <formula>Q7&gt;0</formula>
    </cfRule>
    <cfRule type="expression" dxfId="1606" priority="30">
      <formula>Q7&lt;0</formula>
    </cfRule>
  </conditionalFormatting>
  <conditionalFormatting sqref="Q8">
    <cfRule type="expression" dxfId="1605" priority="27">
      <formula>Q8&gt;0</formula>
    </cfRule>
    <cfRule type="expression" dxfId="1604" priority="28">
      <formula>Q8&lt;0</formula>
    </cfRule>
  </conditionalFormatting>
  <conditionalFormatting sqref="F30:F46">
    <cfRule type="expression" dxfId="1603" priority="25">
      <formula>F30&gt;0</formula>
    </cfRule>
    <cfRule type="expression" dxfId="1602" priority="26">
      <formula>F30&lt;0</formula>
    </cfRule>
  </conditionalFormatting>
  <conditionalFormatting sqref="H30:H46">
    <cfRule type="expression" dxfId="1601" priority="23">
      <formula>H30&gt;0</formula>
    </cfRule>
    <cfRule type="expression" dxfId="1600" priority="24">
      <formula>H30&lt;0</formula>
    </cfRule>
  </conditionalFormatting>
  <conditionalFormatting sqref="Q10">
    <cfRule type="expression" dxfId="1599" priority="21">
      <formula>Q10&gt;0</formula>
    </cfRule>
    <cfRule type="expression" dxfId="1598" priority="22">
      <formula>Q10&lt;0</formula>
    </cfRule>
  </conditionalFormatting>
  <conditionalFormatting sqref="J25:J38">
    <cfRule type="expression" dxfId="1597" priority="19">
      <formula>J25&gt;0</formula>
    </cfRule>
    <cfRule type="expression" dxfId="1596" priority="20">
      <formula>J25&lt;0</formula>
    </cfRule>
  </conditionalFormatting>
  <conditionalFormatting sqref="K25:K38">
    <cfRule type="expression" dxfId="1595" priority="17">
      <formula>K25&gt;0</formula>
    </cfRule>
    <cfRule type="expression" dxfId="1594" priority="18">
      <formula>K25&lt;0</formula>
    </cfRule>
  </conditionalFormatting>
  <conditionalFormatting sqref="L25:L38">
    <cfRule type="expression" dxfId="1593" priority="15">
      <formula>L25&gt;0</formula>
    </cfRule>
    <cfRule type="expression" dxfId="1592" priority="16">
      <formula>L25&lt;0</formula>
    </cfRule>
  </conditionalFormatting>
  <conditionalFormatting sqref="F89:F110">
    <cfRule type="expression" dxfId="1591" priority="13">
      <formula>F89&gt;0</formula>
    </cfRule>
    <cfRule type="expression" dxfId="1590" priority="14">
      <formula>F89&lt;0</formula>
    </cfRule>
  </conditionalFormatting>
  <conditionalFormatting sqref="H89:H110">
    <cfRule type="expression" dxfId="1589" priority="11">
      <formula>H89&gt;0</formula>
    </cfRule>
    <cfRule type="expression" dxfId="1588" priority="12">
      <formula>H89&lt;0</formula>
    </cfRule>
  </conditionalFormatting>
  <conditionalFormatting sqref="J89:J102">
    <cfRule type="expression" dxfId="1587" priority="9">
      <formula>J89&gt;0</formula>
    </cfRule>
    <cfRule type="expression" dxfId="1586" priority="10">
      <formula>J89&lt;0</formula>
    </cfRule>
  </conditionalFormatting>
  <conditionalFormatting sqref="K89:K102">
    <cfRule type="expression" dxfId="1585" priority="7">
      <formula>K89&gt;0</formula>
    </cfRule>
    <cfRule type="expression" dxfId="1584" priority="8">
      <formula>K89&lt;0</formula>
    </cfRule>
  </conditionalFormatting>
  <conditionalFormatting sqref="L89:L102">
    <cfRule type="expression" dxfId="1583" priority="5">
      <formula>L89&gt;0</formula>
    </cfRule>
    <cfRule type="expression" dxfId="1582" priority="6">
      <formula>L89&lt;0</formula>
    </cfRule>
  </conditionalFormatting>
  <conditionalFormatting sqref="F25:F29">
    <cfRule type="expression" dxfId="1581" priority="3">
      <formula>F25&gt;0</formula>
    </cfRule>
    <cfRule type="expression" dxfId="1580" priority="4">
      <formula>F25&lt;0</formula>
    </cfRule>
  </conditionalFormatting>
  <conditionalFormatting sqref="H25:H29">
    <cfRule type="expression" dxfId="1579" priority="1">
      <formula>H25&gt;0</formula>
    </cfRule>
    <cfRule type="expression" dxfId="157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topLeftCell="F1" workbookViewId="0">
      <pane ySplit="1" topLeftCell="A2" activePane="bottomLeft" state="frozen"/>
      <selection activeCell="A2" sqref="A2"/>
      <selection pane="bottomLeft" activeCell="Q13" sqref="Q1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928</v>
      </c>
    </row>
    <row r="3" spans="1:21" x14ac:dyDescent="0.25">
      <c r="A3" s="22" t="s">
        <v>71</v>
      </c>
      <c r="B3" s="72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58.25</v>
      </c>
      <c r="R4" s="495">
        <v>9.4000000000000004E-3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8737.5</v>
      </c>
      <c r="T5" s="1">
        <v>43209</v>
      </c>
      <c r="U5" t="s">
        <v>1009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1010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-238.5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-238.5</v>
      </c>
      <c r="T8" s="1">
        <v>43216</v>
      </c>
      <c r="U8" t="s">
        <v>1035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-2.6570855614973261E-2</v>
      </c>
      <c r="T9" s="156"/>
      <c r="U9" t="s">
        <v>1036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4.5321888412017168E-2</v>
      </c>
      <c r="R11">
        <f>0.22</f>
        <v>0.22</v>
      </c>
    </row>
    <row r="12" spans="1:21" x14ac:dyDescent="0.25">
      <c r="H12" s="70"/>
      <c r="O12" s="11" t="s">
        <v>948</v>
      </c>
      <c r="Q12" s="1">
        <v>43307</v>
      </c>
    </row>
    <row r="13" spans="1:21" x14ac:dyDescent="0.25">
      <c r="H13" s="70"/>
      <c r="O13" s="11" t="s">
        <v>975</v>
      </c>
      <c r="Q13">
        <f>Q4/(3.9+4.03)*2</f>
        <v>14.691046658259774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0" t="s">
        <v>78</v>
      </c>
      <c r="P16" s="850"/>
    </row>
    <row r="17" spans="1:16" ht="15.75" thickTop="1" x14ac:dyDescent="0.25">
      <c r="O17" s="81">
        <v>1.1000000000000001</v>
      </c>
      <c r="P17" s="81">
        <f>O17*$Q$4</f>
        <v>64.075000000000003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63.492500000000007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62.910000000000004</v>
      </c>
    </row>
    <row r="20" spans="1:16" x14ac:dyDescent="0.25">
      <c r="O20" s="81">
        <v>1.07</v>
      </c>
      <c r="P20" s="81">
        <f t="shared" si="1"/>
        <v>62.327500000000001</v>
      </c>
    </row>
    <row r="21" spans="1:16" x14ac:dyDescent="0.25">
      <c r="O21" s="81">
        <v>1.06</v>
      </c>
      <c r="P21" s="81">
        <f t="shared" si="1"/>
        <v>61.745000000000005</v>
      </c>
    </row>
    <row r="22" spans="1:16" x14ac:dyDescent="0.25">
      <c r="O22" s="81">
        <v>1.05</v>
      </c>
      <c r="P22" s="81">
        <f t="shared" si="1"/>
        <v>61.162500000000001</v>
      </c>
    </row>
    <row r="23" spans="1:16" x14ac:dyDescent="0.25">
      <c r="O23" s="81">
        <v>1.04</v>
      </c>
      <c r="P23" s="81">
        <f t="shared" si="1"/>
        <v>60.580000000000005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1"/>
        <v>59.997500000000002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59.414999999999999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58.832500000000003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58.25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2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57.667499999999997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57.085000000000001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56.502499999999998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55.919999999999995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55.337499999999999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54.754999999999995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54.172499999999999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53.59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53.0075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52.425000000000004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77" priority="35">
      <formula>F47&gt;0</formula>
    </cfRule>
    <cfRule type="expression" dxfId="1576" priority="36">
      <formula>F47&lt;0</formula>
    </cfRule>
  </conditionalFormatting>
  <conditionalFormatting sqref="Q7">
    <cfRule type="expression" dxfId="1575" priority="33">
      <formula>Q7&gt;0</formula>
    </cfRule>
    <cfRule type="expression" dxfId="1574" priority="34">
      <formula>Q7&lt;0</formula>
    </cfRule>
  </conditionalFormatting>
  <conditionalFormatting sqref="Q8">
    <cfRule type="expression" dxfId="1573" priority="31">
      <formula>Q8&gt;0</formula>
    </cfRule>
    <cfRule type="expression" dxfId="1572" priority="32">
      <formula>Q8&lt;0</formula>
    </cfRule>
  </conditionalFormatting>
  <conditionalFormatting sqref="F30:F46">
    <cfRule type="expression" dxfId="1571" priority="29">
      <formula>F30&gt;0</formula>
    </cfRule>
    <cfRule type="expression" dxfId="1570" priority="30">
      <formula>F30&lt;0</formula>
    </cfRule>
  </conditionalFormatting>
  <conditionalFormatting sqref="H30:H46">
    <cfRule type="expression" dxfId="1569" priority="27">
      <formula>H30&gt;0</formula>
    </cfRule>
    <cfRule type="expression" dxfId="1568" priority="28">
      <formula>H30&lt;0</formula>
    </cfRule>
  </conditionalFormatting>
  <conditionalFormatting sqref="Q10">
    <cfRule type="expression" dxfId="1567" priority="25">
      <formula>Q10&gt;0</formula>
    </cfRule>
    <cfRule type="expression" dxfId="1566" priority="26">
      <formula>Q10&lt;0</formula>
    </cfRule>
  </conditionalFormatting>
  <conditionalFormatting sqref="J25:J38">
    <cfRule type="expression" dxfId="1565" priority="23">
      <formula>J25&gt;0</formula>
    </cfRule>
    <cfRule type="expression" dxfId="1564" priority="24">
      <formula>J25&lt;0</formula>
    </cfRule>
  </conditionalFormatting>
  <conditionalFormatting sqref="K25:K38">
    <cfRule type="expression" dxfId="1563" priority="21">
      <formula>K25&gt;0</formula>
    </cfRule>
    <cfRule type="expression" dxfId="1562" priority="22">
      <formula>K25&lt;0</formula>
    </cfRule>
  </conditionalFormatting>
  <conditionalFormatting sqref="L25 L38">
    <cfRule type="expression" dxfId="1561" priority="19">
      <formula>L25&gt;0</formula>
    </cfRule>
    <cfRule type="expression" dxfId="1560" priority="20">
      <formula>L25&lt;0</formula>
    </cfRule>
  </conditionalFormatting>
  <conditionalFormatting sqref="F89:F110">
    <cfRule type="expression" dxfId="1559" priority="17">
      <formula>F89&gt;0</formula>
    </cfRule>
    <cfRule type="expression" dxfId="1558" priority="18">
      <formula>F89&lt;0</formula>
    </cfRule>
  </conditionalFormatting>
  <conditionalFormatting sqref="H89:H110">
    <cfRule type="expression" dxfId="1557" priority="15">
      <formula>H89&gt;0</formula>
    </cfRule>
    <cfRule type="expression" dxfId="1556" priority="16">
      <formula>H89&lt;0</formula>
    </cfRule>
  </conditionalFormatting>
  <conditionalFormatting sqref="J89:J102">
    <cfRule type="expression" dxfId="1555" priority="13">
      <formula>J89&gt;0</formula>
    </cfRule>
    <cfRule type="expression" dxfId="1554" priority="14">
      <formula>J89&lt;0</formula>
    </cfRule>
  </conditionalFormatting>
  <conditionalFormatting sqref="K89:K102">
    <cfRule type="expression" dxfId="1553" priority="11">
      <formula>K89&gt;0</formula>
    </cfRule>
    <cfRule type="expression" dxfId="1552" priority="12">
      <formula>K89&lt;0</formula>
    </cfRule>
  </conditionalFormatting>
  <conditionalFormatting sqref="L89:L102">
    <cfRule type="expression" dxfId="1551" priority="9">
      <formula>L89&gt;0</formula>
    </cfRule>
    <cfRule type="expression" dxfId="1550" priority="10">
      <formula>L89&lt;0</formula>
    </cfRule>
  </conditionalFormatting>
  <conditionalFormatting sqref="F25 F29">
    <cfRule type="expression" dxfId="1549" priority="7">
      <formula>F25&gt;0</formula>
    </cfRule>
    <cfRule type="expression" dxfId="1548" priority="8">
      <formula>F25&lt;0</formula>
    </cfRule>
  </conditionalFormatting>
  <conditionalFormatting sqref="H25 H29">
    <cfRule type="expression" dxfId="1547" priority="5">
      <formula>H25&gt;0</formula>
    </cfRule>
    <cfRule type="expression" dxfId="1546" priority="6">
      <formula>H25&lt;0</formula>
    </cfRule>
  </conditionalFormatting>
  <conditionalFormatting sqref="F26:F28">
    <cfRule type="expression" dxfId="1545" priority="3">
      <formula>F26&gt;0</formula>
    </cfRule>
    <cfRule type="expression" dxfId="1544" priority="4">
      <formula>F26&lt;0</formula>
    </cfRule>
  </conditionalFormatting>
  <conditionalFormatting sqref="H26:H28">
    <cfRule type="expression" dxfId="1543" priority="1">
      <formula>H26&gt;0</formula>
    </cfRule>
    <cfRule type="expression" dxfId="1542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922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200</v>
      </c>
      <c r="T2" s="1"/>
      <c r="U2" t="s">
        <v>1094</v>
      </c>
    </row>
    <row r="3" spans="1:21" x14ac:dyDescent="0.25">
      <c r="A3" s="22" t="s">
        <v>71</v>
      </c>
      <c r="B3" s="72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33.675399999999996</v>
      </c>
      <c r="T3" s="1">
        <v>43215</v>
      </c>
      <c r="U3" t="s">
        <v>1031</v>
      </c>
    </row>
    <row r="4" spans="1:21" x14ac:dyDescent="0.25">
      <c r="B4" s="72">
        <v>43222</v>
      </c>
      <c r="C4" s="4">
        <v>100</v>
      </c>
      <c r="D4" s="3">
        <v>32.08</v>
      </c>
      <c r="E4" s="3">
        <v>0</v>
      </c>
      <c r="F4" s="3">
        <f>C4*D4+E4</f>
        <v>3208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34.179900000000004</v>
      </c>
      <c r="R4" s="495">
        <v>1.03E-2</v>
      </c>
      <c r="T4" s="772"/>
      <c r="U4" s="30" t="s">
        <v>1032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6835.9800000000005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6735.079999999999</v>
      </c>
      <c r="T6" s="1">
        <v>43216</v>
      </c>
      <c r="U6" t="s">
        <v>1033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100.90000000000055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100.90000000000055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1.4981262286416873E-2</v>
      </c>
      <c r="T9" s="772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2.9256960962436986E-2</v>
      </c>
      <c r="R11">
        <v>0.5</v>
      </c>
    </row>
    <row r="12" spans="1:21" x14ac:dyDescent="0.25">
      <c r="H12" s="70"/>
      <c r="O12" s="11" t="s">
        <v>948</v>
      </c>
    </row>
    <row r="13" spans="1:21" x14ac:dyDescent="0.25">
      <c r="H13" s="70"/>
      <c r="O13" s="11" t="s">
        <v>975</v>
      </c>
      <c r="Q13">
        <f>Q4/3.47</f>
        <v>9.8501152737752165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10134</v>
      </c>
      <c r="G18" s="14"/>
      <c r="H18" s="71">
        <f>SUM(H2:H5)</f>
        <v>100</v>
      </c>
      <c r="I18" s="18"/>
      <c r="J18" s="18"/>
      <c r="K18" s="18">
        <f>SUM(K2:K5)</f>
        <v>3348.92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3268</v>
      </c>
      <c r="G19" s="343"/>
      <c r="H19" s="343">
        <f>SumByColor($A$19,H2:H17)</f>
        <v>100</v>
      </c>
      <c r="I19" s="343"/>
      <c r="J19" s="343"/>
      <c r="K19" s="344">
        <f>SumByColor($A$19,K2:K17)</f>
        <v>3349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1034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29" si="9">C28*(E28-D28)</f>
        <v>-321.07999999999993</v>
      </c>
      <c r="G28" s="39">
        <f t="shared" ref="G28:G29" si="10">D28*C28</f>
        <v>3527.08</v>
      </c>
      <c r="H28" s="222">
        <f t="shared" ref="H28:H29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32.06</v>
      </c>
      <c r="F29" s="39">
        <f t="shared" si="9"/>
        <v>-323.08000000000021</v>
      </c>
      <c r="G29" s="39">
        <f t="shared" si="10"/>
        <v>6735.0800000000008</v>
      </c>
      <c r="H29" s="222">
        <f t="shared" si="11"/>
        <v>-4.7969734583702073E-2</v>
      </c>
      <c r="I29" s="39">
        <v>33.5</v>
      </c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37.597890000000007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37.256091000000005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36.914292000000003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36.572493000000009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36.230694000000007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35.888895000000005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35.547096000000003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35.205297000000002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34.863498000000007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34.521699000000005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34.179900000000004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33.838101000000002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33.496302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33.154503000000005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32.812704000000004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32.470905000000002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32.129106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31.787307000000006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31.445508000000004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31.103709000000006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30.761910000000004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41" priority="31">
      <formula>F47&gt;0</formula>
    </cfRule>
    <cfRule type="expression" dxfId="1540" priority="32">
      <formula>F47&lt;0</formula>
    </cfRule>
  </conditionalFormatting>
  <conditionalFormatting sqref="Q7">
    <cfRule type="expression" dxfId="1539" priority="29">
      <formula>Q7&gt;0</formula>
    </cfRule>
    <cfRule type="expression" dxfId="1538" priority="30">
      <formula>Q7&lt;0</formula>
    </cfRule>
  </conditionalFormatting>
  <conditionalFormatting sqref="Q8">
    <cfRule type="expression" dxfId="1537" priority="27">
      <formula>Q8&gt;0</formula>
    </cfRule>
    <cfRule type="expression" dxfId="1536" priority="28">
      <formula>Q8&lt;0</formula>
    </cfRule>
  </conditionalFormatting>
  <conditionalFormatting sqref="F30:F46">
    <cfRule type="expression" dxfId="1535" priority="25">
      <formula>F30&gt;0</formula>
    </cfRule>
    <cfRule type="expression" dxfId="1534" priority="26">
      <formula>F30&lt;0</formula>
    </cfRule>
  </conditionalFormatting>
  <conditionalFormatting sqref="H30:H46">
    <cfRule type="expression" dxfId="1533" priority="23">
      <formula>H30&gt;0</formula>
    </cfRule>
    <cfRule type="expression" dxfId="1532" priority="24">
      <formula>H30&lt;0</formula>
    </cfRule>
  </conditionalFormatting>
  <conditionalFormatting sqref="Q10">
    <cfRule type="expression" dxfId="1531" priority="21">
      <formula>Q10&gt;0</formula>
    </cfRule>
    <cfRule type="expression" dxfId="1530" priority="22">
      <formula>Q10&lt;0</formula>
    </cfRule>
  </conditionalFormatting>
  <conditionalFormatting sqref="J25:J38">
    <cfRule type="expression" dxfId="1529" priority="19">
      <formula>J25&gt;0</formula>
    </cfRule>
    <cfRule type="expression" dxfId="1528" priority="20">
      <formula>J25&lt;0</formula>
    </cfRule>
  </conditionalFormatting>
  <conditionalFormatting sqref="K25:K38">
    <cfRule type="expression" dxfId="1527" priority="17">
      <formula>K25&gt;0</formula>
    </cfRule>
    <cfRule type="expression" dxfId="1526" priority="18">
      <formula>K25&lt;0</formula>
    </cfRule>
  </conditionalFormatting>
  <conditionalFormatting sqref="L25:L38">
    <cfRule type="expression" dxfId="1525" priority="15">
      <formula>L25&gt;0</formula>
    </cfRule>
    <cfRule type="expression" dxfId="1524" priority="16">
      <formula>L25&lt;0</formula>
    </cfRule>
  </conditionalFormatting>
  <conditionalFormatting sqref="F89:F110">
    <cfRule type="expression" dxfId="1523" priority="13">
      <formula>F89&gt;0</formula>
    </cfRule>
    <cfRule type="expression" dxfId="1522" priority="14">
      <formula>F89&lt;0</formula>
    </cfRule>
  </conditionalFormatting>
  <conditionalFormatting sqref="H89:H110">
    <cfRule type="expression" dxfId="1521" priority="11">
      <formula>H89&gt;0</formula>
    </cfRule>
    <cfRule type="expression" dxfId="1520" priority="12">
      <formula>H89&lt;0</formula>
    </cfRule>
  </conditionalFormatting>
  <conditionalFormatting sqref="J89:J102">
    <cfRule type="expression" dxfId="1519" priority="9">
      <formula>J89&gt;0</formula>
    </cfRule>
    <cfRule type="expression" dxfId="1518" priority="10">
      <formula>J89&lt;0</formula>
    </cfRule>
  </conditionalFormatting>
  <conditionalFormatting sqref="K89:K102">
    <cfRule type="expression" dxfId="1517" priority="7">
      <formula>K89&gt;0</formula>
    </cfRule>
    <cfRule type="expression" dxfId="1516" priority="8">
      <formula>K89&lt;0</formula>
    </cfRule>
  </conditionalFormatting>
  <conditionalFormatting sqref="L89:L102">
    <cfRule type="expression" dxfId="1515" priority="5">
      <formula>L89&gt;0</formula>
    </cfRule>
    <cfRule type="expression" dxfId="1514" priority="6">
      <formula>L89&lt;0</formula>
    </cfRule>
  </conditionalFormatting>
  <conditionalFormatting sqref="F25:F29">
    <cfRule type="expression" dxfId="1513" priority="3">
      <formula>F25&gt;0</formula>
    </cfRule>
    <cfRule type="expression" dxfId="1512" priority="4">
      <formula>F25&lt;0</formula>
    </cfRule>
  </conditionalFormatting>
  <conditionalFormatting sqref="H25:H29">
    <cfRule type="expression" dxfId="1511" priority="1">
      <formula>H25&gt;0</formula>
    </cfRule>
    <cfRule type="expression" dxfId="151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topLeftCell="B1" workbookViewId="0">
      <pane ySplit="1" topLeftCell="A5" activePane="bottomLeft" state="frozen"/>
      <selection activeCell="A2" sqref="A2"/>
      <selection pane="bottomLeft" activeCell="P34" sqref="P34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682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142.98999999999995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72">
        <v>43245</v>
      </c>
      <c r="M4" s="43">
        <v>11.4</v>
      </c>
      <c r="O4" s="11" t="s">
        <v>66</v>
      </c>
      <c r="Q4" s="54">
        <v>204.5</v>
      </c>
      <c r="R4" s="495">
        <v>3.5999999999999999E-3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4090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2859.7999999999993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1373.2300000000009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1230.2000000000007</v>
      </c>
      <c r="T8" s="1">
        <v>43237</v>
      </c>
      <c r="U8" t="s">
        <v>1092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0.43016994195398317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2.4449877750611247E-3</v>
      </c>
      <c r="S11">
        <v>0.5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>
        <f>Q4/6.86</f>
        <v>29.810495626822156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50" t="s">
        <v>78</v>
      </c>
      <c r="P24" s="850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224.95000000000002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222.90500000000003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220.86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218.81500000000003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216.77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214.72500000000002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212.68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210.63500000000002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208.59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206.54500000000002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204.5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202.45499999999998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200.41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198.36499999999998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2" si="22">C39*(E39-D39)</f>
        <v>857.59999999999991</v>
      </c>
      <c r="G39" s="39">
        <f t="shared" ref="G39:G42" si="23">D39*C39</f>
        <v>6631.2</v>
      </c>
      <c r="H39" s="222">
        <f t="shared" ref="H39:H42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196.32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999</v>
      </c>
      <c r="J40" s="39">
        <v>1048</v>
      </c>
      <c r="K40" s="39"/>
      <c r="L40" s="39">
        <v>27.52</v>
      </c>
      <c r="O40" s="81">
        <v>0.95</v>
      </c>
      <c r="P40" s="81">
        <f t="shared" si="6"/>
        <v>194.27499999999998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192.23</v>
      </c>
    </row>
    <row r="42" spans="1:23" x14ac:dyDescent="0.25">
      <c r="A42">
        <v>20</v>
      </c>
      <c r="B42" s="184">
        <v>43245</v>
      </c>
      <c r="C42" s="10">
        <v>20</v>
      </c>
      <c r="D42" s="39">
        <v>142.99</v>
      </c>
      <c r="E42" s="39">
        <v>198.89</v>
      </c>
      <c r="F42" s="39">
        <f t="shared" si="22"/>
        <v>1117.9999999999995</v>
      </c>
      <c r="G42" s="39">
        <f t="shared" si="23"/>
        <v>2859.8</v>
      </c>
      <c r="H42" s="222">
        <f t="shared" si="24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6"/>
        <v>190.185</v>
      </c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0.92</v>
      </c>
      <c r="P43" s="81">
        <f t="shared" si="6"/>
        <v>188.14000000000001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186.095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184.05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09" priority="24">
      <formula>F47&gt;0</formula>
    </cfRule>
    <cfRule type="expression" dxfId="1508" priority="25">
      <formula>F47&lt;0</formula>
    </cfRule>
  </conditionalFormatting>
  <conditionalFormatting sqref="Q7">
    <cfRule type="expression" dxfId="1507" priority="22">
      <formula>Q7&gt;0</formula>
    </cfRule>
    <cfRule type="expression" dxfId="1506" priority="23">
      <formula>Q7&lt;0</formula>
    </cfRule>
  </conditionalFormatting>
  <conditionalFormatting sqref="Q8">
    <cfRule type="expression" dxfId="1505" priority="20">
      <formula>Q8&gt;0</formula>
    </cfRule>
    <cfRule type="expression" dxfId="1504" priority="21">
      <formula>Q8&lt;0</formula>
    </cfRule>
  </conditionalFormatting>
  <conditionalFormatting sqref="F25:F46">
    <cfRule type="expression" dxfId="1503" priority="18">
      <formula>F25&gt;0</formula>
    </cfRule>
    <cfRule type="expression" dxfId="1502" priority="19">
      <formula>F25&lt;0</formula>
    </cfRule>
  </conditionalFormatting>
  <conditionalFormatting sqref="H25:H46">
    <cfRule type="expression" dxfId="1501" priority="16">
      <formula>H25&gt;0</formula>
    </cfRule>
    <cfRule type="expression" dxfId="1500" priority="17">
      <formula>H25&lt;0</formula>
    </cfRule>
  </conditionalFormatting>
  <conditionalFormatting sqref="F89:F110">
    <cfRule type="expression" dxfId="1499" priority="14">
      <formula>F89&gt;0</formula>
    </cfRule>
    <cfRule type="expression" dxfId="1498" priority="15">
      <formula>F89&lt;0</formula>
    </cfRule>
  </conditionalFormatting>
  <conditionalFormatting sqref="H89:H110">
    <cfRule type="expression" dxfId="1497" priority="12">
      <formula>H89&gt;0</formula>
    </cfRule>
    <cfRule type="expression" dxfId="1496" priority="13">
      <formula>H89&lt;0</formula>
    </cfRule>
  </conditionalFormatting>
  <conditionalFormatting sqref="Q10">
    <cfRule type="expression" dxfId="1495" priority="10">
      <formula>Q10&gt;0</formula>
    </cfRule>
    <cfRule type="expression" dxfId="1494" priority="11">
      <formula>Q10&lt;0</formula>
    </cfRule>
  </conditionalFormatting>
  <conditionalFormatting sqref="J25:J39">
    <cfRule type="expression" dxfId="1493" priority="8">
      <formula>J25&gt;0</formula>
    </cfRule>
    <cfRule type="expression" dxfId="1492" priority="9">
      <formula>J25&lt;0</formula>
    </cfRule>
  </conditionalFormatting>
  <conditionalFormatting sqref="K25:K38">
    <cfRule type="expression" dxfId="1491" priority="6">
      <formula>K25&gt;0</formula>
    </cfRule>
    <cfRule type="expression" dxfId="1490" priority="7">
      <formula>K25&lt;0</formula>
    </cfRule>
  </conditionalFormatting>
  <conditionalFormatting sqref="L25:L38">
    <cfRule type="expression" dxfId="1489" priority="4">
      <formula>L25&gt;0</formula>
    </cfRule>
    <cfRule type="expression" dxfId="1488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87" priority="1">
      <formula>J40&gt;0</formula>
    </cfRule>
    <cfRule type="expression" dxfId="1486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15.25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5">
        <v>0</v>
      </c>
      <c r="T4" s="1" t="s">
        <v>457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458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593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594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507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595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495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496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2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2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277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297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295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296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298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304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323</v>
      </c>
      <c r="J235" s="39"/>
      <c r="K235" s="39"/>
    </row>
    <row r="236" spans="1:11" x14ac:dyDescent="0.25">
      <c r="A236" t="s">
        <v>333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358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358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375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379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394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401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404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409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410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411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416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416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416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85" priority="74">
      <formula>F12&gt;0</formula>
    </cfRule>
    <cfRule type="expression" dxfId="148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83" priority="67">
      <formula>F124&gt;0</formula>
    </cfRule>
    <cfRule type="expression" dxfId="1482" priority="68">
      <formula>F124&lt;0</formula>
    </cfRule>
  </conditionalFormatting>
  <conditionalFormatting sqref="H124:H130">
    <cfRule type="expression" dxfId="1481" priority="55">
      <formula>H124&gt;0</formula>
    </cfRule>
    <cfRule type="expression" dxfId="1480" priority="56">
      <formula>H124&lt;0</formula>
    </cfRule>
  </conditionalFormatting>
  <conditionalFormatting sqref="H131">
    <cfRule type="expression" dxfId="1479" priority="53">
      <formula>H131&gt;0</formula>
    </cfRule>
    <cfRule type="expression" dxfId="1478" priority="54">
      <formula>H131&lt;0</formula>
    </cfRule>
  </conditionalFormatting>
  <conditionalFormatting sqref="H132">
    <cfRule type="expression" dxfId="1477" priority="51">
      <formula>H132&gt;0</formula>
    </cfRule>
    <cfRule type="expression" dxfId="1476" priority="52">
      <formula>H132&lt;0</formula>
    </cfRule>
  </conditionalFormatting>
  <conditionalFormatting sqref="H133:H135">
    <cfRule type="expression" dxfId="1475" priority="49">
      <formula>H133&gt;0</formula>
    </cfRule>
    <cfRule type="expression" dxfId="1474" priority="50">
      <formula>H133&lt;0</formula>
    </cfRule>
  </conditionalFormatting>
  <conditionalFormatting sqref="H136">
    <cfRule type="expression" dxfId="1473" priority="45">
      <formula>H136&gt;0</formula>
    </cfRule>
    <cfRule type="expression" dxfId="1472" priority="46">
      <formula>H136&lt;0</formula>
    </cfRule>
  </conditionalFormatting>
  <conditionalFormatting sqref="Q7">
    <cfRule type="expression" dxfId="1471" priority="39">
      <formula>Q7&gt;0</formula>
    </cfRule>
    <cfRule type="expression" dxfId="1470" priority="40">
      <formula>Q7&lt;0</formula>
    </cfRule>
  </conditionalFormatting>
  <conditionalFormatting sqref="Q8">
    <cfRule type="expression" dxfId="1469" priority="37">
      <formula>Q8&gt;0</formula>
    </cfRule>
    <cfRule type="expression" dxfId="1468" priority="38">
      <formula>Q8&lt;0</formula>
    </cfRule>
  </conditionalFormatting>
  <conditionalFormatting sqref="F167:F178 H167:H178">
    <cfRule type="expression" dxfId="1467" priority="35">
      <formula>F167&gt;0</formula>
    </cfRule>
    <cfRule type="expression" dxfId="1466" priority="36">
      <formula>F167&lt;0</formula>
    </cfRule>
  </conditionalFormatting>
  <conditionalFormatting sqref="F183:F197 H183:H197">
    <cfRule type="expression" dxfId="1465" priority="33">
      <formula>F183&gt;0</formula>
    </cfRule>
    <cfRule type="expression" dxfId="1464" priority="34">
      <formula>F183&lt;0</formula>
    </cfRule>
  </conditionalFormatting>
  <conditionalFormatting sqref="F198:F206 H198:H206">
    <cfRule type="expression" dxfId="1463" priority="31">
      <formula>F198&gt;0</formula>
    </cfRule>
    <cfRule type="expression" dxfId="1462" priority="32">
      <formula>F198&lt;0</formula>
    </cfRule>
  </conditionalFormatting>
  <conditionalFormatting sqref="F141:F147 H141:H147">
    <cfRule type="expression" dxfId="1461" priority="29">
      <formula>F141&gt;0</formula>
    </cfRule>
    <cfRule type="expression" dxfId="1460" priority="30">
      <formula>F141&lt;0</formula>
    </cfRule>
  </conditionalFormatting>
  <conditionalFormatting sqref="H149:H152 F149:F152">
    <cfRule type="expression" dxfId="1459" priority="27">
      <formula>F149&gt;0</formula>
    </cfRule>
    <cfRule type="expression" dxfId="1458" priority="28">
      <formula>F149&lt;0</formula>
    </cfRule>
  </conditionalFormatting>
  <conditionalFormatting sqref="F226 H215:H218 H257:H260 F257:F260 H226 H231:H233 F231:F233 F235:F244 H235:H244">
    <cfRule type="expression" dxfId="1457" priority="25">
      <formula>F215&gt;0</formula>
    </cfRule>
    <cfRule type="expression" dxfId="1456" priority="26">
      <formula>F215&lt;0</formula>
    </cfRule>
  </conditionalFormatting>
  <conditionalFormatting sqref="F207:F218">
    <cfRule type="expression" dxfId="1455" priority="23">
      <formula>F207&gt;0</formula>
    </cfRule>
    <cfRule type="expression" dxfId="1454" priority="24">
      <formula>F207&lt;0</formula>
    </cfRule>
  </conditionalFormatting>
  <conditionalFormatting sqref="H207:H208">
    <cfRule type="expression" dxfId="1453" priority="21">
      <formula>H207&gt;0</formula>
    </cfRule>
    <cfRule type="expression" dxfId="1452" priority="22">
      <formula>H207&lt;0</formula>
    </cfRule>
  </conditionalFormatting>
  <conditionalFormatting sqref="H209">
    <cfRule type="expression" dxfId="1451" priority="19">
      <formula>H209&gt;0</formula>
    </cfRule>
    <cfRule type="expression" dxfId="1450" priority="20">
      <formula>H209&lt;0</formula>
    </cfRule>
  </conditionalFormatting>
  <conditionalFormatting sqref="H210">
    <cfRule type="expression" dxfId="1449" priority="17">
      <formula>H210&gt;0</formula>
    </cfRule>
    <cfRule type="expression" dxfId="1448" priority="18">
      <formula>H210&lt;0</formula>
    </cfRule>
  </conditionalFormatting>
  <conditionalFormatting sqref="H211:H213">
    <cfRule type="expression" dxfId="1447" priority="15">
      <formula>H211&gt;0</formula>
    </cfRule>
    <cfRule type="expression" dxfId="1446" priority="16">
      <formula>H211&lt;0</formula>
    </cfRule>
  </conditionalFormatting>
  <conditionalFormatting sqref="H214">
    <cfRule type="expression" dxfId="1445" priority="13">
      <formula>H214&gt;0</formula>
    </cfRule>
    <cfRule type="expression" dxfId="1444" priority="14">
      <formula>H214&lt;0</formula>
    </cfRule>
  </conditionalFormatting>
  <conditionalFormatting sqref="F245:F256 H245:H256">
    <cfRule type="expression" dxfId="1443" priority="11">
      <formula>F245&gt;0</formula>
    </cfRule>
    <cfRule type="expression" dxfId="1442" priority="12">
      <formula>F245&lt;0</formula>
    </cfRule>
  </conditionalFormatting>
  <conditionalFormatting sqref="F261:F275 H261:H275">
    <cfRule type="expression" dxfId="1441" priority="9">
      <formula>F261&gt;0</formula>
    </cfRule>
    <cfRule type="expression" dxfId="1440" priority="10">
      <formula>F261&lt;0</formula>
    </cfRule>
  </conditionalFormatting>
  <conditionalFormatting sqref="F276:F283 H276:H283">
    <cfRule type="expression" dxfId="1439" priority="7">
      <formula>F276&gt;0</formula>
    </cfRule>
    <cfRule type="expression" dxfId="1438" priority="8">
      <formula>F276&lt;0</formula>
    </cfRule>
  </conditionalFormatting>
  <conditionalFormatting sqref="F219:F225 H219:H225">
    <cfRule type="expression" dxfId="1437" priority="5">
      <formula>F219&gt;0</formula>
    </cfRule>
    <cfRule type="expression" dxfId="1436" priority="6">
      <formula>F219&lt;0</formula>
    </cfRule>
  </conditionalFormatting>
  <conditionalFormatting sqref="H227:H230 F227:F230">
    <cfRule type="expression" dxfId="1435" priority="3">
      <formula>F227&gt;0</formula>
    </cfRule>
    <cfRule type="expression" dxfId="1434" priority="4">
      <formula>F227&lt;0</formula>
    </cfRule>
  </conditionalFormatting>
  <conditionalFormatting sqref="H234 F234">
    <cfRule type="expression" dxfId="1433" priority="1">
      <formula>F234&gt;0</formula>
    </cfRule>
    <cfRule type="expression" dxfId="143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142.82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142.82</v>
      </c>
      <c r="R4" s="475">
        <v>-4.3E-3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0" t="s">
        <v>78</v>
      </c>
      <c r="P40" s="85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157.102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155.6738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154.2456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152.81739999999999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151.38919999999999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149.96100000000001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148.53280000000001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147.1046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145.6764</v>
      </c>
      <c r="Q49" s="2"/>
      <c r="T49" s="91" t="s">
        <v>121</v>
      </c>
      <c r="U49" s="127" t="s">
        <v>387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144.2482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142.82</v>
      </c>
      <c r="Q51" s="2"/>
      <c r="T51" s="91" t="s">
        <v>104</v>
      </c>
      <c r="U51" s="127" t="s">
        <v>596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141.39179999999999</v>
      </c>
      <c r="Q52" s="2"/>
      <c r="T52" s="91" t="s">
        <v>105</v>
      </c>
      <c r="U52" s="127" t="s">
        <v>418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139.96359999999999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138.53539999999998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137.10719999999998</v>
      </c>
      <c r="T55" s="91" t="s">
        <v>107</v>
      </c>
      <c r="U55" s="127" t="s">
        <v>597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135.67899999999997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134.2508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132.82259999999999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131.39439999999999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129.96619999999999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128.53800000000001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308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350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350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31" priority="43">
      <formula>F33&gt;0</formula>
    </cfRule>
    <cfRule type="expression" dxfId="1430" priority="44">
      <formula>F33&lt;0</formula>
    </cfRule>
  </conditionalFormatting>
  <conditionalFormatting sqref="Q7">
    <cfRule type="expression" dxfId="1429" priority="41">
      <formula>Q7&gt;0</formula>
    </cfRule>
    <cfRule type="expression" dxfId="1428" priority="42">
      <formula>Q7&lt;0</formula>
    </cfRule>
  </conditionalFormatting>
  <conditionalFormatting sqref="Q8">
    <cfRule type="expression" dxfId="1427" priority="39">
      <formula>Q8&gt;0</formula>
    </cfRule>
    <cfRule type="expression" dxfId="1426" priority="40">
      <formula>Q8&lt;0</formula>
    </cfRule>
  </conditionalFormatting>
  <conditionalFormatting sqref="F29 F32">
    <cfRule type="expression" dxfId="1425" priority="37">
      <formula>F29&gt;0</formula>
    </cfRule>
    <cfRule type="expression" dxfId="1424" priority="38">
      <formula>F29&lt;0</formula>
    </cfRule>
  </conditionalFormatting>
  <conditionalFormatting sqref="H29 H32">
    <cfRule type="expression" dxfId="1423" priority="35">
      <formula>H29&gt;0</formula>
    </cfRule>
    <cfRule type="expression" dxfId="1422" priority="36">
      <formula>H29&lt;0</formula>
    </cfRule>
  </conditionalFormatting>
  <conditionalFormatting sqref="F30:F31">
    <cfRule type="expression" dxfId="1421" priority="33">
      <formula>F30&gt;0</formula>
    </cfRule>
    <cfRule type="expression" dxfId="1420" priority="34">
      <formula>F30&lt;0</formula>
    </cfRule>
  </conditionalFormatting>
  <conditionalFormatting sqref="H30:H31">
    <cfRule type="expression" dxfId="1419" priority="31">
      <formula>H30&gt;0</formula>
    </cfRule>
    <cfRule type="expression" dxfId="1418" priority="32">
      <formula>H30&lt;0</formula>
    </cfRule>
  </conditionalFormatting>
  <conditionalFormatting sqref="F105:F140 H105:H140">
    <cfRule type="expression" dxfId="1417" priority="29">
      <formula>F105&gt;0</formula>
    </cfRule>
    <cfRule type="expression" dxfId="1416" priority="30">
      <formula>F105&lt;0</formula>
    </cfRule>
  </conditionalFormatting>
  <conditionalFormatting sqref="F96:F99">
    <cfRule type="expression" dxfId="1415" priority="27">
      <formula>F96&gt;0</formula>
    </cfRule>
    <cfRule type="expression" dxfId="1414" priority="28">
      <formula>F96&lt;0</formula>
    </cfRule>
  </conditionalFormatting>
  <conditionalFormatting sqref="H96:H99">
    <cfRule type="expression" dxfId="1413" priority="25">
      <formula>H96&gt;0</formula>
    </cfRule>
    <cfRule type="expression" dxfId="1412" priority="26">
      <formula>H96&lt;0</formula>
    </cfRule>
  </conditionalFormatting>
  <conditionalFormatting sqref="F25:F28">
    <cfRule type="expression" dxfId="1411" priority="19">
      <formula>F25&gt;0</formula>
    </cfRule>
    <cfRule type="expression" dxfId="1410" priority="20">
      <formula>F25&lt;0</formula>
    </cfRule>
  </conditionalFormatting>
  <conditionalFormatting sqref="H25:H28">
    <cfRule type="expression" dxfId="1409" priority="17">
      <formula>H25&gt;0</formula>
    </cfRule>
    <cfRule type="expression" dxfId="1408" priority="18">
      <formula>H25&lt;0</formula>
    </cfRule>
  </conditionalFormatting>
  <conditionalFormatting sqref="J27">
    <cfRule type="expression" dxfId="1407" priority="15">
      <formula>J27&gt;0</formula>
    </cfRule>
    <cfRule type="expression" dxfId="1406" priority="16">
      <formula>J27&lt;0</formula>
    </cfRule>
  </conditionalFormatting>
  <conditionalFormatting sqref="F104">
    <cfRule type="expression" dxfId="1405" priority="13">
      <formula>F104&gt;0</formula>
    </cfRule>
    <cfRule type="expression" dxfId="1404" priority="14">
      <formula>F104&lt;0</formula>
    </cfRule>
  </conditionalFormatting>
  <conditionalFormatting sqref="H104">
    <cfRule type="expression" dxfId="1403" priority="11">
      <formula>H104&gt;0</formula>
    </cfRule>
    <cfRule type="expression" dxfId="1402" priority="12">
      <formula>H104&lt;0</formula>
    </cfRule>
  </conditionalFormatting>
  <conditionalFormatting sqref="F100:F103">
    <cfRule type="expression" dxfId="1401" priority="9">
      <formula>F100&gt;0</formula>
    </cfRule>
    <cfRule type="expression" dxfId="1400" priority="10">
      <formula>F100&lt;0</formula>
    </cfRule>
  </conditionalFormatting>
  <conditionalFormatting sqref="H100:H103">
    <cfRule type="expression" dxfId="1399" priority="7">
      <formula>H100&gt;0</formula>
    </cfRule>
    <cfRule type="expression" dxfId="1398" priority="8">
      <formula>H100&lt;0</formula>
    </cfRule>
  </conditionalFormatting>
  <conditionalFormatting sqref="J102">
    <cfRule type="expression" dxfId="1397" priority="5">
      <formula>J102&gt;0</formula>
    </cfRule>
    <cfRule type="expression" dxfId="1396" priority="6">
      <formula>J102&lt;0</formula>
    </cfRule>
  </conditionalFormatting>
  <conditionalFormatting sqref="Q10">
    <cfRule type="expression" dxfId="1395" priority="3">
      <formula>Q10&gt;0</formula>
    </cfRule>
    <cfRule type="expression" dxfId="1394" priority="4">
      <formula>Q10&lt;0</formula>
    </cfRule>
  </conditionalFormatting>
  <conditionalFormatting sqref="M71">
    <cfRule type="expression" dxfId="1393" priority="1">
      <formula>M71&gt;0</formula>
    </cfRule>
    <cfRule type="expression" dxfId="139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94.94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94.94</v>
      </c>
      <c r="R4" s="475">
        <v>1.2699999999999999E-2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104.43400000000001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103.4846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102.5352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101.58580000000001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100.63640000000001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99.686999999999998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98.7376</v>
      </c>
      <c r="Q47" s="2"/>
      <c r="T47" s="91"/>
      <c r="U47" s="127"/>
    </row>
    <row r="48" spans="1:21" x14ac:dyDescent="0.25">
      <c r="A48" s="254" t="s">
        <v>692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97.788200000000003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96.838800000000006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95.889399999999995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94.94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93.990600000000001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93.041199999999989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92.091799999999992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91.142399999999995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90.192999999999998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89.243599999999986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88.294200000000004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87.344800000000006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86.395399999999995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85.445999999999998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91" priority="33">
      <formula>F34&gt;0</formula>
    </cfRule>
    <cfRule type="expression" dxfId="1390" priority="34">
      <formula>F34&lt;0</formula>
    </cfRule>
  </conditionalFormatting>
  <conditionalFormatting sqref="Q7">
    <cfRule type="expression" dxfId="1389" priority="31">
      <formula>Q7&gt;0</formula>
    </cfRule>
    <cfRule type="expression" dxfId="1388" priority="32">
      <formula>Q7&lt;0</formula>
    </cfRule>
  </conditionalFormatting>
  <conditionalFormatting sqref="Q8">
    <cfRule type="expression" dxfId="1387" priority="29">
      <formula>Q8&gt;0</formula>
    </cfRule>
    <cfRule type="expression" dxfId="1386" priority="30">
      <formula>Q8&lt;0</formula>
    </cfRule>
  </conditionalFormatting>
  <conditionalFormatting sqref="F27:F33">
    <cfRule type="expression" dxfId="1385" priority="27">
      <formula>F27&gt;0</formula>
    </cfRule>
    <cfRule type="expression" dxfId="1384" priority="28">
      <formula>F27&lt;0</formula>
    </cfRule>
  </conditionalFormatting>
  <conditionalFormatting sqref="H27:H33">
    <cfRule type="expression" dxfId="1383" priority="25">
      <formula>H27&gt;0</formula>
    </cfRule>
    <cfRule type="expression" dxfId="1382" priority="26">
      <formula>H27&lt;0</formula>
    </cfRule>
  </conditionalFormatting>
  <conditionalFormatting sqref="M46">
    <cfRule type="expression" dxfId="1381" priority="23">
      <formula>M46&gt;0</formula>
    </cfRule>
    <cfRule type="expression" dxfId="1380" priority="24">
      <formula>M46&lt;0</formula>
    </cfRule>
  </conditionalFormatting>
  <conditionalFormatting sqref="F79:F87 H79:H87">
    <cfRule type="expression" dxfId="1379" priority="21">
      <formula>F79&gt;0</formula>
    </cfRule>
    <cfRule type="expression" dxfId="1378" priority="22">
      <formula>F79&lt;0</formula>
    </cfRule>
  </conditionalFormatting>
  <conditionalFormatting sqref="F73 F77:F78">
    <cfRule type="expression" dxfId="1377" priority="19">
      <formula>F73&gt;0</formula>
    </cfRule>
    <cfRule type="expression" dxfId="1376" priority="20">
      <formula>F73&lt;0</formula>
    </cfRule>
  </conditionalFormatting>
  <conditionalFormatting sqref="H73 H77:H78">
    <cfRule type="expression" dxfId="1375" priority="17">
      <formula>H73&gt;0</formula>
    </cfRule>
    <cfRule type="expression" dxfId="1374" priority="18">
      <formula>H73&lt;0</formula>
    </cfRule>
  </conditionalFormatting>
  <conditionalFormatting sqref="F70:F72">
    <cfRule type="expression" dxfId="1373" priority="15">
      <formula>F70&gt;0</formula>
    </cfRule>
    <cfRule type="expression" dxfId="1372" priority="16">
      <formula>F70&lt;0</formula>
    </cfRule>
  </conditionalFormatting>
  <conditionalFormatting sqref="H70:H72">
    <cfRule type="expression" dxfId="1371" priority="13">
      <formula>H70&gt;0</formula>
    </cfRule>
    <cfRule type="expression" dxfId="1370" priority="14">
      <formula>H70&lt;0</formula>
    </cfRule>
  </conditionalFormatting>
  <conditionalFormatting sqref="F25:F26">
    <cfRule type="expression" dxfId="1369" priority="11">
      <formula>F25&gt;0</formula>
    </cfRule>
    <cfRule type="expression" dxfId="1368" priority="12">
      <formula>F25&lt;0</formula>
    </cfRule>
  </conditionalFormatting>
  <conditionalFormatting sqref="H25:H26">
    <cfRule type="expression" dxfId="1367" priority="9">
      <formula>H25&gt;0</formula>
    </cfRule>
    <cfRule type="expression" dxfId="1366" priority="10">
      <formula>H25&lt;0</formula>
    </cfRule>
  </conditionalFormatting>
  <conditionalFormatting sqref="F76">
    <cfRule type="expression" dxfId="1365" priority="7">
      <formula>F76&gt;0</formula>
    </cfRule>
    <cfRule type="expression" dxfId="1364" priority="8">
      <formula>F76&lt;0</formula>
    </cfRule>
  </conditionalFormatting>
  <conditionalFormatting sqref="H76">
    <cfRule type="expression" dxfId="1363" priority="5">
      <formula>H76&gt;0</formula>
    </cfRule>
    <cfRule type="expression" dxfId="1362" priority="6">
      <formula>H76&lt;0</formula>
    </cfRule>
  </conditionalFormatting>
  <conditionalFormatting sqref="F74:F75">
    <cfRule type="expression" dxfId="1361" priority="3">
      <formula>F74&gt;0</formula>
    </cfRule>
    <cfRule type="expression" dxfId="1360" priority="4">
      <formula>F74&lt;0</formula>
    </cfRule>
  </conditionalFormatting>
  <conditionalFormatting sqref="H74:H75">
    <cfRule type="expression" dxfId="1359" priority="1">
      <formula>H74&gt;0</formula>
    </cfRule>
    <cfRule type="expression" dxfId="1358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962</v>
      </c>
      <c r="B2" s="434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434" t="s">
        <v>998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1">
        <f>IF(Q2=0, Q4, (F18-K18-M18)/Q2)</f>
        <v>152.49275000000006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174.91</v>
      </c>
      <c r="R4" s="495">
        <v>2.7000000000000001E-3</v>
      </c>
      <c r="T4" s="772">
        <v>43256</v>
      </c>
      <c r="U4" s="848" t="s">
        <v>1124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>H5*I5-J5</f>
        <v>4294.4399999999996</v>
      </c>
      <c r="L5" s="4"/>
      <c r="M5" s="4"/>
      <c r="O5" s="11" t="s">
        <v>67</v>
      </c>
      <c r="Q5" s="3">
        <f>Q4*Q2</f>
        <v>6996.4</v>
      </c>
    </row>
    <row r="6" spans="1:21" x14ac:dyDescent="0.25">
      <c r="B6" s="477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6099.7100000000028</v>
      </c>
    </row>
    <row r="7" spans="1:21" x14ac:dyDescent="0.25">
      <c r="B7" s="477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896.68999999999687</v>
      </c>
      <c r="R7">
        <v>40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896.68999999999687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0.14700534943464466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7.3180492824881371E-3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100</v>
      </c>
      <c r="I18" s="18"/>
      <c r="J18" s="18"/>
      <c r="K18" s="18">
        <f>SUM(K2:K5)</f>
        <v>16549.039999999997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75</v>
      </c>
      <c r="D19" s="343"/>
      <c r="E19" s="343"/>
      <c r="F19" s="344">
        <f>SumByColor($A$19,F2:F17)</f>
        <v>12074</v>
      </c>
      <c r="G19" s="343"/>
      <c r="H19" s="343">
        <f>SumByColor($A$19,H2:H17)</f>
        <v>100</v>
      </c>
      <c r="I19" s="343"/>
      <c r="J19" s="343"/>
      <c r="K19" s="344">
        <f>SumByColor($A$19,K2:K17)</f>
        <v>16549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192.40100000000001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190.65190000000001</v>
      </c>
      <c r="Q24" s="2"/>
    </row>
    <row r="25" spans="1:17" x14ac:dyDescent="0.25">
      <c r="B25" s="184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2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188.90280000000001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2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187.15370000000001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2">
        <f t="shared" ref="H27" si="10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1"/>
        <v>185.40460000000002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2">
        <f t="shared" ref="H28" si="13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1"/>
        <v>183.65550000000002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2">
        <f t="shared" ref="H29" si="16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1"/>
        <v>181.90639999999999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2">
        <f t="shared" ref="H30:H31" si="19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1"/>
        <v>180.15729999999999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2">
        <f t="shared" si="19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1"/>
        <v>178.40819999999999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2">
        <f t="shared" ref="H32" si="22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1"/>
        <v>176.6591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38" si="23">C33*(E33-D33)</f>
        <v>35.699999999999932</v>
      </c>
      <c r="G33" s="39">
        <f t="shared" ref="G33:G38" si="24">D33*C33</f>
        <v>8074.8</v>
      </c>
      <c r="H33" s="222">
        <f t="shared" ref="H33:H38" si="25">(E33-D33)/D33</f>
        <v>4.421162134046655E-3</v>
      </c>
      <c r="I33" s="39"/>
      <c r="J33" s="39"/>
      <c r="K33" s="39"/>
      <c r="L33" s="155"/>
      <c r="O33" s="81">
        <v>1</v>
      </c>
      <c r="P33" s="81">
        <f t="shared" si="1"/>
        <v>174.91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2">
        <f t="shared" si="25"/>
        <v>-1.3625043095562036E-2</v>
      </c>
      <c r="I34" s="39"/>
      <c r="J34" s="39"/>
      <c r="K34" s="39"/>
      <c r="L34" s="155"/>
      <c r="O34" s="81">
        <v>0.99</v>
      </c>
      <c r="P34" s="81">
        <f t="shared" si="1"/>
        <v>173.1609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2">
        <f t="shared" si="25"/>
        <v>2.1686959757555146E-2</v>
      </c>
      <c r="I35" s="39"/>
      <c r="J35" s="39"/>
      <c r="K35" s="39"/>
      <c r="L35" s="155"/>
      <c r="O35" s="81">
        <v>0.98</v>
      </c>
      <c r="P35" s="81">
        <f t="shared" si="1"/>
        <v>171.4118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2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169.6627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2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167.9136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23"/>
        <v>809.88800000000083</v>
      </c>
      <c r="G38" s="39">
        <f t="shared" si="24"/>
        <v>6099.7119999999995</v>
      </c>
      <c r="H38" s="222">
        <f t="shared" si="25"/>
        <v>0.13277479330171668</v>
      </c>
      <c r="I38" s="39"/>
      <c r="J38" s="39"/>
      <c r="K38" s="39"/>
      <c r="L38" s="39"/>
      <c r="O38" s="81">
        <v>0.95</v>
      </c>
      <c r="P38" s="81">
        <f t="shared" si="1"/>
        <v>166.16449999999998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164.41539999999998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162.66630000000001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160.91720000000001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159.16810000000001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157.41900000000001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7" priority="37">
      <formula>F47&gt;0</formula>
    </cfRule>
    <cfRule type="expression" dxfId="1356" priority="38">
      <formula>F47&lt;0</formula>
    </cfRule>
  </conditionalFormatting>
  <conditionalFormatting sqref="Q7">
    <cfRule type="expression" dxfId="1355" priority="35">
      <formula>Q7&gt;0</formula>
    </cfRule>
    <cfRule type="expression" dxfId="1354" priority="36">
      <formula>Q7&lt;0</formula>
    </cfRule>
  </conditionalFormatting>
  <conditionalFormatting sqref="Q8">
    <cfRule type="expression" dxfId="1353" priority="33">
      <formula>Q8&gt;0</formula>
    </cfRule>
    <cfRule type="expression" dxfId="1352" priority="34">
      <formula>Q8&lt;0</formula>
    </cfRule>
  </conditionalFormatting>
  <conditionalFormatting sqref="F31:F46">
    <cfRule type="expression" dxfId="1351" priority="31">
      <formula>F31&gt;0</formula>
    </cfRule>
    <cfRule type="expression" dxfId="1350" priority="32">
      <formula>F31&lt;0</formula>
    </cfRule>
  </conditionalFormatting>
  <conditionalFormatting sqref="H31:H46">
    <cfRule type="expression" dxfId="1349" priority="29">
      <formula>H31&gt;0</formula>
    </cfRule>
    <cfRule type="expression" dxfId="1348" priority="30">
      <formula>H31&lt;0</formula>
    </cfRule>
  </conditionalFormatting>
  <conditionalFormatting sqref="Q10">
    <cfRule type="expression" dxfId="1347" priority="27">
      <formula>Q10&gt;0</formula>
    </cfRule>
    <cfRule type="expression" dxfId="1346" priority="28">
      <formula>Q10&lt;0</formula>
    </cfRule>
  </conditionalFormatting>
  <conditionalFormatting sqref="J25:J38">
    <cfRule type="expression" dxfId="1345" priority="25">
      <formula>J25&gt;0</formula>
    </cfRule>
    <cfRule type="expression" dxfId="1344" priority="26">
      <formula>J25&lt;0</formula>
    </cfRule>
  </conditionalFormatting>
  <conditionalFormatting sqref="K25:K38">
    <cfRule type="expression" dxfId="1343" priority="23">
      <formula>K25&gt;0</formula>
    </cfRule>
    <cfRule type="expression" dxfId="1342" priority="24">
      <formula>K25&lt;0</formula>
    </cfRule>
  </conditionalFormatting>
  <conditionalFormatting sqref="L25:L38">
    <cfRule type="expression" dxfId="1341" priority="21">
      <formula>L25&gt;0</formula>
    </cfRule>
    <cfRule type="expression" dxfId="1340" priority="22">
      <formula>L25&lt;0</formula>
    </cfRule>
  </conditionalFormatting>
  <conditionalFormatting sqref="F89:F110">
    <cfRule type="expression" dxfId="1339" priority="19">
      <formula>F89&gt;0</formula>
    </cfRule>
    <cfRule type="expression" dxfId="1338" priority="20">
      <formula>F89&lt;0</formula>
    </cfRule>
  </conditionalFormatting>
  <conditionalFormatting sqref="H89:H110">
    <cfRule type="expression" dxfId="1337" priority="17">
      <formula>H89&gt;0</formula>
    </cfRule>
    <cfRule type="expression" dxfId="1336" priority="18">
      <formula>H89&lt;0</formula>
    </cfRule>
  </conditionalFormatting>
  <conditionalFormatting sqref="J89:J102">
    <cfRule type="expression" dxfId="1335" priority="15">
      <formula>J89&gt;0</formula>
    </cfRule>
    <cfRule type="expression" dxfId="1334" priority="16">
      <formula>J89&lt;0</formula>
    </cfRule>
  </conditionalFormatting>
  <conditionalFormatting sqref="K89:K102">
    <cfRule type="expression" dxfId="1333" priority="13">
      <formula>K89&gt;0</formula>
    </cfRule>
    <cfRule type="expression" dxfId="1332" priority="14">
      <formula>K89&lt;0</formula>
    </cfRule>
  </conditionalFormatting>
  <conditionalFormatting sqref="L89:L102">
    <cfRule type="expression" dxfId="1331" priority="11">
      <formula>L89&gt;0</formula>
    </cfRule>
    <cfRule type="expression" dxfId="1330" priority="12">
      <formula>L89&lt;0</formula>
    </cfRule>
  </conditionalFormatting>
  <conditionalFormatting sqref="F25:F28">
    <cfRule type="expression" dxfId="1329" priority="9">
      <formula>F25&gt;0</formula>
    </cfRule>
    <cfRule type="expression" dxfId="1328" priority="10">
      <formula>F25&lt;0</formula>
    </cfRule>
  </conditionalFormatting>
  <conditionalFormatting sqref="H25:H28">
    <cfRule type="expression" dxfId="1327" priority="7">
      <formula>H25&gt;0</formula>
    </cfRule>
    <cfRule type="expression" dxfId="1326" priority="8">
      <formula>H25&lt;0</formula>
    </cfRule>
  </conditionalFormatting>
  <conditionalFormatting sqref="F29:F30">
    <cfRule type="expression" dxfId="1325" priority="3">
      <formula>F29&gt;0</formula>
    </cfRule>
    <cfRule type="expression" dxfId="1324" priority="4">
      <formula>F29&lt;0</formula>
    </cfRule>
  </conditionalFormatting>
  <conditionalFormatting sqref="H29:H30">
    <cfRule type="expression" dxfId="1323" priority="1">
      <formula>H29&gt;0</formula>
    </cfRule>
    <cfRule type="expression" dxfId="1322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736</v>
      </c>
      <c r="B2" s="434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300</v>
      </c>
      <c r="U2" t="s">
        <v>1023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66.632166666666677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"/>
      <c r="O4" s="11" t="s">
        <v>66</v>
      </c>
      <c r="Q4" s="54">
        <v>64.059899999999999</v>
      </c>
      <c r="R4" s="495">
        <v>1.04E-2</v>
      </c>
      <c r="T4" s="1">
        <v>43114</v>
      </c>
      <c r="U4" t="s">
        <v>887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19217.97</v>
      </c>
      <c r="T5" s="1"/>
      <c r="U5" t="s">
        <v>888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19989.650000000001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-771.68000000000029</v>
      </c>
      <c r="R7">
        <v>300</v>
      </c>
      <c r="T7" s="1">
        <v>43187</v>
      </c>
      <c r="U7" t="s">
        <v>979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6"/>
      <c r="I8" s="554"/>
      <c r="J8" s="3"/>
      <c r="K8" s="3"/>
      <c r="L8" s="4"/>
      <c r="M8" s="4"/>
      <c r="O8" s="11" t="s">
        <v>180</v>
      </c>
      <c r="P8" s="33"/>
      <c r="Q8" s="2">
        <f>K18+M18-F18+Q2*Q4</f>
        <v>-771.68000000000029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6"/>
      <c r="I9" s="554"/>
      <c r="J9" s="3"/>
      <c r="K9" s="3"/>
      <c r="L9" s="4"/>
      <c r="M9" s="4"/>
      <c r="O9" s="11" t="s">
        <v>209</v>
      </c>
      <c r="Q9" s="134">
        <f>IF(Q2=0, 0, Q8/Q6)</f>
        <v>-3.8603977558386474E-2</v>
      </c>
      <c r="T9" s="1">
        <v>43212</v>
      </c>
      <c r="U9" t="s">
        <v>1024</v>
      </c>
      <c r="V9" s="134"/>
    </row>
    <row r="10" spans="1:22" x14ac:dyDescent="0.25">
      <c r="A10" t="s">
        <v>783</v>
      </c>
      <c r="B10" s="43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208</v>
      </c>
      <c r="P10" s="33"/>
      <c r="Q10" s="2">
        <f>M66</f>
        <v>0</v>
      </c>
      <c r="U10" t="s">
        <v>1025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2.4976623441497724E-2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948</v>
      </c>
      <c r="Q12" s="1" t="s">
        <v>1121</v>
      </c>
      <c r="T12" s="1">
        <v>43237</v>
      </c>
      <c r="U12" t="s">
        <v>1091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975</v>
      </c>
      <c r="Q13" s="2">
        <f>Q4/(5.85+6.05)*2</f>
        <v>10.76636974789916</v>
      </c>
      <c r="V13" s="134"/>
    </row>
    <row r="14" spans="1:22" x14ac:dyDescent="0.25">
      <c r="B14" s="72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1114</v>
      </c>
      <c r="T14" s="1">
        <v>43242</v>
      </c>
      <c r="U14" t="s">
        <v>1077</v>
      </c>
      <c r="V14" s="134"/>
    </row>
    <row r="15" spans="1:22" x14ac:dyDescent="0.25">
      <c r="H15" s="70"/>
      <c r="O15" s="11" t="s">
        <v>1042</v>
      </c>
      <c r="Q15" s="29">
        <v>43226</v>
      </c>
      <c r="V15" s="134"/>
    </row>
    <row r="16" spans="1:22" x14ac:dyDescent="0.25">
      <c r="H16" s="70"/>
      <c r="T16" s="1">
        <v>43260</v>
      </c>
      <c r="U16" t="s">
        <v>1131</v>
      </c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450</v>
      </c>
      <c r="I18" s="794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31491</v>
      </c>
      <c r="G19" s="343"/>
      <c r="H19" s="343">
        <f>SumByColor($A$19,H2:H17)</f>
        <v>450</v>
      </c>
      <c r="I19" s="795"/>
      <c r="J19" s="343"/>
      <c r="K19" s="344">
        <f>SumByColor($A$19,K2:K17)</f>
        <v>32022</v>
      </c>
      <c r="L19" s="343"/>
      <c r="M19" s="344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50" t="s">
        <v>78</v>
      </c>
      <c r="P21" s="850"/>
      <c r="V21" s="134"/>
    </row>
    <row r="22" spans="1:22" ht="15.75" thickTop="1" x14ac:dyDescent="0.25">
      <c r="O22" s="81">
        <v>1.1000000000000001</v>
      </c>
      <c r="P22" s="81">
        <f>O22*$Q$4</f>
        <v>70.465890000000002</v>
      </c>
      <c r="V22" s="134"/>
    </row>
    <row r="23" spans="1:22" x14ac:dyDescent="0.25">
      <c r="O23" s="81">
        <v>1.0900000000000001</v>
      </c>
      <c r="P23" s="81">
        <f t="shared" ref="P23:P42" si="2">O23*$Q$4</f>
        <v>69.825291000000007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975</v>
      </c>
      <c r="O24" s="81">
        <v>1.08</v>
      </c>
      <c r="P24" s="81">
        <f t="shared" si="2"/>
        <v>69.184691999999998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68.544093000000004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67.903494000000009</v>
      </c>
      <c r="V26" s="134"/>
    </row>
    <row r="27" spans="1:22" x14ac:dyDescent="0.25">
      <c r="A27" s="1">
        <v>43028</v>
      </c>
      <c r="B27" s="184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67.262895</v>
      </c>
      <c r="V27" s="134"/>
    </row>
    <row r="28" spans="1:22" x14ac:dyDescent="0.25">
      <c r="A28" s="1">
        <v>43028</v>
      </c>
      <c r="B28" s="184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66.622296000000006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65.981696999999997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65.341098000000002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64.700498999999994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64.059899999999999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763</v>
      </c>
      <c r="J33" s="39"/>
      <c r="K33" s="39"/>
      <c r="L33" s="727"/>
      <c r="M33" s="727"/>
      <c r="O33" s="81">
        <v>0.99</v>
      </c>
      <c r="P33" s="81">
        <f t="shared" si="2"/>
        <v>63.419300999999997</v>
      </c>
      <c r="V33" s="134"/>
    </row>
    <row r="34" spans="1:22" x14ac:dyDescent="0.25">
      <c r="B34" s="184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765</v>
      </c>
      <c r="J34" s="39"/>
      <c r="K34" s="39"/>
      <c r="L34" s="727"/>
      <c r="M34" s="727"/>
      <c r="O34" s="81">
        <v>0.98</v>
      </c>
      <c r="P34" s="81">
        <f t="shared" si="2"/>
        <v>62.778701999999996</v>
      </c>
      <c r="V34" s="134"/>
    </row>
    <row r="35" spans="1:22" x14ac:dyDescent="0.25">
      <c r="B35" s="184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62.138102999999994</v>
      </c>
      <c r="V35" s="134"/>
    </row>
    <row r="36" spans="1:22" x14ac:dyDescent="0.25">
      <c r="A36">
        <v>100</v>
      </c>
      <c r="B36" s="184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770</v>
      </c>
      <c r="J36" s="39"/>
      <c r="K36" s="39"/>
      <c r="L36" s="727"/>
      <c r="M36" s="727"/>
      <c r="O36" s="81">
        <v>0.96</v>
      </c>
      <c r="P36" s="81">
        <f t="shared" si="2"/>
        <v>61.497503999999999</v>
      </c>
      <c r="V36" s="134"/>
    </row>
    <row r="37" spans="1:22" x14ac:dyDescent="0.25">
      <c r="A37">
        <v>100</v>
      </c>
      <c r="B37" s="184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774</v>
      </c>
      <c r="J37" s="39"/>
      <c r="K37" s="39"/>
      <c r="L37" s="39"/>
      <c r="M37" s="39"/>
      <c r="O37" s="81">
        <v>0.95</v>
      </c>
      <c r="P37" s="81">
        <f t="shared" si="2"/>
        <v>60.856904999999998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781</v>
      </c>
      <c r="J38" s="39"/>
      <c r="K38" s="39"/>
      <c r="L38" s="39"/>
      <c r="M38" s="39"/>
      <c r="O38" s="81">
        <v>0.94</v>
      </c>
      <c r="P38" s="81">
        <f t="shared" si="2"/>
        <v>60.216305999999996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845</v>
      </c>
      <c r="J39" s="39"/>
      <c r="K39" s="39"/>
      <c r="L39" s="39"/>
      <c r="M39" s="39"/>
      <c r="O39" s="81">
        <v>0.93</v>
      </c>
      <c r="P39" s="81">
        <f t="shared" si="2"/>
        <v>59.575707000000001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851</v>
      </c>
      <c r="J40" s="39"/>
      <c r="K40" s="39"/>
      <c r="L40" s="39"/>
      <c r="M40" s="39"/>
      <c r="O40" s="81">
        <v>0.92</v>
      </c>
      <c r="P40" s="81">
        <f t="shared" si="2"/>
        <v>58.935108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58.294508999999998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57.653910000000003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955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956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957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59" si="42">C55*(E55-D55)</f>
        <v>-380.00000000000114</v>
      </c>
      <c r="G55" s="39">
        <f t="shared" ref="G55:G59" si="43">D55*C55</f>
        <v>13802.000000000002</v>
      </c>
      <c r="H55" s="222">
        <f t="shared" ref="H55:H59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>
        <v>200</v>
      </c>
      <c r="B59" s="184">
        <v>43241</v>
      </c>
      <c r="C59" s="10">
        <v>300</v>
      </c>
      <c r="D59" s="39">
        <v>66.63</v>
      </c>
      <c r="E59" s="39">
        <v>64.5</v>
      </c>
      <c r="F59" s="39">
        <f t="shared" si="42"/>
        <v>-638.99999999999864</v>
      </c>
      <c r="G59" s="39">
        <f t="shared" si="43"/>
        <v>19989</v>
      </c>
      <c r="H59" s="222">
        <f t="shared" si="44"/>
        <v>-3.1967582170193541E-2</v>
      </c>
      <c r="I59" s="193"/>
      <c r="J59" s="39"/>
      <c r="K59" s="39"/>
      <c r="L59" s="39"/>
      <c r="M59" s="39">
        <v>10.84</v>
      </c>
    </row>
    <row r="60" spans="1:22" x14ac:dyDescent="0.25">
      <c r="A60" s="4"/>
      <c r="B60" s="184"/>
      <c r="C60" s="10"/>
      <c r="D60" s="39"/>
      <c r="E60" s="39"/>
      <c r="F60" s="39"/>
      <c r="G60" s="39"/>
      <c r="H60" s="222"/>
      <c r="I60" s="193"/>
      <c r="J60" s="39"/>
      <c r="K60" s="39"/>
      <c r="L60" s="39"/>
      <c r="M60" s="39"/>
    </row>
    <row r="61" spans="1:22" x14ac:dyDescent="0.25">
      <c r="A61" s="4"/>
      <c r="B61" s="184"/>
      <c r="C61" s="10"/>
      <c r="D61" s="39"/>
      <c r="E61" s="39"/>
      <c r="F61" s="39"/>
      <c r="G61" s="39"/>
      <c r="H61" s="222"/>
      <c r="I61" s="193"/>
      <c r="J61" s="39"/>
      <c r="K61" s="39"/>
      <c r="L61" s="39"/>
      <c r="M61" s="39"/>
    </row>
    <row r="62" spans="1:22" x14ac:dyDescent="0.25">
      <c r="A62" s="4"/>
      <c r="B62" s="184"/>
      <c r="C62" s="10"/>
      <c r="D62" s="39"/>
      <c r="E62" s="39"/>
      <c r="F62" s="39"/>
      <c r="G62" s="39"/>
      <c r="H62" s="222"/>
      <c r="I62" s="193"/>
      <c r="J62" s="39"/>
      <c r="K62" s="39"/>
      <c r="L62" s="39"/>
      <c r="M62" s="39"/>
      <c r="V62" s="134"/>
    </row>
    <row r="63" spans="1:22" x14ac:dyDescent="0.25">
      <c r="A63" s="4"/>
      <c r="B63" s="184"/>
      <c r="C63" s="10"/>
      <c r="D63" s="39"/>
      <c r="E63" s="39"/>
      <c r="F63" s="39"/>
      <c r="G63" s="39"/>
      <c r="H63" s="222"/>
      <c r="I63" s="193"/>
      <c r="J63" s="39"/>
      <c r="K63" s="39"/>
      <c r="L63" s="39"/>
      <c r="M63" s="39"/>
      <c r="V63" s="134"/>
    </row>
    <row r="64" spans="1:22" x14ac:dyDescent="0.25">
      <c r="A64" s="4"/>
      <c r="B64" s="184"/>
      <c r="C64" s="10"/>
      <c r="D64" s="39"/>
      <c r="E64" s="39"/>
      <c r="F64" s="39"/>
      <c r="G64" s="39"/>
      <c r="H64" s="222"/>
      <c r="I64" s="193"/>
      <c r="J64" s="39"/>
      <c r="K64" s="39"/>
      <c r="L64" s="39"/>
      <c r="M64" s="39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4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4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796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735</v>
      </c>
      <c r="B68" s="496"/>
      <c r="C68" s="497"/>
      <c r="D68" s="499"/>
      <c r="E68" s="499"/>
      <c r="F68" s="499"/>
      <c r="G68" s="496"/>
      <c r="H68" s="513"/>
      <c r="I68" s="797"/>
      <c r="J68" s="499"/>
      <c r="K68" s="499"/>
      <c r="L68" s="496"/>
      <c r="M68" s="499"/>
      <c r="V68" s="134"/>
    </row>
    <row r="69" spans="1:22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797"/>
      <c r="J69" s="499"/>
      <c r="K69" s="499"/>
      <c r="L69" s="497"/>
      <c r="M69" s="497"/>
      <c r="V69" s="134"/>
    </row>
    <row r="70" spans="1:22" x14ac:dyDescent="0.25">
      <c r="A70" s="497"/>
      <c r="B70" s="496"/>
      <c r="C70" s="497"/>
      <c r="D70" s="499"/>
      <c r="E70" s="499"/>
      <c r="F70" s="499"/>
      <c r="G70" s="496"/>
      <c r="H70" s="513"/>
      <c r="I70" s="797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797"/>
      <c r="J71" s="499"/>
      <c r="K71" s="499"/>
      <c r="L71" s="497"/>
      <c r="M71" s="497"/>
    </row>
    <row r="72" spans="1:22" x14ac:dyDescent="0.25">
      <c r="A72" s="497"/>
      <c r="B72" s="496"/>
      <c r="C72" s="497"/>
      <c r="D72" s="499"/>
      <c r="E72" s="499"/>
      <c r="F72" s="499"/>
      <c r="G72" s="497"/>
      <c r="H72" s="513"/>
      <c r="I72" s="797"/>
      <c r="J72" s="499"/>
      <c r="K72" s="499"/>
      <c r="L72" s="497"/>
      <c r="M72" s="497"/>
    </row>
    <row r="73" spans="1:22" x14ac:dyDescent="0.25">
      <c r="A73" s="497"/>
      <c r="B73" s="497"/>
      <c r="C73" s="497"/>
      <c r="D73" s="499"/>
      <c r="E73" s="499"/>
      <c r="F73" s="499"/>
      <c r="G73" s="497"/>
      <c r="H73" s="513"/>
      <c r="I73" s="797"/>
      <c r="J73" s="499"/>
      <c r="K73" s="499"/>
      <c r="L73" s="497"/>
      <c r="M73" s="497"/>
    </row>
    <row r="74" spans="1:22" x14ac:dyDescent="0.25">
      <c r="A74" s="497"/>
      <c r="B74" s="497"/>
      <c r="C74" s="497"/>
      <c r="D74" s="499"/>
      <c r="E74" s="499"/>
      <c r="F74" s="499"/>
      <c r="G74" s="497"/>
      <c r="H74" s="513"/>
      <c r="I74" s="797"/>
      <c r="J74" s="499"/>
      <c r="K74" s="499"/>
      <c r="L74" s="497"/>
      <c r="M74" s="497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797"/>
      <c r="J75" s="499"/>
      <c r="K75" s="499"/>
      <c r="L75" s="497"/>
      <c r="M75" s="497"/>
    </row>
    <row r="76" spans="1:22" x14ac:dyDescent="0.25">
      <c r="A76" s="497"/>
      <c r="B76" s="497"/>
      <c r="C76" s="497"/>
      <c r="D76" s="499"/>
      <c r="E76" s="499"/>
      <c r="F76" s="499"/>
      <c r="G76" s="497"/>
      <c r="H76" s="513"/>
      <c r="I76" s="797"/>
      <c r="J76" s="499"/>
      <c r="K76" s="499"/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797"/>
      <c r="J77" s="499"/>
      <c r="K77" s="499"/>
      <c r="L77" s="497"/>
      <c r="M77" s="497"/>
    </row>
    <row r="78" spans="1:22" x14ac:dyDescent="0.25">
      <c r="A78" s="497"/>
      <c r="B78" s="497"/>
      <c r="C78" s="497"/>
      <c r="D78" s="499"/>
      <c r="E78" s="499"/>
      <c r="F78" s="499"/>
      <c r="G78" s="497"/>
      <c r="H78" s="513"/>
      <c r="I78" s="797"/>
      <c r="J78" s="499"/>
      <c r="K78" s="499"/>
      <c r="L78" s="497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797"/>
      <c r="J79" s="499"/>
      <c r="K79" s="499"/>
      <c r="L79" s="497"/>
      <c r="M79" s="497"/>
    </row>
    <row r="80" spans="1:22" x14ac:dyDescent="0.25">
      <c r="A80" s="497"/>
      <c r="B80" s="497"/>
      <c r="C80" s="497"/>
      <c r="D80" s="499"/>
      <c r="E80" s="499"/>
      <c r="F80" s="499"/>
      <c r="G80" s="497"/>
      <c r="H80" s="513"/>
      <c r="I80" s="797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797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797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797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798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799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193"/>
    </row>
    <row r="90" spans="1:13" x14ac:dyDescent="0.25">
      <c r="B90" s="184"/>
      <c r="C90" s="10"/>
      <c r="D90" s="39"/>
      <c r="E90" s="39"/>
      <c r="F90" s="39"/>
      <c r="G90" s="39"/>
      <c r="H90" s="222"/>
      <c r="I90" s="193"/>
    </row>
    <row r="91" spans="1:13" x14ac:dyDescent="0.25">
      <c r="B91" s="184"/>
      <c r="C91" s="10"/>
      <c r="D91" s="39"/>
      <c r="E91" s="39"/>
      <c r="F91" s="39"/>
      <c r="G91" s="39"/>
      <c r="H91" s="222"/>
      <c r="I91" s="193"/>
    </row>
    <row r="92" spans="1:13" x14ac:dyDescent="0.25">
      <c r="B92" s="184"/>
      <c r="C92" s="10"/>
      <c r="D92" s="39"/>
      <c r="E92" s="39"/>
      <c r="F92" s="39"/>
      <c r="G92" s="39"/>
      <c r="H92" s="222"/>
      <c r="I92" s="193"/>
    </row>
    <row r="93" spans="1:13" x14ac:dyDescent="0.25">
      <c r="B93" s="184"/>
      <c r="C93" s="10"/>
      <c r="D93" s="39"/>
      <c r="E93" s="39"/>
      <c r="F93" s="39"/>
      <c r="G93" s="39"/>
      <c r="H93" s="222"/>
      <c r="I93" s="193"/>
    </row>
    <row r="94" spans="1:13" x14ac:dyDescent="0.25">
      <c r="B94" s="184"/>
      <c r="C94" s="10"/>
      <c r="D94" s="39"/>
      <c r="E94" s="39"/>
      <c r="F94" s="39"/>
      <c r="G94" s="39"/>
      <c r="H94" s="222"/>
      <c r="I94" s="193"/>
    </row>
    <row r="95" spans="1:13" x14ac:dyDescent="0.25">
      <c r="B95" s="184"/>
      <c r="C95" s="10"/>
      <c r="D95" s="39"/>
      <c r="E95" s="39"/>
      <c r="F95" s="39"/>
      <c r="G95" s="39"/>
      <c r="H95" s="222"/>
      <c r="I95" s="193"/>
    </row>
    <row r="96" spans="1:13" x14ac:dyDescent="0.25">
      <c r="B96" s="184"/>
      <c r="C96" s="10"/>
      <c r="D96" s="39"/>
      <c r="E96" s="39"/>
      <c r="F96" s="39"/>
      <c r="G96" s="39"/>
      <c r="H96" s="222"/>
      <c r="I96" s="193"/>
    </row>
    <row r="97" spans="2:9" x14ac:dyDescent="0.25">
      <c r="B97" s="184"/>
      <c r="C97" s="10"/>
      <c r="D97" s="39"/>
      <c r="E97" s="39"/>
      <c r="F97" s="39"/>
      <c r="G97" s="39"/>
      <c r="H97" s="222"/>
      <c r="I97" s="193"/>
    </row>
    <row r="98" spans="2:9" x14ac:dyDescent="0.25">
      <c r="B98" s="184"/>
      <c r="C98" s="10"/>
      <c r="D98" s="39"/>
      <c r="E98" s="39"/>
      <c r="F98" s="39"/>
      <c r="G98" s="39"/>
      <c r="H98" s="222"/>
      <c r="I98" s="193"/>
    </row>
    <row r="99" spans="2:9" x14ac:dyDescent="0.25">
      <c r="B99" s="184"/>
      <c r="C99" s="10"/>
      <c r="D99" s="39"/>
      <c r="E99" s="39"/>
      <c r="F99" s="39"/>
      <c r="G99" s="39"/>
      <c r="H99" s="222"/>
      <c r="I99" s="193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193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193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193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193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193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193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21" priority="21">
      <formula>Q7&gt;0</formula>
    </cfRule>
    <cfRule type="expression" dxfId="1320" priority="22">
      <formula>Q7&lt;0</formula>
    </cfRule>
  </conditionalFormatting>
  <conditionalFormatting sqref="Q8">
    <cfRule type="expression" dxfId="1319" priority="19">
      <formula>Q8&gt;0</formula>
    </cfRule>
    <cfRule type="expression" dxfId="1318" priority="20">
      <formula>Q8&lt;0</formula>
    </cfRule>
  </conditionalFormatting>
  <conditionalFormatting sqref="F25:F64">
    <cfRule type="expression" dxfId="1317" priority="17">
      <formula>F25&gt;0</formula>
    </cfRule>
    <cfRule type="expression" dxfId="1316" priority="18">
      <formula>F25&lt;0</formula>
    </cfRule>
  </conditionalFormatting>
  <conditionalFormatting sqref="H25:H64">
    <cfRule type="expression" dxfId="1315" priority="15">
      <formula>H25&gt;0</formula>
    </cfRule>
    <cfRule type="expression" dxfId="1314" priority="16">
      <formula>H25&lt;0</formula>
    </cfRule>
  </conditionalFormatting>
  <conditionalFormatting sqref="F89:F110">
    <cfRule type="expression" dxfId="1313" priority="13">
      <formula>F89&gt;0</formula>
    </cfRule>
    <cfRule type="expression" dxfId="1312" priority="14">
      <formula>F89&lt;0</formula>
    </cfRule>
  </conditionalFormatting>
  <conditionalFormatting sqref="H89:H110">
    <cfRule type="expression" dxfId="1311" priority="11">
      <formula>H89&gt;0</formula>
    </cfRule>
    <cfRule type="expression" dxfId="1310" priority="12">
      <formula>H89&lt;0</formula>
    </cfRule>
  </conditionalFormatting>
  <conditionalFormatting sqref="Q10">
    <cfRule type="expression" dxfId="1309" priority="9">
      <formula>Q10&gt;0</formula>
    </cfRule>
    <cfRule type="expression" dxfId="1308" priority="10">
      <formula>Q10&lt;0</formula>
    </cfRule>
  </conditionalFormatting>
  <conditionalFormatting sqref="J25:J38">
    <cfRule type="expression" dxfId="1307" priority="7">
      <formula>J25&gt;0</formula>
    </cfRule>
    <cfRule type="expression" dxfId="1306" priority="8">
      <formula>J25&lt;0</formula>
    </cfRule>
  </conditionalFormatting>
  <conditionalFormatting sqref="K25:K38">
    <cfRule type="expression" dxfId="1305" priority="5">
      <formula>K25&gt;0</formula>
    </cfRule>
    <cfRule type="expression" dxfId="1304" priority="6">
      <formula>K25&lt;0</formula>
    </cfRule>
  </conditionalFormatting>
  <conditionalFormatting sqref="L25:L29 L31:L38">
    <cfRule type="expression" dxfId="1303" priority="3">
      <formula>L25&gt;0</formula>
    </cfRule>
    <cfRule type="expression" dxfId="1302" priority="4">
      <formula>L25&lt;0</formula>
    </cfRule>
  </conditionalFormatting>
  <conditionalFormatting sqref="M25:M38">
    <cfRule type="expression" dxfId="1301" priority="1">
      <formula>M25&gt;0</formula>
    </cfRule>
    <cfRule type="expression" dxfId="1300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735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674.39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674.39</v>
      </c>
      <c r="R4" s="495">
        <v>-2.5000000000000001E-3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741.82900000000006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735.08510000000001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728.34120000000007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721.59730000000002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714.85339999999997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708.10950000000003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701.36559999999997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694.62170000000003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687.87779999999998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681.13390000000004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674.39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667.64609999999993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660.90219999999999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654.15829999999994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647.4144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640.67049999999995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633.92660000000001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627.18270000000007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620.43880000000001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613.69489999999996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606.95100000000002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735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99" priority="21">
      <formula>F47&gt;0</formula>
    </cfRule>
    <cfRule type="expression" dxfId="1298" priority="22">
      <formula>F47&lt;0</formula>
    </cfRule>
  </conditionalFormatting>
  <conditionalFormatting sqref="Q7">
    <cfRule type="expression" dxfId="1297" priority="19">
      <formula>Q7&gt;0</formula>
    </cfRule>
    <cfRule type="expression" dxfId="1296" priority="20">
      <formula>Q7&lt;0</formula>
    </cfRule>
  </conditionalFormatting>
  <conditionalFormatting sqref="Q8">
    <cfRule type="expression" dxfId="1295" priority="17">
      <formula>Q8&gt;0</formula>
    </cfRule>
    <cfRule type="expression" dxfId="1294" priority="18">
      <formula>Q8&lt;0</formula>
    </cfRule>
  </conditionalFormatting>
  <conditionalFormatting sqref="F25:F46">
    <cfRule type="expression" dxfId="1293" priority="15">
      <formula>F25&gt;0</formula>
    </cfRule>
    <cfRule type="expression" dxfId="1292" priority="16">
      <formula>F25&lt;0</formula>
    </cfRule>
  </conditionalFormatting>
  <conditionalFormatting sqref="H25:H46">
    <cfRule type="expression" dxfId="1291" priority="13">
      <formula>H25&gt;0</formula>
    </cfRule>
    <cfRule type="expression" dxfId="1290" priority="14">
      <formula>H25&lt;0</formula>
    </cfRule>
  </conditionalFormatting>
  <conditionalFormatting sqref="F89:F110">
    <cfRule type="expression" dxfId="1289" priority="11">
      <formula>F89&gt;0</formula>
    </cfRule>
    <cfRule type="expression" dxfId="1288" priority="12">
      <formula>F89&lt;0</formula>
    </cfRule>
  </conditionalFormatting>
  <conditionalFormatting sqref="H89:H110">
    <cfRule type="expression" dxfId="1287" priority="9">
      <formula>H89&gt;0</formula>
    </cfRule>
    <cfRule type="expression" dxfId="1286" priority="10">
      <formula>H89&lt;0</formula>
    </cfRule>
  </conditionalFormatting>
  <conditionalFormatting sqref="Q10">
    <cfRule type="expression" dxfId="1285" priority="7">
      <formula>Q10&gt;0</formula>
    </cfRule>
    <cfRule type="expression" dxfId="1284" priority="8">
      <formula>Q10&lt;0</formula>
    </cfRule>
  </conditionalFormatting>
  <conditionalFormatting sqref="J25:J38">
    <cfRule type="expression" dxfId="1283" priority="5">
      <formula>J25&gt;0</formula>
    </cfRule>
    <cfRule type="expression" dxfId="1282" priority="6">
      <formula>J25&lt;0</formula>
    </cfRule>
  </conditionalFormatting>
  <conditionalFormatting sqref="K25:K38">
    <cfRule type="expression" dxfId="1281" priority="3">
      <formula>K25&gt;0</formula>
    </cfRule>
    <cfRule type="expression" dxfId="1280" priority="4">
      <formula>K25&lt;0</formula>
    </cfRule>
  </conditionalFormatting>
  <conditionalFormatting sqref="L25:L38">
    <cfRule type="expression" dxfId="1279" priority="1">
      <formula>L25&gt;0</formula>
    </cfRule>
    <cfRule type="expression" dxfId="127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947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ref="F3:F4" si="1"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15.022800000000025</v>
      </c>
      <c r="T3" s="1">
        <v>43161</v>
      </c>
      <c r="U3" t="s">
        <v>991</v>
      </c>
    </row>
    <row r="4" spans="1:21" x14ac:dyDescent="0.25">
      <c r="B4" s="72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58.01</v>
      </c>
      <c r="R4" s="495">
        <v>-1.54E-2</v>
      </c>
      <c r="T4" s="772"/>
      <c r="U4" s="30" t="s">
        <v>992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2900.5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751.14000000000124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2149.3599999999988</v>
      </c>
      <c r="R7">
        <v>50</v>
      </c>
      <c r="T7" s="1">
        <v>43244</v>
      </c>
      <c r="U7" t="s">
        <v>1102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2149.3599999999988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2.8614639081928739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2.3789001896224789E-2</v>
      </c>
      <c r="R11">
        <f>0.345</f>
        <v>0.34499999999999997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Q4/4.4</f>
        <v>13.184090909090907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0" t="s">
        <v>78</v>
      </c>
      <c r="P16" s="850"/>
    </row>
    <row r="17" spans="1:16" ht="15.75" thickTop="1" x14ac:dyDescent="0.25">
      <c r="O17" s="81">
        <v>1.1000000000000001</v>
      </c>
      <c r="P17" s="81">
        <f>O17*$Q$4</f>
        <v>63.811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200</v>
      </c>
      <c r="I18" s="18"/>
      <c r="J18" s="18"/>
      <c r="K18" s="18">
        <f>SUM(K2:K5)</f>
        <v>9035.8599999999988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63.230900000000005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7756</v>
      </c>
      <c r="G19" s="343"/>
      <c r="H19" s="343">
        <f>SumByColor($A$19,H2:H17)</f>
        <v>200</v>
      </c>
      <c r="I19" s="343"/>
      <c r="J19" s="343"/>
      <c r="K19" s="344">
        <f>SumByColor($A$19,K2:K17)</f>
        <v>9036</v>
      </c>
      <c r="L19" s="343"/>
      <c r="M19" s="344">
        <f>SumByColor($A$19,M2:M17)</f>
        <v>69</v>
      </c>
      <c r="O19" s="81">
        <v>1.08</v>
      </c>
      <c r="P19" s="81">
        <f t="shared" si="2"/>
        <v>62.650800000000004</v>
      </c>
    </row>
    <row r="20" spans="1:16" x14ac:dyDescent="0.25">
      <c r="O20" s="81">
        <v>1.07</v>
      </c>
      <c r="P20" s="81">
        <f t="shared" si="2"/>
        <v>62.070700000000002</v>
      </c>
    </row>
    <row r="21" spans="1:16" x14ac:dyDescent="0.25">
      <c r="O21" s="81">
        <v>1.06</v>
      </c>
      <c r="P21" s="81">
        <f t="shared" si="2"/>
        <v>61.490600000000001</v>
      </c>
    </row>
    <row r="22" spans="1:16" x14ac:dyDescent="0.25">
      <c r="O22" s="81">
        <v>1.05</v>
      </c>
      <c r="P22" s="81">
        <f t="shared" si="2"/>
        <v>60.910499999999999</v>
      </c>
    </row>
    <row r="23" spans="1:16" x14ac:dyDescent="0.25">
      <c r="O23" s="81">
        <v>1.04</v>
      </c>
      <c r="P23" s="81">
        <f t="shared" si="2"/>
        <v>60.330399999999997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1.03</v>
      </c>
      <c r="P24" s="81">
        <f t="shared" si="2"/>
        <v>59.750300000000003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59.170200000000001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58.5901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58.01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57.429899999999996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56.849799999999995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4" si="9">C30*(E30-D30)</f>
        <v>1119.9450000000006</v>
      </c>
      <c r="G30" s="39">
        <f t="shared" ref="G30:G34" si="10">D30*C30</f>
        <v>5537.0549999999994</v>
      </c>
      <c r="H30" s="222">
        <f t="shared" ref="H30:H34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56.269699999999993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55.689599999999999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55.109499999999997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9"/>
        <v>1422.9000000000003</v>
      </c>
      <c r="G33" s="39">
        <f t="shared" si="10"/>
        <v>3080.1</v>
      </c>
      <c r="H33" s="222">
        <f t="shared" si="11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54.529399999999995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9"/>
        <v>1568.3600000000001</v>
      </c>
      <c r="G34" s="39">
        <f t="shared" si="10"/>
        <v>751.14</v>
      </c>
      <c r="H34" s="222">
        <f t="shared" si="11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53.949300000000001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53.369199999999999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52.789099999999998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52.208999999999996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7" priority="35">
      <formula>F47&gt;0</formula>
    </cfRule>
    <cfRule type="expression" dxfId="1276" priority="36">
      <formula>F47&lt;0</formula>
    </cfRule>
  </conditionalFormatting>
  <conditionalFormatting sqref="Q7">
    <cfRule type="expression" dxfId="1275" priority="33">
      <formula>Q7&gt;0</formula>
    </cfRule>
    <cfRule type="expression" dxfId="1274" priority="34">
      <formula>Q7&lt;0</formula>
    </cfRule>
  </conditionalFormatting>
  <conditionalFormatting sqref="Q8">
    <cfRule type="expression" dxfId="1273" priority="31">
      <formula>Q8&gt;0</formula>
    </cfRule>
    <cfRule type="expression" dxfId="1272" priority="32">
      <formula>Q8&lt;0</formula>
    </cfRule>
  </conditionalFormatting>
  <conditionalFormatting sqref="F33:F46">
    <cfRule type="expression" dxfId="1271" priority="29">
      <formula>F33&gt;0</formula>
    </cfRule>
    <cfRule type="expression" dxfId="1270" priority="30">
      <formula>F33&lt;0</formula>
    </cfRule>
  </conditionalFormatting>
  <conditionalFormatting sqref="H33:H46">
    <cfRule type="expression" dxfId="1269" priority="27">
      <formula>H33&gt;0</formula>
    </cfRule>
    <cfRule type="expression" dxfId="1268" priority="28">
      <formula>H33&lt;0</formula>
    </cfRule>
  </conditionalFormatting>
  <conditionalFormatting sqref="Q10">
    <cfRule type="expression" dxfId="1267" priority="25">
      <formula>Q10&gt;0</formula>
    </cfRule>
    <cfRule type="expression" dxfId="1266" priority="26">
      <formula>Q10&lt;0</formula>
    </cfRule>
  </conditionalFormatting>
  <conditionalFormatting sqref="J25:J38">
    <cfRule type="expression" dxfId="1265" priority="23">
      <formula>J25&gt;0</formula>
    </cfRule>
    <cfRule type="expression" dxfId="1264" priority="24">
      <formula>J25&lt;0</formula>
    </cfRule>
  </conditionalFormatting>
  <conditionalFormatting sqref="K25:K38">
    <cfRule type="expression" dxfId="1263" priority="21">
      <formula>K25&gt;0</formula>
    </cfRule>
    <cfRule type="expression" dxfId="1262" priority="22">
      <formula>K25&lt;0</formula>
    </cfRule>
  </conditionalFormatting>
  <conditionalFormatting sqref="L25">
    <cfRule type="expression" dxfId="1261" priority="19">
      <formula>L25&gt;0</formula>
    </cfRule>
    <cfRule type="expression" dxfId="1260" priority="20">
      <formula>L25&lt;0</formula>
    </cfRule>
  </conditionalFormatting>
  <conditionalFormatting sqref="F89:F110">
    <cfRule type="expression" dxfId="1259" priority="17">
      <formula>F89&gt;0</formula>
    </cfRule>
    <cfRule type="expression" dxfId="1258" priority="18">
      <formula>F89&lt;0</formula>
    </cfRule>
  </conditionalFormatting>
  <conditionalFormatting sqref="H89:H110">
    <cfRule type="expression" dxfId="1257" priority="15">
      <formula>H89&gt;0</formula>
    </cfRule>
    <cfRule type="expression" dxfId="1256" priority="16">
      <formula>H89&lt;0</formula>
    </cfRule>
  </conditionalFormatting>
  <conditionalFormatting sqref="J89:J102">
    <cfRule type="expression" dxfId="1255" priority="13">
      <formula>J89&gt;0</formula>
    </cfRule>
    <cfRule type="expression" dxfId="1254" priority="14">
      <formula>J89&lt;0</formula>
    </cfRule>
  </conditionalFormatting>
  <conditionalFormatting sqref="K89:K102">
    <cfRule type="expression" dxfId="1253" priority="11">
      <formula>K89&gt;0</formula>
    </cfRule>
    <cfRule type="expression" dxfId="1252" priority="12">
      <formula>K89&lt;0</formula>
    </cfRule>
  </conditionalFormatting>
  <conditionalFormatting sqref="L89:L102">
    <cfRule type="expression" dxfId="1251" priority="9">
      <formula>L89&gt;0</formula>
    </cfRule>
    <cfRule type="expression" dxfId="1250" priority="10">
      <formula>L89&lt;0</formula>
    </cfRule>
  </conditionalFormatting>
  <conditionalFormatting sqref="F29:F32">
    <cfRule type="expression" dxfId="1249" priority="7">
      <formula>F29&gt;0</formula>
    </cfRule>
    <cfRule type="expression" dxfId="1248" priority="8">
      <formula>F29&lt;0</formula>
    </cfRule>
  </conditionalFormatting>
  <conditionalFormatting sqref="H29:H32">
    <cfRule type="expression" dxfId="1247" priority="5">
      <formula>H29&gt;0</formula>
    </cfRule>
    <cfRule type="expression" dxfId="1246" priority="6">
      <formula>H29&lt;0</formula>
    </cfRule>
  </conditionalFormatting>
  <conditionalFormatting sqref="F25:F28">
    <cfRule type="expression" dxfId="1245" priority="3">
      <formula>F25&gt;0</formula>
    </cfRule>
    <cfRule type="expression" dxfId="1244" priority="4">
      <formula>F25&lt;0</formula>
    </cfRule>
  </conditionalFormatting>
  <conditionalFormatting sqref="H25:H28">
    <cfRule type="expression" dxfId="1243" priority="1">
      <formula>H25&gt;0</formula>
    </cfRule>
    <cfRule type="expression" dxfId="124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10" activePane="bottomLeft" state="frozen"/>
      <selection activeCell="A2" sqref="A2"/>
      <selection pane="bottomLeft" activeCell="J27" sqref="J27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946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229.56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229.56</v>
      </c>
      <c r="R4" s="495">
        <v>-2.1600000000000001E-2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7.6668409130510543E-3</v>
      </c>
      <c r="R11">
        <v>1.76</v>
      </c>
    </row>
    <row r="12" spans="1:21" x14ac:dyDescent="0.25">
      <c r="H12" s="70"/>
      <c r="O12" s="11" t="s">
        <v>997</v>
      </c>
      <c r="Q12" s="29"/>
    </row>
    <row r="13" spans="1:21" x14ac:dyDescent="0.25">
      <c r="H13" s="70"/>
      <c r="O13" s="11" t="s">
        <v>975</v>
      </c>
      <c r="Q13">
        <f>Q4/8.62</f>
        <v>26.631090487238982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252.51600000000002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250.22040000000001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247.9248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245.62920000000003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243.33360000000002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241.03800000000001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238.7424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236.4468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234.15120000000002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231.85560000000001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229.56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227.26439999999999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224.96879999999999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222.67320000000001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220.3776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218.08199999999999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215.78639999999999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213.49080000000001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211.1952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208.89960000000002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206.60400000000001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1" priority="31">
      <formula>F47&gt;0</formula>
    </cfRule>
    <cfRule type="expression" dxfId="1240" priority="32">
      <formula>F47&lt;0</formula>
    </cfRule>
  </conditionalFormatting>
  <conditionalFormatting sqref="Q7">
    <cfRule type="expression" dxfId="1239" priority="29">
      <formula>Q7&gt;0</formula>
    </cfRule>
    <cfRule type="expression" dxfId="1238" priority="30">
      <formula>Q7&lt;0</formula>
    </cfRule>
  </conditionalFormatting>
  <conditionalFormatting sqref="Q8">
    <cfRule type="expression" dxfId="1237" priority="27">
      <formula>Q8&gt;0</formula>
    </cfRule>
    <cfRule type="expression" dxfId="1236" priority="28">
      <formula>Q8&lt;0</formula>
    </cfRule>
  </conditionalFormatting>
  <conditionalFormatting sqref="F30:F46">
    <cfRule type="expression" dxfId="1235" priority="25">
      <formula>F30&gt;0</formula>
    </cfRule>
    <cfRule type="expression" dxfId="1234" priority="26">
      <formula>F30&lt;0</formula>
    </cfRule>
  </conditionalFormatting>
  <conditionalFormatting sqref="H30:H46">
    <cfRule type="expression" dxfId="1233" priority="23">
      <formula>H30&gt;0</formula>
    </cfRule>
    <cfRule type="expression" dxfId="1232" priority="24">
      <formula>H30&lt;0</formula>
    </cfRule>
  </conditionalFormatting>
  <conditionalFormatting sqref="Q10">
    <cfRule type="expression" dxfId="1231" priority="21">
      <formula>Q10&gt;0</formula>
    </cfRule>
    <cfRule type="expression" dxfId="1230" priority="22">
      <formula>Q10&lt;0</formula>
    </cfRule>
  </conditionalFormatting>
  <conditionalFormatting sqref="J25:J38">
    <cfRule type="expression" dxfId="1229" priority="19">
      <formula>J25&gt;0</formula>
    </cfRule>
    <cfRule type="expression" dxfId="1228" priority="20">
      <formula>J25&lt;0</formula>
    </cfRule>
  </conditionalFormatting>
  <conditionalFormatting sqref="K25:K38">
    <cfRule type="expression" dxfId="1227" priority="17">
      <formula>K25&gt;0</formula>
    </cfRule>
    <cfRule type="expression" dxfId="1226" priority="18">
      <formula>K25&lt;0</formula>
    </cfRule>
  </conditionalFormatting>
  <conditionalFormatting sqref="L25:L38">
    <cfRule type="expression" dxfId="1225" priority="15">
      <formula>L25&gt;0</formula>
    </cfRule>
    <cfRule type="expression" dxfId="1224" priority="16">
      <formula>L25&lt;0</formula>
    </cfRule>
  </conditionalFormatting>
  <conditionalFormatting sqref="F89:F110">
    <cfRule type="expression" dxfId="1223" priority="13">
      <formula>F89&gt;0</formula>
    </cfRule>
    <cfRule type="expression" dxfId="1222" priority="14">
      <formula>F89&lt;0</formula>
    </cfRule>
  </conditionalFormatting>
  <conditionalFormatting sqref="H89:H110">
    <cfRule type="expression" dxfId="1221" priority="11">
      <formula>H89&gt;0</formula>
    </cfRule>
    <cfRule type="expression" dxfId="1220" priority="12">
      <formula>H89&lt;0</formula>
    </cfRule>
  </conditionalFormatting>
  <conditionalFormatting sqref="J89:J102">
    <cfRule type="expression" dxfId="1219" priority="9">
      <formula>J89&gt;0</formula>
    </cfRule>
    <cfRule type="expression" dxfId="1218" priority="10">
      <formula>J89&lt;0</formula>
    </cfRule>
  </conditionalFormatting>
  <conditionalFormatting sqref="K89:K102">
    <cfRule type="expression" dxfId="1217" priority="7">
      <formula>K89&gt;0</formula>
    </cfRule>
    <cfRule type="expression" dxfId="1216" priority="8">
      <formula>K89&lt;0</formula>
    </cfRule>
  </conditionalFormatting>
  <conditionalFormatting sqref="L89:L102">
    <cfRule type="expression" dxfId="1215" priority="5">
      <formula>L89&gt;0</formula>
    </cfRule>
    <cfRule type="expression" dxfId="1214" priority="6">
      <formula>L89&lt;0</formula>
    </cfRule>
  </conditionalFormatting>
  <conditionalFormatting sqref="F25:F29">
    <cfRule type="expression" dxfId="1213" priority="3">
      <formula>F25&gt;0</formula>
    </cfRule>
    <cfRule type="expression" dxfId="1212" priority="4">
      <formula>F25&lt;0</formula>
    </cfRule>
  </conditionalFormatting>
  <conditionalFormatting sqref="H25:H29">
    <cfRule type="expression" dxfId="1211" priority="1">
      <formula>H25&gt;0</formula>
    </cfRule>
    <cfRule type="expression" dxfId="121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64.347499999999997</v>
      </c>
      <c r="T3" s="1">
        <v>43223</v>
      </c>
      <c r="U3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59.88</v>
      </c>
      <c r="R4" s="495">
        <v>2.41E-2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5988</v>
      </c>
      <c r="T5" s="1">
        <v>43248</v>
      </c>
      <c r="U5" t="s">
        <v>1117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-446.75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-446.75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-6.9427716694510283E-2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4.1750167000667998E-2</v>
      </c>
      <c r="R11">
        <f>0.625</f>
        <v>0.625</v>
      </c>
    </row>
    <row r="12" spans="1:21" x14ac:dyDescent="0.25">
      <c r="H12" s="70"/>
      <c r="O12" s="11" t="s">
        <v>1012</v>
      </c>
      <c r="Q12" s="1"/>
    </row>
    <row r="13" spans="1:21" x14ac:dyDescent="0.25">
      <c r="H13" s="70"/>
      <c r="O13" s="11" t="s">
        <v>975</v>
      </c>
      <c r="Q13">
        <f>Q4/3.79</f>
        <v>15.799472295514512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31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2" si="13">C29*(E29-D29)</f>
        <v>-364.74999999999937</v>
      </c>
      <c r="G29" s="39">
        <f t="shared" ref="G29:G32" si="14">D29*C29</f>
        <v>6434.75</v>
      </c>
      <c r="H29" s="222">
        <f t="shared" ref="H29:H32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3"/>
        <v>-789.74999999999932</v>
      </c>
      <c r="G32" s="39">
        <f t="shared" si="14"/>
        <v>6434.75</v>
      </c>
      <c r="H32" s="222">
        <f t="shared" si="15"/>
        <v>-0.12273204087182865</v>
      </c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65.868000000000009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65.269200000000012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64.670400000000001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64.071600000000004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63.472800000000007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62.874000000000002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62.275200000000005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61.676400000000001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61.077600000000004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60.4788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59.88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59.281200000000005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58.682400000000001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58.083600000000004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57.4848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56.886000000000003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56.287199999999999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55.688400000000009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55.089600000000004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54.490800000000007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53.892000000000003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9" priority="31">
      <formula>F47&gt;0</formula>
    </cfRule>
    <cfRule type="expression" dxfId="1208" priority="32">
      <formula>F47&lt;0</formula>
    </cfRule>
  </conditionalFormatting>
  <conditionalFormatting sqref="Q7">
    <cfRule type="expression" dxfId="1207" priority="29">
      <formula>Q7&gt;0</formula>
    </cfRule>
    <cfRule type="expression" dxfId="1206" priority="30">
      <formula>Q7&lt;0</formula>
    </cfRule>
  </conditionalFormatting>
  <conditionalFormatting sqref="Q8">
    <cfRule type="expression" dxfId="1205" priority="27">
      <formula>Q8&gt;0</formula>
    </cfRule>
    <cfRule type="expression" dxfId="1204" priority="28">
      <formula>Q8&lt;0</formula>
    </cfRule>
  </conditionalFormatting>
  <conditionalFormatting sqref="F30:F46">
    <cfRule type="expression" dxfId="1203" priority="25">
      <formula>F30&gt;0</formula>
    </cfRule>
    <cfRule type="expression" dxfId="1202" priority="26">
      <formula>F30&lt;0</formula>
    </cfRule>
  </conditionalFormatting>
  <conditionalFormatting sqref="H30:H46">
    <cfRule type="expression" dxfId="1201" priority="23">
      <formula>H30&gt;0</formula>
    </cfRule>
    <cfRule type="expression" dxfId="1200" priority="24">
      <formula>H30&lt;0</formula>
    </cfRule>
  </conditionalFormatting>
  <conditionalFormatting sqref="Q10">
    <cfRule type="expression" dxfId="1199" priority="21">
      <formula>Q10&gt;0</formula>
    </cfRule>
    <cfRule type="expression" dxfId="1198" priority="22">
      <formula>Q10&lt;0</formula>
    </cfRule>
  </conditionalFormatting>
  <conditionalFormatting sqref="J25:J38">
    <cfRule type="expression" dxfId="1197" priority="19">
      <formula>J25&gt;0</formula>
    </cfRule>
    <cfRule type="expression" dxfId="1196" priority="20">
      <formula>J25&lt;0</formula>
    </cfRule>
  </conditionalFormatting>
  <conditionalFormatting sqref="K25:K38">
    <cfRule type="expression" dxfId="1195" priority="17">
      <formula>K25&gt;0</formula>
    </cfRule>
    <cfRule type="expression" dxfId="1194" priority="18">
      <formula>K25&lt;0</formula>
    </cfRule>
  </conditionalFormatting>
  <conditionalFormatting sqref="L25:L38">
    <cfRule type="expression" dxfId="1193" priority="15">
      <formula>L25&gt;0</formula>
    </cfRule>
    <cfRule type="expression" dxfId="1192" priority="16">
      <formula>L25&lt;0</formula>
    </cfRule>
  </conditionalFormatting>
  <conditionalFormatting sqref="F89:F110">
    <cfRule type="expression" dxfId="1191" priority="13">
      <formula>F89&gt;0</formula>
    </cfRule>
    <cfRule type="expression" dxfId="1190" priority="14">
      <formula>F89&lt;0</formula>
    </cfRule>
  </conditionalFormatting>
  <conditionalFormatting sqref="H89:H110">
    <cfRule type="expression" dxfId="1189" priority="11">
      <formula>H89&gt;0</formula>
    </cfRule>
    <cfRule type="expression" dxfId="1188" priority="12">
      <formula>H89&lt;0</formula>
    </cfRule>
  </conditionalFormatting>
  <conditionalFormatting sqref="J89:J102">
    <cfRule type="expression" dxfId="1187" priority="9">
      <formula>J89&gt;0</formula>
    </cfRule>
    <cfRule type="expression" dxfId="1186" priority="10">
      <formula>J89&lt;0</formula>
    </cfRule>
  </conditionalFormatting>
  <conditionalFormatting sqref="K89:K102">
    <cfRule type="expression" dxfId="1185" priority="7">
      <formula>K89&gt;0</formula>
    </cfRule>
    <cfRule type="expression" dxfId="1184" priority="8">
      <formula>K89&lt;0</formula>
    </cfRule>
  </conditionalFormatting>
  <conditionalFormatting sqref="L89:L102">
    <cfRule type="expression" dxfId="1183" priority="5">
      <formula>L89&gt;0</formula>
    </cfRule>
    <cfRule type="expression" dxfId="1182" priority="6">
      <formula>L89&lt;0</formula>
    </cfRule>
  </conditionalFormatting>
  <conditionalFormatting sqref="F25:F29">
    <cfRule type="expression" dxfId="1181" priority="3">
      <formula>F25&gt;0</formula>
    </cfRule>
    <cfRule type="expression" dxfId="1180" priority="4">
      <formula>F25&lt;0</formula>
    </cfRule>
  </conditionalFormatting>
  <conditionalFormatting sqref="H25:H29">
    <cfRule type="expression" dxfId="1179" priority="1">
      <formula>H25&gt;0</formula>
    </cfRule>
    <cfRule type="expression" dxfId="117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928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34.39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34.39</v>
      </c>
      <c r="R4" s="495">
        <v>1.3599999999999999E-2</v>
      </c>
      <c r="T4" s="772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 t="shared" si="0"/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7.6766501890084327E-2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0" t="s">
        <v>78</v>
      </c>
      <c r="P16" s="850"/>
    </row>
    <row r="17" spans="1:16" ht="15.75" thickTop="1" x14ac:dyDescent="0.25">
      <c r="O17" s="81">
        <v>1.1000000000000001</v>
      </c>
      <c r="P17" s="81">
        <f>O17*$Q$4</f>
        <v>37.829000000000001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1">O18*$Q$4</f>
        <v>37.485100000000003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1"/>
        <v>37.141200000000005</v>
      </c>
    </row>
    <row r="20" spans="1:16" x14ac:dyDescent="0.25">
      <c r="O20" s="81">
        <v>1.07</v>
      </c>
      <c r="P20" s="81">
        <f t="shared" si="1"/>
        <v>36.7973</v>
      </c>
    </row>
    <row r="21" spans="1:16" x14ac:dyDescent="0.25">
      <c r="O21" s="81">
        <v>1.06</v>
      </c>
      <c r="P21" s="81">
        <f t="shared" si="1"/>
        <v>36.453400000000002</v>
      </c>
    </row>
    <row r="22" spans="1:16" x14ac:dyDescent="0.25">
      <c r="O22" s="81">
        <v>1.05</v>
      </c>
      <c r="P22" s="81">
        <f t="shared" si="1"/>
        <v>36.109500000000004</v>
      </c>
    </row>
    <row r="23" spans="1:16" x14ac:dyDescent="0.25">
      <c r="O23" s="81">
        <v>1.04</v>
      </c>
      <c r="P23" s="81">
        <f t="shared" si="1"/>
        <v>35.765599999999999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1.03</v>
      </c>
      <c r="P24" s="81">
        <f t="shared" si="1"/>
        <v>35.421700000000001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35.077800000000003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34.733899999999998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34.39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34.046100000000003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33.702199999999998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33.3583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33.014400000000002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32.670499999999997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32.326599999999999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31.982700000000001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31.638800000000003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31.294900000000002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30.951000000000001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7" priority="35">
      <formula>F47&gt;0</formula>
    </cfRule>
    <cfRule type="expression" dxfId="1176" priority="36">
      <formula>F47&lt;0</formula>
    </cfRule>
  </conditionalFormatting>
  <conditionalFormatting sqref="Q7">
    <cfRule type="expression" dxfId="1175" priority="33">
      <formula>Q7&gt;0</formula>
    </cfRule>
    <cfRule type="expression" dxfId="1174" priority="34">
      <formula>Q7&lt;0</formula>
    </cfRule>
  </conditionalFormatting>
  <conditionalFormatting sqref="Q8">
    <cfRule type="expression" dxfId="1173" priority="31">
      <formula>Q8&gt;0</formula>
    </cfRule>
    <cfRule type="expression" dxfId="1172" priority="32">
      <formula>Q8&lt;0</formula>
    </cfRule>
  </conditionalFormatting>
  <conditionalFormatting sqref="F32:F46">
    <cfRule type="expression" dxfId="1171" priority="29">
      <formula>F32&gt;0</formula>
    </cfRule>
    <cfRule type="expression" dxfId="1170" priority="30">
      <formula>F32&lt;0</formula>
    </cfRule>
  </conditionalFormatting>
  <conditionalFormatting sqref="H32:H46">
    <cfRule type="expression" dxfId="1169" priority="27">
      <formula>H32&gt;0</formula>
    </cfRule>
    <cfRule type="expression" dxfId="1168" priority="28">
      <formula>H32&lt;0</formula>
    </cfRule>
  </conditionalFormatting>
  <conditionalFormatting sqref="Q10">
    <cfRule type="expression" dxfId="1167" priority="25">
      <formula>Q10&gt;0</formula>
    </cfRule>
    <cfRule type="expression" dxfId="1166" priority="26">
      <formula>Q10&lt;0</formula>
    </cfRule>
  </conditionalFormatting>
  <conditionalFormatting sqref="J25:J38">
    <cfRule type="expression" dxfId="1165" priority="23">
      <formula>J25&gt;0</formula>
    </cfRule>
    <cfRule type="expression" dxfId="1164" priority="24">
      <formula>J25&lt;0</formula>
    </cfRule>
  </conditionalFormatting>
  <conditionalFormatting sqref="K25:K38">
    <cfRule type="expression" dxfId="1163" priority="21">
      <formula>K25&gt;0</formula>
    </cfRule>
    <cfRule type="expression" dxfId="1162" priority="22">
      <formula>K25&lt;0</formula>
    </cfRule>
  </conditionalFormatting>
  <conditionalFormatting sqref="L25:L38">
    <cfRule type="expression" dxfId="1161" priority="19">
      <formula>L25&gt;0</formula>
    </cfRule>
    <cfRule type="expression" dxfId="1160" priority="20">
      <formula>L25&lt;0</formula>
    </cfRule>
  </conditionalFormatting>
  <conditionalFormatting sqref="F89:F110">
    <cfRule type="expression" dxfId="1159" priority="17">
      <formula>F89&gt;0</formula>
    </cfRule>
    <cfRule type="expression" dxfId="1158" priority="18">
      <formula>F89&lt;0</formula>
    </cfRule>
  </conditionalFormatting>
  <conditionalFormatting sqref="H89:H110">
    <cfRule type="expression" dxfId="1157" priority="15">
      <formula>H89&gt;0</formula>
    </cfRule>
    <cfRule type="expression" dxfId="1156" priority="16">
      <formula>H89&lt;0</formula>
    </cfRule>
  </conditionalFormatting>
  <conditionalFormatting sqref="J89:J102">
    <cfRule type="expression" dxfId="1155" priority="13">
      <formula>J89&gt;0</formula>
    </cfRule>
    <cfRule type="expression" dxfId="1154" priority="14">
      <formula>J89&lt;0</formula>
    </cfRule>
  </conditionalFormatting>
  <conditionalFormatting sqref="K89:K102">
    <cfRule type="expression" dxfId="1153" priority="11">
      <formula>K89&gt;0</formula>
    </cfRule>
    <cfRule type="expression" dxfId="1152" priority="12">
      <formula>K89&lt;0</formula>
    </cfRule>
  </conditionalFormatting>
  <conditionalFormatting sqref="L89:L102">
    <cfRule type="expression" dxfId="1151" priority="9">
      <formula>L89&gt;0</formula>
    </cfRule>
    <cfRule type="expression" dxfId="1150" priority="10">
      <formula>L89&lt;0</formula>
    </cfRule>
  </conditionalFormatting>
  <conditionalFormatting sqref="F25:F28">
    <cfRule type="expression" dxfId="1149" priority="7">
      <formula>F25&gt;0</formula>
    </cfRule>
    <cfRule type="expression" dxfId="1148" priority="8">
      <formula>F25&lt;0</formula>
    </cfRule>
  </conditionalFormatting>
  <conditionalFormatting sqref="H25:H28">
    <cfRule type="expression" dxfId="1147" priority="5">
      <formula>H25&gt;0</formula>
    </cfRule>
    <cfRule type="expression" dxfId="1146" priority="6">
      <formula>H25&lt;0</formula>
    </cfRule>
  </conditionalFormatting>
  <conditionalFormatting sqref="F29:F31">
    <cfRule type="expression" dxfId="1145" priority="3">
      <formula>F29&gt;0</formula>
    </cfRule>
    <cfRule type="expression" dxfId="1144" priority="4">
      <formula>F29&lt;0</formula>
    </cfRule>
  </conditionalFormatting>
  <conditionalFormatting sqref="H29:H31">
    <cfRule type="expression" dxfId="1143" priority="1">
      <formula>H29&gt;0</formula>
    </cfRule>
    <cfRule type="expression" dxfId="1142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965</v>
      </c>
      <c r="U2" t="s">
        <v>1079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119.1099</v>
      </c>
      <c r="R4" s="495">
        <v>-2.24E-2</v>
      </c>
      <c r="T4" s="772">
        <v>43193</v>
      </c>
      <c r="U4" s="30" t="s">
        <v>972</v>
      </c>
    </row>
    <row r="5" spans="1:21" x14ac:dyDescent="0.25">
      <c r="B5" s="72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11910.99</v>
      </c>
      <c r="U5" s="475" t="s">
        <v>1003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-1247.380000000001</v>
      </c>
      <c r="R7">
        <v>100</v>
      </c>
      <c r="T7" s="1">
        <v>43221</v>
      </c>
      <c r="U7" s="828" t="s">
        <v>1043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-1247.380000000001</v>
      </c>
      <c r="U8" t="s">
        <v>1044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-9.4797455915892379E-2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4.3657160320006985E-3</v>
      </c>
      <c r="R11">
        <v>0.13</v>
      </c>
      <c r="T11" s="1">
        <v>43228</v>
      </c>
      <c r="U11" t="s">
        <v>1078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Q4/8.62</f>
        <v>13.817853828306266</v>
      </c>
      <c r="T13" s="1">
        <v>43260</v>
      </c>
      <c r="U13" t="s">
        <v>1132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0" t="s">
        <v>78</v>
      </c>
      <c r="P18" s="780"/>
    </row>
    <row r="19" spans="1:16" ht="16.5" thickTop="1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3000</v>
      </c>
      <c r="G19" s="343"/>
      <c r="H19" s="343">
        <f>SumByColor($A$19,H2:H17)</f>
        <v>20</v>
      </c>
      <c r="I19" s="343"/>
      <c r="J19" s="343"/>
      <c r="K19" s="344">
        <f>SumByColor($A$19,K2:K17)</f>
        <v>3031</v>
      </c>
      <c r="L19" s="343"/>
      <c r="M19" s="344">
        <f>SumByColor($A$19,M2:M17)</f>
        <v>6</v>
      </c>
      <c r="O19" s="81">
        <v>1.1000000000000001</v>
      </c>
      <c r="P19" s="81">
        <f>O19*$Q$4</f>
        <v>131.02089000000001</v>
      </c>
    </row>
    <row r="20" spans="1:16" x14ac:dyDescent="0.25">
      <c r="O20" s="81">
        <v>1.0900000000000001</v>
      </c>
      <c r="P20" s="81">
        <f t="shared" ref="P20:P39" si="1">O20*$Q$4</f>
        <v>129.829791</v>
      </c>
    </row>
    <row r="21" spans="1:16" x14ac:dyDescent="0.25">
      <c r="O21" s="81">
        <v>1.08</v>
      </c>
      <c r="P21" s="81">
        <f t="shared" si="1"/>
        <v>128.63869199999999</v>
      </c>
    </row>
    <row r="22" spans="1:16" x14ac:dyDescent="0.25">
      <c r="O22" s="81">
        <v>1.07</v>
      </c>
      <c r="P22" s="81">
        <f t="shared" si="1"/>
        <v>127.447593</v>
      </c>
    </row>
    <row r="23" spans="1:16" x14ac:dyDescent="0.25">
      <c r="O23" s="81">
        <v>1.06</v>
      </c>
      <c r="P23" s="81">
        <f t="shared" si="1"/>
        <v>126.256494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1.05</v>
      </c>
      <c r="P24" s="81">
        <f t="shared" si="1"/>
        <v>125.065395</v>
      </c>
    </row>
    <row r="25" spans="1:16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2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123.874296</v>
      </c>
    </row>
    <row r="26" spans="1:16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2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122.68319699999999</v>
      </c>
    </row>
    <row r="27" spans="1:16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2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121.492098</v>
      </c>
    </row>
    <row r="28" spans="1:16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2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120.30099899999999</v>
      </c>
    </row>
    <row r="29" spans="1:16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2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119.1099</v>
      </c>
    </row>
    <row r="30" spans="1:16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2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117.918801</v>
      </c>
    </row>
    <row r="31" spans="1:16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2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116.72770199999999</v>
      </c>
    </row>
    <row r="32" spans="1:16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6" si="23">C32*(E32-D32)</f>
        <v>-439.36999999999955</v>
      </c>
      <c r="G32" s="39">
        <f t="shared" ref="G32:G36" si="24">D32*C32</f>
        <v>7030.87</v>
      </c>
      <c r="H32" s="222">
        <f t="shared" ref="H32:H36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115.536603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2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114.34550399999999</v>
      </c>
    </row>
    <row r="34" spans="1:17" x14ac:dyDescent="0.25">
      <c r="A34">
        <v>50</v>
      </c>
      <c r="B34" s="184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2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113.154405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2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111.96330599999999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23"/>
        <v>-974.00000000000091</v>
      </c>
      <c r="G36" s="39">
        <f t="shared" si="24"/>
        <v>13158.000000000002</v>
      </c>
      <c r="H36" s="222">
        <f t="shared" si="25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1"/>
        <v>110.77220700000001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109.581108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108.39000900000001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107.19891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1" priority="31">
      <formula>F47&gt;0</formula>
    </cfRule>
    <cfRule type="expression" dxfId="1140" priority="32">
      <formula>F47&lt;0</formula>
    </cfRule>
  </conditionalFormatting>
  <conditionalFormatting sqref="Q7">
    <cfRule type="expression" dxfId="1139" priority="29">
      <formula>Q7&gt;0</formula>
    </cfRule>
    <cfRule type="expression" dxfId="1138" priority="30">
      <formula>Q7&lt;0</formula>
    </cfRule>
  </conditionalFormatting>
  <conditionalFormatting sqref="Q8">
    <cfRule type="expression" dxfId="1137" priority="27">
      <formula>Q8&gt;0</formula>
    </cfRule>
    <cfRule type="expression" dxfId="1136" priority="28">
      <formula>Q8&lt;0</formula>
    </cfRule>
  </conditionalFormatting>
  <conditionalFormatting sqref="F34:F46">
    <cfRule type="expression" dxfId="1135" priority="25">
      <formula>F34&gt;0</formula>
    </cfRule>
    <cfRule type="expression" dxfId="1134" priority="26">
      <formula>F34&lt;0</formula>
    </cfRule>
  </conditionalFormatting>
  <conditionalFormatting sqref="H34:H46">
    <cfRule type="expression" dxfId="1133" priority="23">
      <formula>H34&gt;0</formula>
    </cfRule>
    <cfRule type="expression" dxfId="1132" priority="24">
      <formula>H34&lt;0</formula>
    </cfRule>
  </conditionalFormatting>
  <conditionalFormatting sqref="Q10">
    <cfRule type="expression" dxfId="1131" priority="21">
      <formula>Q10&gt;0</formula>
    </cfRule>
    <cfRule type="expression" dxfId="1130" priority="22">
      <formula>Q10&lt;0</formula>
    </cfRule>
  </conditionalFormatting>
  <conditionalFormatting sqref="J25:J38">
    <cfRule type="expression" dxfId="1129" priority="19">
      <formula>J25&gt;0</formula>
    </cfRule>
    <cfRule type="expression" dxfId="1128" priority="20">
      <formula>J25&lt;0</formula>
    </cfRule>
  </conditionalFormatting>
  <conditionalFormatting sqref="K25:K35 K37:K38">
    <cfRule type="expression" dxfId="1127" priority="17">
      <formula>K25&gt;0</formula>
    </cfRule>
    <cfRule type="expression" dxfId="1126" priority="18">
      <formula>K25&lt;0</formula>
    </cfRule>
  </conditionalFormatting>
  <conditionalFormatting sqref="L25">
    <cfRule type="expression" dxfId="1125" priority="15">
      <formula>L25&gt;0</formula>
    </cfRule>
    <cfRule type="expression" dxfId="1124" priority="16">
      <formula>L25&lt;0</formula>
    </cfRule>
  </conditionalFormatting>
  <conditionalFormatting sqref="F89:F110">
    <cfRule type="expression" dxfId="1123" priority="13">
      <formula>F89&gt;0</formula>
    </cfRule>
    <cfRule type="expression" dxfId="1122" priority="14">
      <formula>F89&lt;0</formula>
    </cfRule>
  </conditionalFormatting>
  <conditionalFormatting sqref="H89:H110">
    <cfRule type="expression" dxfId="1121" priority="11">
      <formula>H89&gt;0</formula>
    </cfRule>
    <cfRule type="expression" dxfId="1120" priority="12">
      <formula>H89&lt;0</formula>
    </cfRule>
  </conditionalFormatting>
  <conditionalFormatting sqref="J89:J102">
    <cfRule type="expression" dxfId="1119" priority="9">
      <formula>J89&gt;0</formula>
    </cfRule>
    <cfRule type="expression" dxfId="1118" priority="10">
      <formula>J89&lt;0</formula>
    </cfRule>
  </conditionalFormatting>
  <conditionalFormatting sqref="K89:K102">
    <cfRule type="expression" dxfId="1117" priority="7">
      <formula>K89&gt;0</formula>
    </cfRule>
    <cfRule type="expression" dxfId="1116" priority="8">
      <formula>K89&lt;0</formula>
    </cfRule>
  </conditionalFormatting>
  <conditionalFormatting sqref="L89:L102">
    <cfRule type="expression" dxfId="1115" priority="5">
      <formula>L89&gt;0</formula>
    </cfRule>
    <cfRule type="expression" dxfId="1114" priority="6">
      <formula>L89&lt;0</formula>
    </cfRule>
  </conditionalFormatting>
  <conditionalFormatting sqref="F25:F33">
    <cfRule type="expression" dxfId="1113" priority="3">
      <formula>F25&gt;0</formula>
    </cfRule>
    <cfRule type="expression" dxfId="1112" priority="4">
      <formula>F25&lt;0</formula>
    </cfRule>
  </conditionalFormatting>
  <conditionalFormatting sqref="H25:H33">
    <cfRule type="expression" dxfId="1111" priority="1">
      <formula>H25&gt;0</formula>
    </cfRule>
    <cfRule type="expression" dxfId="111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76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7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229.4733333333333</v>
      </c>
      <c r="T3" s="1"/>
    </row>
    <row r="4" spans="1:21" x14ac:dyDescent="0.25">
      <c r="B4" s="476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253.39</v>
      </c>
      <c r="R4" s="495">
        <v>5.0000000000000001E-4</v>
      </c>
      <c r="T4" s="772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72">
        <v>43262</v>
      </c>
      <c r="M5" s="43">
        <v>20.92</v>
      </c>
      <c r="O5" s="11" t="s">
        <v>67</v>
      </c>
      <c r="Q5" s="3">
        <f>Q4*Q2</f>
        <v>7601.7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6884.1999999999989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717.50000000000091</v>
      </c>
      <c r="R7">
        <v>30</v>
      </c>
    </row>
    <row r="8" spans="1:21" x14ac:dyDescent="0.25">
      <c r="B8" s="477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717.50000000000091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0.1042241654803755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16.34</v>
      </c>
      <c r="S13" s="22" t="s">
        <v>980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74.319999999999993</v>
      </c>
    </row>
    <row r="19" spans="1:17" ht="15.75" thickBot="1" x14ac:dyDescent="0.3">
      <c r="A19" s="341" t="s">
        <v>193</v>
      </c>
      <c r="B19" s="342"/>
      <c r="C19" s="343">
        <f>SumByColor($A$19,C2:C17)</f>
        <v>65</v>
      </c>
      <c r="D19" s="343"/>
      <c r="E19" s="343"/>
      <c r="F19" s="344">
        <f>SumByColor($A$19,F2:F17)</f>
        <v>15401</v>
      </c>
      <c r="G19" s="343"/>
      <c r="H19" s="343">
        <f>SumByColor($A$19,H2:H17)</f>
        <v>65</v>
      </c>
      <c r="I19" s="343"/>
      <c r="J19" s="343"/>
      <c r="K19" s="344">
        <f>SumByColor($A$19,K2:K17)</f>
        <v>15874</v>
      </c>
      <c r="L19" s="343"/>
      <c r="M19" s="344">
        <f>SumByColor($A$19,M2:M17)</f>
        <v>74</v>
      </c>
    </row>
    <row r="22" spans="1:17" ht="20.25" thickBot="1" x14ac:dyDescent="0.35">
      <c r="O22" s="780" t="s">
        <v>78</v>
      </c>
      <c r="P22" s="780"/>
    </row>
    <row r="23" spans="1:17" ht="15.75" thickTop="1" x14ac:dyDescent="0.25">
      <c r="O23" s="81">
        <v>1.1000000000000001</v>
      </c>
      <c r="P23" s="81">
        <f>O23*$Q$4</f>
        <v>278.72899999999998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276.19510000000002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2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273.66120000000001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2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271.12729999999999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2">
        <f t="shared" ref="H27:H28" si="11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268.59339999999997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2">
        <f t="shared" si="11"/>
        <v>3.89146374949291E-3</v>
      </c>
      <c r="I28" s="39"/>
      <c r="J28" s="39"/>
      <c r="K28" s="39"/>
      <c r="L28" s="155"/>
      <c r="O28" s="81">
        <v>1.05</v>
      </c>
      <c r="P28" s="81">
        <f t="shared" si="2"/>
        <v>266.05950000000001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263.5256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2">
        <f t="shared" ref="H30" si="14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260.99169999999998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15">C31*(E31-D31)</f>
        <v>-267.97099999999955</v>
      </c>
      <c r="G31" s="39">
        <f t="shared" ref="G31:G40" si="16">D31*C31</f>
        <v>13200.120999999999</v>
      </c>
      <c r="H31" s="222">
        <f t="shared" ref="H31:H40" si="17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258.45779999999996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2">
        <f t="shared" si="17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255.92389999999997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2">
        <f t="shared" si="17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253.39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2">
        <f t="shared" si="17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250.8561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2">
        <f t="shared" si="17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248.32219999999998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2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245.78829999999999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2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243.25439999999998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2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240.72049999999999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2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238.18659999999997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15"/>
        <v>717.50099999999975</v>
      </c>
      <c r="G40" s="39">
        <f t="shared" si="16"/>
        <v>6884.1989999999996</v>
      </c>
      <c r="H40" s="222">
        <f t="shared" si="17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235.65270000000001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233.11879999999999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230.5849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228.05099999999999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9" priority="31">
      <formula>F47&gt;0</formula>
    </cfRule>
    <cfRule type="expression" dxfId="1108" priority="32">
      <formula>F47&lt;0</formula>
    </cfRule>
  </conditionalFormatting>
  <conditionalFormatting sqref="Q7">
    <cfRule type="expression" dxfId="1107" priority="29">
      <formula>Q7&gt;0</formula>
    </cfRule>
    <cfRule type="expression" dxfId="1106" priority="30">
      <formula>Q7&lt;0</formula>
    </cfRule>
  </conditionalFormatting>
  <conditionalFormatting sqref="Q8">
    <cfRule type="expression" dxfId="1105" priority="27">
      <formula>Q8&gt;0</formula>
    </cfRule>
    <cfRule type="expression" dxfId="1104" priority="28">
      <formula>Q8&lt;0</formula>
    </cfRule>
  </conditionalFormatting>
  <conditionalFormatting sqref="F32:F46">
    <cfRule type="expression" dxfId="1103" priority="25">
      <formula>F32&gt;0</formula>
    </cfRule>
    <cfRule type="expression" dxfId="1102" priority="26">
      <formula>F32&lt;0</formula>
    </cfRule>
  </conditionalFormatting>
  <conditionalFormatting sqref="H32:H46">
    <cfRule type="expression" dxfId="1101" priority="23">
      <formula>H32&gt;0</formula>
    </cfRule>
    <cfRule type="expression" dxfId="1100" priority="24">
      <formula>H32&lt;0</formula>
    </cfRule>
  </conditionalFormatting>
  <conditionalFormatting sqref="Q10">
    <cfRule type="expression" dxfId="1099" priority="21">
      <formula>Q10&gt;0</formula>
    </cfRule>
    <cfRule type="expression" dxfId="1098" priority="22">
      <formula>Q10&lt;0</formula>
    </cfRule>
  </conditionalFormatting>
  <conditionalFormatting sqref="J25:J38">
    <cfRule type="expression" dxfId="1097" priority="19">
      <formula>J25&gt;0</formula>
    </cfRule>
    <cfRule type="expression" dxfId="1096" priority="20">
      <formula>J25&lt;0</formula>
    </cfRule>
  </conditionalFormatting>
  <conditionalFormatting sqref="K25:K38">
    <cfRule type="expression" dxfId="1095" priority="17">
      <formula>K25&gt;0</formula>
    </cfRule>
    <cfRule type="expression" dxfId="1094" priority="18">
      <formula>K25&lt;0</formula>
    </cfRule>
  </conditionalFormatting>
  <conditionalFormatting sqref="L25:L38">
    <cfRule type="expression" dxfId="1093" priority="15">
      <formula>L25&gt;0</formula>
    </cfRule>
    <cfRule type="expression" dxfId="1092" priority="16">
      <formula>L25&lt;0</formula>
    </cfRule>
  </conditionalFormatting>
  <conditionalFormatting sqref="F89:F110">
    <cfRule type="expression" dxfId="1091" priority="13">
      <formula>F89&gt;0</formula>
    </cfRule>
    <cfRule type="expression" dxfId="1090" priority="14">
      <formula>F89&lt;0</formula>
    </cfRule>
  </conditionalFormatting>
  <conditionalFormatting sqref="H89:H110">
    <cfRule type="expression" dxfId="1089" priority="11">
      <formula>H89&gt;0</formula>
    </cfRule>
    <cfRule type="expression" dxfId="1088" priority="12">
      <formula>H89&lt;0</formula>
    </cfRule>
  </conditionalFormatting>
  <conditionalFormatting sqref="J89:J102">
    <cfRule type="expression" dxfId="1087" priority="9">
      <formula>J89&gt;0</formula>
    </cfRule>
    <cfRule type="expression" dxfId="1086" priority="10">
      <formula>J89&lt;0</formula>
    </cfRule>
  </conditionalFormatting>
  <conditionalFormatting sqref="K89:K102">
    <cfRule type="expression" dxfId="1085" priority="7">
      <formula>K89&gt;0</formula>
    </cfRule>
    <cfRule type="expression" dxfId="1084" priority="8">
      <formula>K89&lt;0</formula>
    </cfRule>
  </conditionalFormatting>
  <conditionalFormatting sqref="L89:L102">
    <cfRule type="expression" dxfId="1083" priority="5">
      <formula>L89&gt;0</formula>
    </cfRule>
    <cfRule type="expression" dxfId="1082" priority="6">
      <formula>L89&lt;0</formula>
    </cfRule>
  </conditionalFormatting>
  <conditionalFormatting sqref="F25:F31">
    <cfRule type="expression" dxfId="1081" priority="3">
      <formula>F25&gt;0</formula>
    </cfRule>
    <cfRule type="expression" dxfId="1080" priority="4">
      <formula>F25&lt;0</formula>
    </cfRule>
  </conditionalFormatting>
  <conditionalFormatting sqref="H25:H31">
    <cfRule type="expression" dxfId="1079" priority="1">
      <formula>H25&gt;0</formula>
    </cfRule>
    <cfRule type="expression" dxfId="1078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43139</v>
      </c>
      <c r="C2" s="7">
        <v>40</v>
      </c>
      <c r="D2" s="43">
        <v>67.58</v>
      </c>
      <c r="E2" s="43">
        <v>0</v>
      </c>
      <c r="F2" s="43">
        <f t="shared" ref="F2:F3" si="0"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818</v>
      </c>
    </row>
    <row r="3" spans="1:21" x14ac:dyDescent="0.25">
      <c r="A3" s="22" t="s">
        <v>71</v>
      </c>
      <c r="B3" s="474">
        <v>43249</v>
      </c>
      <c r="C3" s="4">
        <v>60</v>
      </c>
      <c r="D3" s="3">
        <v>69.599999999999994</v>
      </c>
      <c r="E3" s="3">
        <v>0</v>
      </c>
      <c r="F3" s="3">
        <f t="shared" si="0"/>
        <v>4176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65.834000000000003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75.33</v>
      </c>
      <c r="R4" s="495">
        <v>-4.4000000000000003E-3</v>
      </c>
      <c r="T4" s="772">
        <v>43103</v>
      </c>
      <c r="U4" s="30" t="s">
        <v>841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4519.8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3950.04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569.76000000000022</v>
      </c>
      <c r="R7" s="29">
        <v>43280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569.76000000000022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0.14424157730048309</v>
      </c>
      <c r="T9" s="772">
        <v>43249</v>
      </c>
      <c r="U9" t="s">
        <v>1120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1.2743926722421346E-2</v>
      </c>
      <c r="R11">
        <v>0.24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Q4/3.55</f>
        <v>21.219718309859154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6879.2</v>
      </c>
      <c r="G18" s="14"/>
      <c r="H18" s="71">
        <f>SUM(H2:H5)</f>
        <v>40</v>
      </c>
      <c r="I18" s="18"/>
      <c r="J18" s="18"/>
      <c r="K18" s="18">
        <f>SUM(K2:K5)</f>
        <v>2919.56</v>
      </c>
      <c r="L18" s="14"/>
      <c r="M18" s="18">
        <f>SUM(M2:M10)</f>
        <v>9.6</v>
      </c>
    </row>
    <row r="19" spans="1:17" ht="15.75" thickBot="1" x14ac:dyDescent="0.3">
      <c r="A19" s="341" t="s">
        <v>193</v>
      </c>
      <c r="B19" s="342"/>
      <c r="C19" s="343">
        <f>SumByColor($A$19,C2:C17)</f>
        <v>40</v>
      </c>
      <c r="D19" s="343"/>
      <c r="E19" s="343"/>
      <c r="F19" s="344">
        <f>SumByColor($A$19,F2:F17)</f>
        <v>2703</v>
      </c>
      <c r="G19" s="343"/>
      <c r="H19" s="343">
        <f>SumByColor($A$19,H2:H17)</f>
        <v>40</v>
      </c>
      <c r="I19" s="343"/>
      <c r="J19" s="343"/>
      <c r="K19" s="344">
        <f>SumByColor($A$19,K2:K17)</f>
        <v>2920</v>
      </c>
      <c r="L19" s="343"/>
      <c r="M19" s="344">
        <f>SumByColor($A$19,M2:M17)</f>
        <v>10</v>
      </c>
    </row>
    <row r="22" spans="1:17" ht="20.25" thickBot="1" x14ac:dyDescent="0.35">
      <c r="O22" s="781" t="s">
        <v>78</v>
      </c>
      <c r="P22" s="781"/>
    </row>
    <row r="23" spans="1:17" ht="15.75" thickTop="1" x14ac:dyDescent="0.25">
      <c r="O23" s="81">
        <v>1.1000000000000001</v>
      </c>
      <c r="P23" s="81">
        <f>O23*$Q$4</f>
        <v>82.863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1.0900000000000001</v>
      </c>
      <c r="P24" s="81">
        <f t="shared" ref="P24:P43" si="1">O24*$Q$4</f>
        <v>82.109700000000004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81.356400000000008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80.603099999999998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79.849800000000002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:F31" si="11">C28*(E28-D28)</f>
        <v>168.39999999999975</v>
      </c>
      <c r="G28" s="39">
        <f t="shared" ref="G28:G31" si="12">D28*C28</f>
        <v>2693.6000000000004</v>
      </c>
      <c r="H28" s="222">
        <f t="shared" ref="H28:H31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79.096500000000006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1"/>
        <v>112.39999999999952</v>
      </c>
      <c r="G29" s="39">
        <f t="shared" si="12"/>
        <v>6869.5999999999995</v>
      </c>
      <c r="H29" s="222">
        <f t="shared" si="13"/>
        <v>1.6361942471177292E-2</v>
      </c>
      <c r="I29" s="39"/>
      <c r="J29" s="39"/>
      <c r="K29" s="39"/>
      <c r="L29" s="155"/>
      <c r="O29" s="81">
        <v>1.04</v>
      </c>
      <c r="P29" s="81">
        <f t="shared" si="1"/>
        <v>78.343199999999996</v>
      </c>
      <c r="Q29" s="2"/>
    </row>
    <row r="30" spans="1:17" x14ac:dyDescent="0.25">
      <c r="A30">
        <v>0</v>
      </c>
      <c r="B30" s="184">
        <v>43256</v>
      </c>
      <c r="C30" s="10">
        <v>60</v>
      </c>
      <c r="D30" s="39">
        <v>65.834000000000003</v>
      </c>
      <c r="E30" s="39">
        <v>73.78</v>
      </c>
      <c r="F30" s="39">
        <f t="shared" si="11"/>
        <v>476.75999999999988</v>
      </c>
      <c r="G30" s="39">
        <f t="shared" si="12"/>
        <v>3950.04</v>
      </c>
      <c r="H30" s="222">
        <f t="shared" si="13"/>
        <v>0.12069751192392984</v>
      </c>
      <c r="I30" s="39"/>
      <c r="J30" s="39"/>
      <c r="K30" s="39"/>
      <c r="L30" s="155"/>
      <c r="O30" s="81">
        <v>1.03</v>
      </c>
      <c r="P30" s="81">
        <f t="shared" si="1"/>
        <v>77.5899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1"/>
        <v>569.75999999999976</v>
      </c>
      <c r="G31" s="39">
        <f t="shared" si="12"/>
        <v>3950.04</v>
      </c>
      <c r="H31" s="222">
        <f t="shared" si="13"/>
        <v>0.14424157730048295</v>
      </c>
      <c r="I31" s="39"/>
      <c r="J31" s="39"/>
      <c r="K31" s="39"/>
      <c r="L31" s="155"/>
      <c r="O31" s="81">
        <v>1.02</v>
      </c>
      <c r="P31" s="81">
        <f t="shared" si="1"/>
        <v>76.836600000000004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76.083299999999994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75.33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74.576700000000002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73.823399999999992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73.070099999999996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72.316800000000001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71.563499999999991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70.810199999999995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70.056899999999999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69.303600000000003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68.550300000000007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67.796999999999997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77" priority="31">
      <formula>F47&gt;0</formula>
    </cfRule>
    <cfRule type="expression" dxfId="1076" priority="32">
      <formula>F47&lt;0</formula>
    </cfRule>
  </conditionalFormatting>
  <conditionalFormatting sqref="Q7">
    <cfRule type="expression" dxfId="1075" priority="29">
      <formula>Q7&gt;0</formula>
    </cfRule>
    <cfRule type="expression" dxfId="1074" priority="30">
      <formula>Q7&lt;0</formula>
    </cfRule>
  </conditionalFormatting>
  <conditionalFormatting sqref="Q8">
    <cfRule type="expression" dxfId="1073" priority="27">
      <formula>Q8&gt;0</formula>
    </cfRule>
    <cfRule type="expression" dxfId="1072" priority="28">
      <formula>Q8&lt;0</formula>
    </cfRule>
  </conditionalFormatting>
  <conditionalFormatting sqref="F30:F46">
    <cfRule type="expression" dxfId="1071" priority="25">
      <formula>F30&gt;0</formula>
    </cfRule>
    <cfRule type="expression" dxfId="1070" priority="26">
      <formula>F30&lt;0</formula>
    </cfRule>
  </conditionalFormatting>
  <conditionalFormatting sqref="H30:H46">
    <cfRule type="expression" dxfId="1069" priority="23">
      <formula>H30&gt;0</formula>
    </cfRule>
    <cfRule type="expression" dxfId="1068" priority="24">
      <formula>H30&lt;0</formula>
    </cfRule>
  </conditionalFormatting>
  <conditionalFormatting sqref="Q10">
    <cfRule type="expression" dxfId="1067" priority="21">
      <formula>Q10&gt;0</formula>
    </cfRule>
    <cfRule type="expression" dxfId="1066" priority="22">
      <formula>Q10&lt;0</formula>
    </cfRule>
  </conditionalFormatting>
  <conditionalFormatting sqref="J25:J38">
    <cfRule type="expression" dxfId="1065" priority="19">
      <formula>J25&gt;0</formula>
    </cfRule>
    <cfRule type="expression" dxfId="1064" priority="20">
      <formula>J25&lt;0</formula>
    </cfRule>
  </conditionalFormatting>
  <conditionalFormatting sqref="K25:K38">
    <cfRule type="expression" dxfId="1063" priority="17">
      <formula>K25&gt;0</formula>
    </cfRule>
    <cfRule type="expression" dxfId="1062" priority="18">
      <formula>K25&lt;0</formula>
    </cfRule>
  </conditionalFormatting>
  <conditionalFormatting sqref="L25:L38">
    <cfRule type="expression" dxfId="1061" priority="15">
      <formula>L25&gt;0</formula>
    </cfRule>
    <cfRule type="expression" dxfId="1060" priority="16">
      <formula>L25&lt;0</formula>
    </cfRule>
  </conditionalFormatting>
  <conditionalFormatting sqref="F89:F110">
    <cfRule type="expression" dxfId="1059" priority="13">
      <formula>F89&gt;0</formula>
    </cfRule>
    <cfRule type="expression" dxfId="1058" priority="14">
      <formula>F89&lt;0</formula>
    </cfRule>
  </conditionalFormatting>
  <conditionalFormatting sqref="H89:H110">
    <cfRule type="expression" dxfId="1057" priority="11">
      <formula>H89&gt;0</formula>
    </cfRule>
    <cfRule type="expression" dxfId="1056" priority="12">
      <formula>H89&lt;0</formula>
    </cfRule>
  </conditionalFormatting>
  <conditionalFormatting sqref="J89:J102">
    <cfRule type="expression" dxfId="1055" priority="9">
      <formula>J89&gt;0</formula>
    </cfRule>
    <cfRule type="expression" dxfId="1054" priority="10">
      <formula>J89&lt;0</formula>
    </cfRule>
  </conditionalFormatting>
  <conditionalFormatting sqref="K89:K102">
    <cfRule type="expression" dxfId="1053" priority="7">
      <formula>K89&gt;0</formula>
    </cfRule>
    <cfRule type="expression" dxfId="1052" priority="8">
      <formula>K89&lt;0</formula>
    </cfRule>
  </conditionalFormatting>
  <conditionalFormatting sqref="L89:L102">
    <cfRule type="expression" dxfId="1051" priority="5">
      <formula>L89&gt;0</formula>
    </cfRule>
    <cfRule type="expression" dxfId="1050" priority="6">
      <formula>L89&lt;0</formula>
    </cfRule>
  </conditionalFormatting>
  <conditionalFormatting sqref="F25:F29">
    <cfRule type="expression" dxfId="1049" priority="3">
      <formula>F25&gt;0</formula>
    </cfRule>
    <cfRule type="expression" dxfId="1048" priority="4">
      <formula>F25&lt;0</formula>
    </cfRule>
  </conditionalFormatting>
  <conditionalFormatting sqref="H25:H29">
    <cfRule type="expression" dxfId="1047" priority="1">
      <formula>H25&gt;0</formula>
    </cfRule>
    <cfRule type="expression" dxfId="104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74.900000000000006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74.900000000000006</v>
      </c>
      <c r="R4" s="475">
        <v>-5.7000000000000002E-3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498</v>
      </c>
      <c r="J22" s="220" t="s">
        <v>150</v>
      </c>
      <c r="K22" s="220" t="s">
        <v>670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50" t="s">
        <v>78</v>
      </c>
      <c r="P44" s="85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82.390000000000015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81.641000000000005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80.89200000000001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80.143000000000015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79.394000000000005</v>
      </c>
      <c r="T49" s="91" t="s">
        <v>121</v>
      </c>
      <c r="U49" s="127" t="s">
        <v>523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78.64500000000001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77.896000000000015</v>
      </c>
      <c r="T51" s="91" t="s">
        <v>104</v>
      </c>
      <c r="U51" s="127" t="s">
        <v>598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77.147000000000006</v>
      </c>
      <c r="T52" s="91" t="s">
        <v>105</v>
      </c>
      <c r="U52" s="127" t="s">
        <v>599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76.39800000000001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75.649000000000001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74.900000000000006</v>
      </c>
      <c r="T55" s="91" t="s">
        <v>107</v>
      </c>
      <c r="U55" s="127" t="s">
        <v>600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74.15100000000001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73.402000000000001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72.653000000000006</v>
      </c>
      <c r="T58" s="91" t="s">
        <v>108</v>
      </c>
      <c r="U58" s="127" t="s">
        <v>540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71.903999999999996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71.155000000000001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70.406000000000006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69.657000000000011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68.908000000000001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68.159000000000006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67.410000000000011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45" priority="57">
      <formula>F27&gt;0</formula>
    </cfRule>
    <cfRule type="expression" dxfId="1044" priority="58">
      <formula>F27&lt;0</formula>
    </cfRule>
  </conditionalFormatting>
  <conditionalFormatting sqref="H28:H33">
    <cfRule type="expression" dxfId="1043" priority="53">
      <formula>H28&gt;0</formula>
    </cfRule>
    <cfRule type="expression" dxfId="1042" priority="54">
      <formula>H28&lt;0</formula>
    </cfRule>
  </conditionalFormatting>
  <conditionalFormatting sqref="F24:F26">
    <cfRule type="expression" dxfId="1041" priority="39">
      <formula>F24&gt;0</formula>
    </cfRule>
    <cfRule type="expression" dxfId="1040" priority="40">
      <formula>F24&lt;0</formula>
    </cfRule>
  </conditionalFormatting>
  <conditionalFormatting sqref="Q8">
    <cfRule type="expression" dxfId="1039" priority="33">
      <formula>Q8&gt;0</formula>
    </cfRule>
    <cfRule type="expression" dxfId="1038" priority="34">
      <formula>Q8&lt;0</formula>
    </cfRule>
  </conditionalFormatting>
  <conditionalFormatting sqref="Q7">
    <cfRule type="expression" dxfId="1037" priority="35">
      <formula>Q7&gt;0</formula>
    </cfRule>
    <cfRule type="expression" dxfId="1036" priority="36">
      <formula>Q7&lt;0</formula>
    </cfRule>
  </conditionalFormatting>
  <conditionalFormatting sqref="F34">
    <cfRule type="expression" dxfId="1035" priority="31">
      <formula>F34&gt;0</formula>
    </cfRule>
    <cfRule type="expression" dxfId="1034" priority="32">
      <formula>F34&lt;0</formula>
    </cfRule>
  </conditionalFormatting>
  <conditionalFormatting sqref="H34">
    <cfRule type="expression" dxfId="1033" priority="29">
      <formula>H34&gt;0</formula>
    </cfRule>
    <cfRule type="expression" dxfId="1032" priority="30">
      <formula>H34&lt;0</formula>
    </cfRule>
  </conditionalFormatting>
  <conditionalFormatting sqref="M36">
    <cfRule type="expression" dxfId="1031" priority="19">
      <formula>M36&gt;0</formula>
    </cfRule>
    <cfRule type="expression" dxfId="1030" priority="20">
      <formula>M36&lt;0</formula>
    </cfRule>
  </conditionalFormatting>
  <conditionalFormatting sqref="Q10">
    <cfRule type="expression" dxfId="1029" priority="15">
      <formula>Q10&gt;0</formula>
    </cfRule>
    <cfRule type="expression" dxfId="1028" priority="16">
      <formula>Q10&lt;0</formula>
    </cfRule>
  </conditionalFormatting>
  <conditionalFormatting sqref="F23">
    <cfRule type="expression" dxfId="1027" priority="13">
      <formula>F23&gt;0</formula>
    </cfRule>
    <cfRule type="expression" dxfId="1026" priority="14">
      <formula>F23&lt;0</formula>
    </cfRule>
  </conditionalFormatting>
  <conditionalFormatting sqref="I25:J25">
    <cfRule type="expression" dxfId="1025" priority="9">
      <formula>I25&gt;0</formula>
    </cfRule>
    <cfRule type="expression" dxfId="1024" priority="10">
      <formula>I25&lt;0</formula>
    </cfRule>
  </conditionalFormatting>
  <conditionalFormatting sqref="I26:J27">
    <cfRule type="expression" dxfId="1023" priority="7">
      <formula>I26&gt;0</formula>
    </cfRule>
    <cfRule type="expression" dxfId="1022" priority="8">
      <formula>I26&lt;0</formula>
    </cfRule>
  </conditionalFormatting>
  <conditionalFormatting sqref="K25:K27">
    <cfRule type="expression" dxfId="1021" priority="5">
      <formula>K25&gt;0</formula>
    </cfRule>
    <cfRule type="expression" dxfId="1020" priority="6">
      <formula>K25&lt;0</formula>
    </cfRule>
  </conditionalFormatting>
  <conditionalFormatting sqref="I23:J23">
    <cfRule type="expression" dxfId="1019" priority="3">
      <formula>I23&gt;0</formula>
    </cfRule>
    <cfRule type="expression" dxfId="10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L171"/>
  <sheetViews>
    <sheetView zoomScale="98" zoomScaleNormal="98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57" max="57" width="26.85546875" bestFit="1" customWidth="1"/>
    <col min="58" max="58" width="18.140625" customWidth="1"/>
    <col min="59" max="59" width="10.7109375" bestFit="1" customWidth="1"/>
    <col min="60" max="60" width="15.5703125" customWidth="1"/>
    <col min="61" max="62" width="14.140625" bestFit="1" customWidth="1"/>
    <col min="63" max="64" width="6" bestFit="1" customWidth="1"/>
  </cols>
  <sheetData>
    <row r="1" spans="1:6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11" t="s">
        <v>1107</v>
      </c>
      <c r="Z1" s="11" t="s">
        <v>1105</v>
      </c>
      <c r="AA1" s="11" t="s">
        <v>1106</v>
      </c>
      <c r="AB1" s="11" t="s">
        <v>1108</v>
      </c>
      <c r="AC1" s="11" t="s">
        <v>1105</v>
      </c>
      <c r="AD1" s="11" t="s">
        <v>1106</v>
      </c>
      <c r="AE1" s="11" t="s">
        <v>1109</v>
      </c>
      <c r="AF1" s="11" t="s">
        <v>1105</v>
      </c>
      <c r="AG1" s="11" t="s">
        <v>1106</v>
      </c>
      <c r="AH1" s="11" t="s">
        <v>1110</v>
      </c>
      <c r="AI1" s="11" t="s">
        <v>1105</v>
      </c>
      <c r="AJ1" s="11" t="s">
        <v>1106</v>
      </c>
      <c r="AK1" s="11" t="s">
        <v>1111</v>
      </c>
      <c r="AM1" s="11" t="s">
        <v>1112</v>
      </c>
      <c r="AO1" s="11" t="s">
        <v>1113</v>
      </c>
      <c r="BE1" s="707"/>
      <c r="BF1" s="731" t="s">
        <v>758</v>
      </c>
      <c r="BG1" s="731" t="s">
        <v>714</v>
      </c>
      <c r="BH1" s="731" t="s">
        <v>935</v>
      </c>
      <c r="BI1" s="731" t="s">
        <v>934</v>
      </c>
      <c r="BJ1" s="731" t="s">
        <v>1069</v>
      </c>
      <c r="BK1" s="707"/>
      <c r="BL1" s="707"/>
    </row>
    <row r="2" spans="1:64" x14ac:dyDescent="0.25">
      <c r="A2" s="6" t="s">
        <v>226</v>
      </c>
      <c r="B2" s="434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4">
        <v>42809</v>
      </c>
      <c r="H2" s="7">
        <v>100</v>
      </c>
      <c r="I2" s="43">
        <v>28.91</v>
      </c>
      <c r="J2" s="43">
        <v>0.06</v>
      </c>
      <c r="K2" s="43">
        <f t="shared" ref="K2:K21" si="1">I2*H2-J2</f>
        <v>2890.94</v>
      </c>
      <c r="L2" s="72">
        <v>42810</v>
      </c>
      <c r="M2" s="43">
        <v>27.5</v>
      </c>
      <c r="O2" s="11" t="s">
        <v>57</v>
      </c>
      <c r="Q2">
        <f>C32-H32</f>
        <v>200</v>
      </c>
      <c r="X2" s="736">
        <v>0.20250000000000001</v>
      </c>
      <c r="Z2">
        <f>B2-$B$2</f>
        <v>0</v>
      </c>
      <c r="AA2" s="2">
        <f>F2</f>
        <v>3118</v>
      </c>
      <c r="AB2">
        <f>AA2*EXP(-Z2/365.25 * $X$2)</f>
        <v>3118</v>
      </c>
      <c r="AC2">
        <f>G2-$B$2</f>
        <v>51</v>
      </c>
      <c r="AD2" s="2">
        <f>K2</f>
        <v>2890.94</v>
      </c>
      <c r="AE2">
        <f>AD2*EXP(-AC2/365.25 * $X$2)</f>
        <v>2810.3430415846819</v>
      </c>
      <c r="AF2">
        <f>L2-$B$2</f>
        <v>52</v>
      </c>
      <c r="AG2" s="2">
        <f>M2</f>
        <v>27.5</v>
      </c>
      <c r="AH2">
        <f>AG2*EXP(-AF2/365.25 * $X$2)</f>
        <v>26.71850605216607</v>
      </c>
      <c r="AI2" s="2">
        <f ca="1">TODAY()-$B$2</f>
        <v>504</v>
      </c>
      <c r="AJ2">
        <f>$Q$2*$Q$4</f>
        <v>5888</v>
      </c>
      <c r="AK2">
        <f ca="1">AJ2*EXP(-$X$2 * AI2/365.25)</f>
        <v>4452.6139583434488</v>
      </c>
      <c r="AM2" s="2">
        <f>Q10</f>
        <v>1452.2599999999984</v>
      </c>
      <c r="AO2">
        <f ca="1" xml:space="preserve"> (SUM(AB:AB) - SUM(AE:AE) - SUM(AH:AH) - SUM(AK:AK))/SUM(AB:AB)</f>
        <v>-3.867579602151876E-3</v>
      </c>
      <c r="BE2" s="708" t="s">
        <v>759</v>
      </c>
      <c r="BF2" s="730">
        <v>42948</v>
      </c>
      <c r="BG2" s="730">
        <v>43039</v>
      </c>
      <c r="BH2" s="730">
        <v>43150</v>
      </c>
      <c r="BI2" s="730"/>
      <c r="BJ2" s="730"/>
      <c r="BK2" s="676"/>
      <c r="BL2" s="676"/>
    </row>
    <row r="3" spans="1:64" x14ac:dyDescent="0.25">
      <c r="A3" s="22" t="s">
        <v>71</v>
      </c>
      <c r="B3" s="43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8.5065499999998426</v>
      </c>
      <c r="U3" t="s">
        <v>732</v>
      </c>
      <c r="V3" s="22" t="s">
        <v>731</v>
      </c>
      <c r="Z3">
        <f t="shared" ref="Z3:Z31" si="2">B3-$B$2</f>
        <v>50</v>
      </c>
      <c r="AA3" s="2">
        <f t="shared" ref="AA3:AA31" si="3">F3</f>
        <v>2848</v>
      </c>
      <c r="AB3">
        <f t="shared" ref="AB3:AB31" si="4">AA3*EXP(-Z3/365.25 * $X$2)</f>
        <v>2770.1355508587367</v>
      </c>
      <c r="AC3">
        <f t="shared" ref="AC3:AC31" si="5">G3-$B$2</f>
        <v>140</v>
      </c>
      <c r="AD3" s="2">
        <f t="shared" ref="AD3:AD31" si="6">K3</f>
        <v>4835.8900000000003</v>
      </c>
      <c r="AE3">
        <f t="shared" ref="AE3:AE31" si="7">AD3*EXP(-AC3/365.25 * $X$2)</f>
        <v>4474.7349306919323</v>
      </c>
      <c r="AF3">
        <f t="shared" ref="AF3:AF31" si="8">L3-$B$2</f>
        <v>144</v>
      </c>
      <c r="AG3" s="2">
        <f t="shared" ref="AG3:AG31" si="9">M3</f>
        <v>90</v>
      </c>
      <c r="AH3">
        <f t="shared" ref="AH3:AH31" si="10">AG3*EXP(-AF3/365.25 * $X$2)</f>
        <v>83.094120011824984</v>
      </c>
      <c r="AI3" s="2"/>
      <c r="BE3" s="710"/>
      <c r="BF3" s="676"/>
      <c r="BG3" s="676"/>
      <c r="BH3" s="676"/>
      <c r="BI3" s="676"/>
      <c r="BJ3" s="676"/>
      <c r="BK3" s="676"/>
      <c r="BL3" s="676"/>
    </row>
    <row r="4" spans="1:64" x14ac:dyDescent="0.25">
      <c r="B4" s="43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29.44</v>
      </c>
      <c r="R4" s="494">
        <v>-6.9999999999999999E-4</v>
      </c>
      <c r="Z4">
        <f t="shared" si="2"/>
        <v>78</v>
      </c>
      <c r="AA4" s="2">
        <f t="shared" si="3"/>
        <v>2835</v>
      </c>
      <c r="AB4">
        <f t="shared" si="4"/>
        <v>2715.0152871520795</v>
      </c>
      <c r="AC4">
        <f t="shared" si="5"/>
        <v>168</v>
      </c>
      <c r="AD4" s="2">
        <f t="shared" si="6"/>
        <v>4829.8900000000003</v>
      </c>
      <c r="AE4">
        <f t="shared" si="7"/>
        <v>4400.3408740558207</v>
      </c>
      <c r="AF4">
        <f t="shared" si="8"/>
        <v>241</v>
      </c>
      <c r="AG4" s="2">
        <f t="shared" si="9"/>
        <v>135</v>
      </c>
      <c r="AH4">
        <f t="shared" si="10"/>
        <v>118.11524677245772</v>
      </c>
      <c r="AI4" s="2"/>
      <c r="BE4" s="710" t="s">
        <v>726</v>
      </c>
      <c r="BF4" s="714">
        <v>320</v>
      </c>
      <c r="BG4" s="714">
        <v>310</v>
      </c>
      <c r="BH4" s="714">
        <v>320</v>
      </c>
      <c r="BI4" s="714"/>
      <c r="BJ4" s="714"/>
      <c r="BK4" s="676"/>
      <c r="BL4" s="676"/>
    </row>
    <row r="5" spans="1:64" x14ac:dyDescent="0.25">
      <c r="B5" s="43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5888</v>
      </c>
      <c r="Z5">
        <f t="shared" si="2"/>
        <v>99</v>
      </c>
      <c r="AA5" s="2">
        <f t="shared" si="3"/>
        <v>2501</v>
      </c>
      <c r="AB5">
        <f t="shared" si="4"/>
        <v>2367.4267084538551</v>
      </c>
      <c r="AC5">
        <f t="shared" si="5"/>
        <v>183</v>
      </c>
      <c r="AD5" s="2">
        <f t="shared" si="6"/>
        <v>4999.88</v>
      </c>
      <c r="AE5">
        <f t="shared" si="7"/>
        <v>4517.4876361511351</v>
      </c>
      <c r="AF5">
        <f t="shared" si="8"/>
        <v>332</v>
      </c>
      <c r="AG5" s="2">
        <f t="shared" si="9"/>
        <v>12.5</v>
      </c>
      <c r="AH5">
        <f t="shared" si="10"/>
        <v>10.398514255454067</v>
      </c>
      <c r="AI5" s="2"/>
      <c r="BE5" s="711" t="s">
        <v>719</v>
      </c>
      <c r="BF5" s="714">
        <v>340</v>
      </c>
      <c r="BG5" s="714">
        <v>330</v>
      </c>
      <c r="BH5" s="714">
        <v>350</v>
      </c>
      <c r="BI5" s="714"/>
      <c r="BJ5" s="714"/>
      <c r="BK5" s="676"/>
      <c r="BL5" s="676"/>
    </row>
    <row r="6" spans="1:64" x14ac:dyDescent="0.25">
      <c r="B6" s="43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1701.3099999999686</v>
      </c>
      <c r="U6" s="772">
        <v>43150</v>
      </c>
      <c r="V6" t="s">
        <v>82</v>
      </c>
      <c r="Z6">
        <f t="shared" si="2"/>
        <v>100</v>
      </c>
      <c r="AA6" s="2">
        <f t="shared" si="3"/>
        <v>2398</v>
      </c>
      <c r="AB6">
        <f t="shared" si="4"/>
        <v>2268.6695949620648</v>
      </c>
      <c r="AC6">
        <f t="shared" si="5"/>
        <v>226</v>
      </c>
      <c r="AD6" s="2">
        <f t="shared" si="6"/>
        <v>1977.95</v>
      </c>
      <c r="AE6">
        <f t="shared" si="7"/>
        <v>1745.0151080919827</v>
      </c>
      <c r="AF6">
        <f t="shared" si="8"/>
        <v>418</v>
      </c>
      <c r="AG6" s="2">
        <f t="shared" si="9"/>
        <v>10</v>
      </c>
      <c r="AH6">
        <f t="shared" si="10"/>
        <v>7.9314804905238177</v>
      </c>
      <c r="AI6" s="2"/>
      <c r="BE6" s="712" t="s">
        <v>712</v>
      </c>
      <c r="BF6" s="714">
        <v>336</v>
      </c>
      <c r="BG6" s="728">
        <v>329</v>
      </c>
      <c r="BH6" s="728">
        <v>348</v>
      </c>
      <c r="BI6" s="728">
        <v>431</v>
      </c>
      <c r="BJ6" s="728"/>
      <c r="BK6" s="676"/>
      <c r="BL6" s="676"/>
    </row>
    <row r="7" spans="1:64" x14ac:dyDescent="0.25">
      <c r="B7" s="43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5638.9500000000298</v>
      </c>
      <c r="R7">
        <v>200</v>
      </c>
      <c r="V7" t="s">
        <v>977</v>
      </c>
      <c r="Z7">
        <f t="shared" si="2"/>
        <v>109</v>
      </c>
      <c r="AA7" s="2">
        <f t="shared" si="3"/>
        <v>4596</v>
      </c>
      <c r="AB7">
        <f t="shared" si="4"/>
        <v>4326.4837645055504</v>
      </c>
      <c r="AC7">
        <f t="shared" si="5"/>
        <v>310</v>
      </c>
      <c r="AD7" s="2">
        <f t="shared" si="6"/>
        <v>7376.83</v>
      </c>
      <c r="AE7">
        <f t="shared" si="7"/>
        <v>6211.9535256543122</v>
      </c>
      <c r="AF7">
        <f t="shared" si="8"/>
        <v>-42758</v>
      </c>
      <c r="AG7" s="2">
        <f t="shared" si="9"/>
        <v>0</v>
      </c>
      <c r="AH7">
        <f t="shared" si="10"/>
        <v>0</v>
      </c>
      <c r="AI7" s="2"/>
      <c r="BE7" s="712" t="s">
        <v>748</v>
      </c>
      <c r="BF7" s="714">
        <v>343</v>
      </c>
      <c r="BG7" s="714">
        <v>326</v>
      </c>
      <c r="BH7" s="714">
        <v>317</v>
      </c>
      <c r="BI7" s="714">
        <v>369</v>
      </c>
      <c r="BJ7" s="714"/>
      <c r="BK7" s="676"/>
      <c r="BL7" s="676"/>
    </row>
    <row r="8" spans="1:64" x14ac:dyDescent="0.25">
      <c r="B8" s="43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4186.6900000000314</v>
      </c>
      <c r="Z8">
        <f t="shared" si="2"/>
        <v>142</v>
      </c>
      <c r="AA8" s="2">
        <f t="shared" si="3"/>
        <v>4636</v>
      </c>
      <c r="AB8">
        <f t="shared" si="4"/>
        <v>4285.0191713204777</v>
      </c>
      <c r="AC8">
        <f t="shared" si="5"/>
        <v>332</v>
      </c>
      <c r="AD8" s="2">
        <f t="shared" si="6"/>
        <v>1258.97</v>
      </c>
      <c r="AE8">
        <f t="shared" si="7"/>
        <v>1047.3133993751208</v>
      </c>
      <c r="AF8">
        <f t="shared" si="8"/>
        <v>-42758</v>
      </c>
      <c r="AG8" s="2">
        <f t="shared" si="9"/>
        <v>0</v>
      </c>
      <c r="AH8">
        <f t="shared" si="10"/>
        <v>0</v>
      </c>
      <c r="AI8" s="2"/>
      <c r="BE8" s="712" t="s">
        <v>720</v>
      </c>
      <c r="BF8" s="714">
        <v>2.2999999999999998</v>
      </c>
      <c r="BG8" s="714">
        <v>2.2000000000000002</v>
      </c>
      <c r="BH8" s="714">
        <v>2.2999999999999998</v>
      </c>
      <c r="BI8" s="714">
        <v>1.9</v>
      </c>
      <c r="BJ8" s="714">
        <v>2.1</v>
      </c>
      <c r="BK8" s="676"/>
      <c r="BL8" s="676"/>
    </row>
    <row r="9" spans="1:64" x14ac:dyDescent="0.25">
      <c r="B9" s="43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2.460862511829184</v>
      </c>
      <c r="Z9">
        <f t="shared" si="2"/>
        <v>169</v>
      </c>
      <c r="AA9" s="2">
        <f t="shared" si="3"/>
        <v>1165</v>
      </c>
      <c r="AB9">
        <f t="shared" si="4"/>
        <v>1060.8017482057539</v>
      </c>
      <c r="AC9">
        <f t="shared" si="5"/>
        <v>344</v>
      </c>
      <c r="AD9" s="2">
        <f t="shared" si="6"/>
        <v>1328.97</v>
      </c>
      <c r="AE9">
        <f t="shared" si="7"/>
        <v>1098.2143254739813</v>
      </c>
      <c r="AF9">
        <f t="shared" si="8"/>
        <v>-42758</v>
      </c>
      <c r="AG9" s="2">
        <f t="shared" si="9"/>
        <v>0</v>
      </c>
      <c r="AH9">
        <f t="shared" si="10"/>
        <v>0</v>
      </c>
      <c r="AI9" s="2"/>
      <c r="BE9" s="712" t="s">
        <v>721</v>
      </c>
      <c r="BF9" s="714">
        <v>2.6</v>
      </c>
      <c r="BG9" s="714">
        <v>2.5</v>
      </c>
      <c r="BH9" s="714">
        <v>2.6</v>
      </c>
      <c r="BI9" s="714">
        <v>2.2000000000000002</v>
      </c>
      <c r="BJ9" s="714">
        <v>2.4</v>
      </c>
      <c r="BK9" s="676"/>
      <c r="BL9" s="676"/>
    </row>
    <row r="10" spans="1:64" x14ac:dyDescent="0.25">
      <c r="B10" s="434">
        <v>42927</v>
      </c>
      <c r="C10" s="7">
        <v>150</v>
      </c>
      <c r="D10" s="43">
        <v>23.3</v>
      </c>
      <c r="E10" s="43">
        <v>0</v>
      </c>
      <c r="F10" s="43">
        <f t="shared" ref="F10" si="11">D10*C10+E10</f>
        <v>3495</v>
      </c>
      <c r="G10" s="43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Z10">
        <f t="shared" si="2"/>
        <v>169</v>
      </c>
      <c r="AA10" s="2">
        <f t="shared" si="3"/>
        <v>3495</v>
      </c>
      <c r="AB10">
        <f t="shared" si="4"/>
        <v>3182.4052446172618</v>
      </c>
      <c r="AC10">
        <f t="shared" si="5"/>
        <v>360</v>
      </c>
      <c r="AD10" s="2">
        <f t="shared" si="6"/>
        <v>1323.97</v>
      </c>
      <c r="AE10">
        <f t="shared" si="7"/>
        <v>1084.4202108272971</v>
      </c>
      <c r="AF10">
        <f t="shared" si="8"/>
        <v>-42758</v>
      </c>
      <c r="AG10" s="2">
        <f t="shared" si="9"/>
        <v>0</v>
      </c>
      <c r="AH10">
        <f t="shared" si="10"/>
        <v>0</v>
      </c>
      <c r="AI10" s="2"/>
      <c r="BE10" s="712" t="s">
        <v>738</v>
      </c>
      <c r="BF10" s="714">
        <v>2.6</v>
      </c>
      <c r="BG10" s="728">
        <v>2.1</v>
      </c>
      <c r="BH10" s="728">
        <v>2.5</v>
      </c>
      <c r="BI10" s="836">
        <v>1.9</v>
      </c>
      <c r="BJ10" s="836"/>
      <c r="BK10" s="676"/>
      <c r="BL10" s="676"/>
    </row>
    <row r="11" spans="1:64" x14ac:dyDescent="0.25">
      <c r="B11" s="434">
        <v>42942</v>
      </c>
      <c r="C11" s="7">
        <v>200</v>
      </c>
      <c r="D11" s="43">
        <v>24.28</v>
      </c>
      <c r="E11" s="43">
        <v>0</v>
      </c>
      <c r="F11" s="43">
        <f t="shared" ref="F11:F25" si="12">D11*C11+E11</f>
        <v>4856</v>
      </c>
      <c r="G11" s="43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3.3967391304347825E-3</v>
      </c>
      <c r="R11">
        <f>0.025</f>
        <v>2.5000000000000001E-2</v>
      </c>
      <c r="V11" t="s">
        <v>1068</v>
      </c>
      <c r="Z11">
        <f t="shared" si="2"/>
        <v>184</v>
      </c>
      <c r="AA11" s="2">
        <f t="shared" si="3"/>
        <v>4856</v>
      </c>
      <c r="AB11">
        <f t="shared" si="4"/>
        <v>4385.0574772224636</v>
      </c>
      <c r="AC11">
        <f t="shared" si="5"/>
        <v>368</v>
      </c>
      <c r="AD11" s="2">
        <f t="shared" si="6"/>
        <v>2761.94</v>
      </c>
      <c r="AE11">
        <f t="shared" si="7"/>
        <v>2252.2026450402391</v>
      </c>
      <c r="AF11">
        <f t="shared" si="8"/>
        <v>-42758</v>
      </c>
      <c r="AG11" s="2">
        <f t="shared" si="9"/>
        <v>0</v>
      </c>
      <c r="AH11">
        <f t="shared" si="10"/>
        <v>0</v>
      </c>
      <c r="AI11" s="2"/>
      <c r="BE11" s="676"/>
      <c r="BF11" s="714"/>
      <c r="BG11" s="676"/>
      <c r="BH11" s="676"/>
      <c r="BI11" s="676"/>
      <c r="BJ11" s="676"/>
      <c r="BK11" s="676"/>
      <c r="BL11" s="676"/>
    </row>
    <row r="12" spans="1:64" x14ac:dyDescent="0.25">
      <c r="B12" s="434">
        <v>42948</v>
      </c>
      <c r="C12" s="7">
        <v>100</v>
      </c>
      <c r="D12" s="43">
        <v>22.88</v>
      </c>
      <c r="E12" s="43">
        <v>0</v>
      </c>
      <c r="F12" s="43">
        <f t="shared" si="12"/>
        <v>2288</v>
      </c>
      <c r="G12" s="43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948</v>
      </c>
      <c r="Q12" s="1"/>
      <c r="Z12">
        <f t="shared" si="2"/>
        <v>190</v>
      </c>
      <c r="AA12" s="2">
        <f t="shared" si="3"/>
        <v>2288</v>
      </c>
      <c r="AB12">
        <f t="shared" si="4"/>
        <v>2059.2446987630424</v>
      </c>
      <c r="AC12">
        <f t="shared" si="5"/>
        <v>382</v>
      </c>
      <c r="AD12" s="2">
        <f t="shared" si="6"/>
        <v>4895.8900000000003</v>
      </c>
      <c r="AE12">
        <f t="shared" si="7"/>
        <v>3961.4480594327724</v>
      </c>
      <c r="AF12">
        <f t="shared" si="8"/>
        <v>-42758</v>
      </c>
      <c r="AG12" s="2">
        <f t="shared" si="9"/>
        <v>0</v>
      </c>
      <c r="AH12">
        <f t="shared" si="10"/>
        <v>0</v>
      </c>
      <c r="AI12" s="2"/>
      <c r="BE12" s="712" t="s">
        <v>715</v>
      </c>
      <c r="BF12" s="714"/>
      <c r="BG12" s="719">
        <v>7.0000000000000007E-2</v>
      </c>
      <c r="BH12" s="719" t="s">
        <v>760</v>
      </c>
      <c r="BI12" s="732" t="s">
        <v>938</v>
      </c>
      <c r="BJ12" s="839" t="s">
        <v>939</v>
      </c>
      <c r="BK12" s="676"/>
      <c r="BL12" s="676"/>
    </row>
    <row r="13" spans="1:64" x14ac:dyDescent="0.25">
      <c r="B13" s="434">
        <v>42948</v>
      </c>
      <c r="C13" s="7">
        <v>100</v>
      </c>
      <c r="D13" s="43">
        <v>22.08</v>
      </c>
      <c r="E13" s="43">
        <v>0</v>
      </c>
      <c r="F13" s="43">
        <f t="shared" si="12"/>
        <v>2208</v>
      </c>
      <c r="G13" s="43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975</v>
      </c>
      <c r="Q13" s="2">
        <f>Q4/(1.4)</f>
        <v>21.028571428571432</v>
      </c>
      <c r="U13" s="1">
        <v>43234</v>
      </c>
      <c r="V13" t="s">
        <v>1115</v>
      </c>
      <c r="Z13">
        <f t="shared" si="2"/>
        <v>190</v>
      </c>
      <c r="AA13" s="2">
        <f t="shared" si="3"/>
        <v>2208</v>
      </c>
      <c r="AB13">
        <f t="shared" si="4"/>
        <v>1987.2431358692295</v>
      </c>
      <c r="AC13">
        <f t="shared" si="5"/>
        <v>393</v>
      </c>
      <c r="AD13" s="2">
        <f t="shared" si="6"/>
        <v>2618.94</v>
      </c>
      <c r="AE13">
        <f t="shared" si="7"/>
        <v>2106.1984614728581</v>
      </c>
      <c r="AF13">
        <f t="shared" si="8"/>
        <v>-42758</v>
      </c>
      <c r="AG13" s="2">
        <f t="shared" si="9"/>
        <v>0</v>
      </c>
      <c r="AH13">
        <f t="shared" si="10"/>
        <v>0</v>
      </c>
      <c r="AI13" s="2"/>
      <c r="BE13" s="712" t="s">
        <v>722</v>
      </c>
      <c r="BF13" s="714"/>
      <c r="BG13" s="719">
        <v>0.09</v>
      </c>
      <c r="BH13" s="719"/>
      <c r="BI13" s="732" t="s">
        <v>939</v>
      </c>
      <c r="BJ13" s="839" t="s">
        <v>1070</v>
      </c>
      <c r="BK13" s="676"/>
      <c r="BL13" s="676"/>
    </row>
    <row r="14" spans="1:64" x14ac:dyDescent="0.25">
      <c r="B14" s="434">
        <v>42983</v>
      </c>
      <c r="C14" s="7">
        <v>100</v>
      </c>
      <c r="D14" s="43">
        <v>19.61</v>
      </c>
      <c r="E14" s="43">
        <v>-0.38</v>
      </c>
      <c r="F14" s="43">
        <f t="shared" si="12"/>
        <v>1960.62</v>
      </c>
      <c r="G14" s="43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1114</v>
      </c>
      <c r="Q14" s="736">
        <v>0.20250000000000001</v>
      </c>
      <c r="V14" t="s">
        <v>1116</v>
      </c>
      <c r="Z14">
        <f t="shared" si="2"/>
        <v>225</v>
      </c>
      <c r="AA14" s="2">
        <f t="shared" si="3"/>
        <v>1960.62</v>
      </c>
      <c r="AB14">
        <f t="shared" si="4"/>
        <v>1730.6852411981997</v>
      </c>
      <c r="AC14">
        <f t="shared" si="5"/>
        <v>393</v>
      </c>
      <c r="AD14" s="2">
        <f t="shared" si="6"/>
        <v>2684.94</v>
      </c>
      <c r="AE14">
        <f t="shared" si="7"/>
        <v>2159.2768437409545</v>
      </c>
      <c r="AF14">
        <f t="shared" si="8"/>
        <v>-42758</v>
      </c>
      <c r="AG14" s="2">
        <f t="shared" si="9"/>
        <v>0</v>
      </c>
      <c r="AH14">
        <f t="shared" si="10"/>
        <v>0</v>
      </c>
      <c r="AI14" s="2"/>
      <c r="BE14" s="712" t="s">
        <v>746</v>
      </c>
      <c r="BF14" s="720">
        <v>0.08</v>
      </c>
      <c r="BG14" s="838">
        <f>BG17/BG22</f>
        <v>8.3854818523153948E-2</v>
      </c>
      <c r="BH14" s="729">
        <f t="shared" ref="BH14" si="13">BH17/BH22</f>
        <v>0.13300000000000001</v>
      </c>
      <c r="BI14" s="729">
        <f>BI17/BI22</f>
        <v>6.5819861431870672E-2</v>
      </c>
      <c r="BJ14" s="729"/>
      <c r="BK14" s="676"/>
      <c r="BL14" s="676"/>
    </row>
    <row r="15" spans="1:64" x14ac:dyDescent="0.25">
      <c r="B15" s="434">
        <v>43116</v>
      </c>
      <c r="C15" s="7">
        <v>50</v>
      </c>
      <c r="D15" s="43">
        <v>25.78</v>
      </c>
      <c r="E15" s="43">
        <v>0</v>
      </c>
      <c r="F15" s="43">
        <f t="shared" si="12"/>
        <v>1289</v>
      </c>
      <c r="G15" s="434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>
        <f t="shared" si="2"/>
        <v>358</v>
      </c>
      <c r="AA15" s="2">
        <f t="shared" si="3"/>
        <v>1289</v>
      </c>
      <c r="AB15">
        <f t="shared" si="4"/>
        <v>1056.94876238029</v>
      </c>
      <c r="AC15">
        <f t="shared" si="5"/>
        <v>430</v>
      </c>
      <c r="AD15" s="2">
        <f t="shared" si="6"/>
        <v>4851.8900000000003</v>
      </c>
      <c r="AE15">
        <f t="shared" si="7"/>
        <v>3822.7496313557244</v>
      </c>
      <c r="AF15">
        <f t="shared" si="8"/>
        <v>-42758</v>
      </c>
      <c r="AG15" s="2">
        <f t="shared" si="9"/>
        <v>0</v>
      </c>
      <c r="AH15">
        <f t="shared" si="10"/>
        <v>0</v>
      </c>
      <c r="AI15" s="2"/>
      <c r="BE15" s="712" t="s">
        <v>716</v>
      </c>
      <c r="BF15" s="714"/>
      <c r="BG15" s="676"/>
      <c r="BH15" s="676"/>
      <c r="BI15" s="676"/>
      <c r="BJ15" s="676"/>
      <c r="BK15" s="676"/>
      <c r="BL15" s="676"/>
    </row>
    <row r="16" spans="1:64" ht="20.25" thickBot="1" x14ac:dyDescent="0.35">
      <c r="A16" t="s">
        <v>783</v>
      </c>
      <c r="B16" s="434">
        <v>43131</v>
      </c>
      <c r="C16" s="7">
        <v>100</v>
      </c>
      <c r="D16" s="43">
        <v>26.88</v>
      </c>
      <c r="E16" s="43">
        <v>0</v>
      </c>
      <c r="F16" s="43">
        <f t="shared" si="12"/>
        <v>2688</v>
      </c>
      <c r="G16" s="434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50" t="s">
        <v>78</v>
      </c>
      <c r="P16" s="850"/>
      <c r="Z16">
        <f t="shared" si="2"/>
        <v>373</v>
      </c>
      <c r="AA16" s="2">
        <f t="shared" si="3"/>
        <v>2688</v>
      </c>
      <c r="AB16">
        <f t="shared" si="4"/>
        <v>2185.8411236376865</v>
      </c>
      <c r="AC16">
        <f t="shared" si="5"/>
        <v>437</v>
      </c>
      <c r="AD16" s="2">
        <f t="shared" si="6"/>
        <v>5049.88</v>
      </c>
      <c r="AE16">
        <f t="shared" si="7"/>
        <v>3963.3325320022386</v>
      </c>
      <c r="AF16">
        <f t="shared" si="8"/>
        <v>-42758</v>
      </c>
      <c r="AG16" s="2">
        <f t="shared" si="9"/>
        <v>0</v>
      </c>
      <c r="AH16">
        <f t="shared" si="10"/>
        <v>0</v>
      </c>
      <c r="AI16" s="2"/>
      <c r="BE16" s="712" t="s">
        <v>717</v>
      </c>
      <c r="BF16" s="714"/>
      <c r="BG16" s="676"/>
      <c r="BH16" s="676"/>
      <c r="BI16" s="676"/>
      <c r="BJ16" s="676"/>
      <c r="BK16" s="676"/>
      <c r="BL16" s="676"/>
    </row>
    <row r="17" spans="1:64" ht="15.75" thickTop="1" x14ac:dyDescent="0.25">
      <c r="B17" s="434">
        <v>43133</v>
      </c>
      <c r="C17" s="7">
        <v>200</v>
      </c>
      <c r="D17" s="43">
        <v>25.88</v>
      </c>
      <c r="E17" s="43">
        <v>0</v>
      </c>
      <c r="F17" s="43">
        <f t="shared" si="12"/>
        <v>5176</v>
      </c>
      <c r="G17" s="434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32.384000000000007</v>
      </c>
      <c r="Z17">
        <f t="shared" si="2"/>
        <v>375</v>
      </c>
      <c r="AA17" s="2">
        <f t="shared" si="3"/>
        <v>5176</v>
      </c>
      <c r="AB17">
        <f t="shared" si="4"/>
        <v>4204.3807316308321</v>
      </c>
      <c r="AC17">
        <f t="shared" si="5"/>
        <v>442</v>
      </c>
      <c r="AD17" s="2">
        <f t="shared" si="6"/>
        <v>5043.88</v>
      </c>
      <c r="AE17">
        <f t="shared" si="7"/>
        <v>3947.6651089327752</v>
      </c>
      <c r="AF17">
        <f t="shared" si="8"/>
        <v>-42758</v>
      </c>
      <c r="AG17" s="2">
        <f t="shared" si="9"/>
        <v>0</v>
      </c>
      <c r="AH17">
        <f t="shared" si="10"/>
        <v>0</v>
      </c>
      <c r="AI17" s="2"/>
      <c r="AM17" s="2"/>
      <c r="BE17" s="712" t="s">
        <v>933</v>
      </c>
      <c r="BF17" s="714">
        <v>76</v>
      </c>
      <c r="BG17" s="424">
        <v>67</v>
      </c>
      <c r="BH17" s="424">
        <v>133</v>
      </c>
      <c r="BI17" s="424">
        <v>57</v>
      </c>
      <c r="BJ17" s="424"/>
      <c r="BK17" s="676"/>
      <c r="BL17" s="676"/>
    </row>
    <row r="18" spans="1:64" x14ac:dyDescent="0.25">
      <c r="B18" s="434">
        <v>43140</v>
      </c>
      <c r="C18" s="7">
        <v>200</v>
      </c>
      <c r="D18" s="43">
        <v>23.58</v>
      </c>
      <c r="E18" s="43">
        <v>0</v>
      </c>
      <c r="F18" s="43">
        <f t="shared" si="12"/>
        <v>4716</v>
      </c>
      <c r="G18" s="434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14">O18*$Q$4</f>
        <v>32.089600000000004</v>
      </c>
      <c r="Y18" s="29"/>
      <c r="Z18">
        <f t="shared" si="2"/>
        <v>382</v>
      </c>
      <c r="AA18" s="2">
        <f t="shared" si="3"/>
        <v>4716</v>
      </c>
      <c r="AB18">
        <f t="shared" si="4"/>
        <v>3815.8923195343345</v>
      </c>
      <c r="AC18">
        <f t="shared" si="5"/>
        <v>466</v>
      </c>
      <c r="AD18" s="2">
        <f t="shared" si="6"/>
        <v>5515.87</v>
      </c>
      <c r="AE18">
        <f t="shared" si="7"/>
        <v>4260.0125331155459</v>
      </c>
      <c r="AF18">
        <f t="shared" si="8"/>
        <v>-42758</v>
      </c>
      <c r="AG18" s="2">
        <f t="shared" si="9"/>
        <v>0</v>
      </c>
      <c r="AH18">
        <f t="shared" si="10"/>
        <v>0</v>
      </c>
      <c r="AI18" s="2"/>
      <c r="BE18" s="676"/>
      <c r="BF18" s="714"/>
      <c r="BG18" s="676"/>
      <c r="BH18" s="676"/>
      <c r="BI18" s="676"/>
      <c r="BJ18" s="676"/>
      <c r="BK18" s="676"/>
      <c r="BL18" s="676"/>
    </row>
    <row r="19" spans="1:64" x14ac:dyDescent="0.25">
      <c r="A19" t="s">
        <v>783</v>
      </c>
      <c r="B19" s="434">
        <v>43178</v>
      </c>
      <c r="C19" s="7">
        <v>200</v>
      </c>
      <c r="D19" s="43">
        <v>25.28</v>
      </c>
      <c r="E19" s="43">
        <v>-1</v>
      </c>
      <c r="F19" s="43">
        <f t="shared" si="12"/>
        <v>5055</v>
      </c>
      <c r="G19" s="571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14"/>
        <v>31.795200000000005</v>
      </c>
      <c r="Y19" s="29"/>
      <c r="Z19">
        <f t="shared" si="2"/>
        <v>420</v>
      </c>
      <c r="AA19" s="2">
        <f t="shared" si="3"/>
        <v>5055</v>
      </c>
      <c r="AB19">
        <f t="shared" si="4"/>
        <v>4004.9201511346359</v>
      </c>
      <c r="AC19">
        <f t="shared" si="5"/>
        <v>476</v>
      </c>
      <c r="AD19" s="2">
        <f t="shared" si="6"/>
        <v>5473.87</v>
      </c>
      <c r="AE19">
        <f t="shared" si="7"/>
        <v>4204.2016762675439</v>
      </c>
      <c r="AF19">
        <f t="shared" si="8"/>
        <v>-42758</v>
      </c>
      <c r="AG19" s="2">
        <f t="shared" si="9"/>
        <v>0</v>
      </c>
      <c r="AH19">
        <f t="shared" si="10"/>
        <v>0</v>
      </c>
      <c r="AI19" s="2"/>
      <c r="BE19" s="712" t="s">
        <v>727</v>
      </c>
      <c r="BF19" s="717" t="s">
        <v>730</v>
      </c>
      <c r="BG19" s="712" t="s">
        <v>730</v>
      </c>
      <c r="BH19" s="712" t="s">
        <v>730</v>
      </c>
      <c r="BI19" s="712"/>
      <c r="BJ19" s="712"/>
      <c r="BK19" s="676"/>
      <c r="BL19" s="676"/>
    </row>
    <row r="20" spans="1:64" x14ac:dyDescent="0.25">
      <c r="B20" s="434">
        <v>43187</v>
      </c>
      <c r="C20" s="7">
        <v>200</v>
      </c>
      <c r="D20" s="43">
        <v>23.62</v>
      </c>
      <c r="E20" s="43">
        <v>-1</v>
      </c>
      <c r="F20" s="43">
        <f t="shared" si="12"/>
        <v>4723</v>
      </c>
      <c r="G20" s="434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1.07</v>
      </c>
      <c r="P20" s="81">
        <f t="shared" si="14"/>
        <v>31.500800000000002</v>
      </c>
      <c r="Y20" s="29"/>
      <c r="Z20">
        <f t="shared" si="2"/>
        <v>429</v>
      </c>
      <c r="AA20" s="2">
        <f t="shared" si="3"/>
        <v>4723</v>
      </c>
      <c r="AB20">
        <f t="shared" si="4"/>
        <v>3723.262307688648</v>
      </c>
      <c r="AC20">
        <f t="shared" si="5"/>
        <v>499</v>
      </c>
      <c r="AD20" s="2">
        <f t="shared" si="6"/>
        <v>2857.96</v>
      </c>
      <c r="AE20">
        <f t="shared" si="7"/>
        <v>2167.2413817939178</v>
      </c>
      <c r="AF20">
        <f t="shared" si="8"/>
        <v>-42758</v>
      </c>
      <c r="AG20" s="2">
        <f t="shared" si="9"/>
        <v>0</v>
      </c>
      <c r="AH20">
        <f t="shared" si="10"/>
        <v>0</v>
      </c>
      <c r="AI20" s="2"/>
      <c r="BE20" s="712" t="s">
        <v>728</v>
      </c>
      <c r="BF20" s="719">
        <v>0.84</v>
      </c>
      <c r="BG20" s="729">
        <v>0.8</v>
      </c>
      <c r="BH20" s="729">
        <v>0.79</v>
      </c>
      <c r="BI20" s="729"/>
      <c r="BJ20" s="729"/>
      <c r="BK20" s="676"/>
      <c r="BL20" s="676"/>
    </row>
    <row r="21" spans="1:64" x14ac:dyDescent="0.25">
      <c r="B21" s="434">
        <v>43192</v>
      </c>
      <c r="C21" s="7">
        <v>200</v>
      </c>
      <c r="D21" s="43">
        <v>23.68</v>
      </c>
      <c r="E21" s="43">
        <v>0</v>
      </c>
      <c r="F21" s="43">
        <f t="shared" si="12"/>
        <v>4736</v>
      </c>
      <c r="G21" s="434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1.06</v>
      </c>
      <c r="P21" s="81">
        <f t="shared" si="14"/>
        <v>31.206400000000002</v>
      </c>
      <c r="Y21" s="29"/>
      <c r="Z21">
        <f t="shared" si="2"/>
        <v>434</v>
      </c>
      <c r="AA21" s="2">
        <f t="shared" si="3"/>
        <v>4736</v>
      </c>
      <c r="AB21">
        <f t="shared" si="4"/>
        <v>3723.1753062881735</v>
      </c>
      <c r="AC21">
        <f t="shared" si="5"/>
        <v>499</v>
      </c>
      <c r="AD21" s="2">
        <f t="shared" si="6"/>
        <v>2897.96</v>
      </c>
      <c r="AE21">
        <f t="shared" si="7"/>
        <v>2197.5740859856337</v>
      </c>
      <c r="AF21">
        <f t="shared" si="8"/>
        <v>-42758</v>
      </c>
      <c r="AG21" s="2">
        <f t="shared" si="9"/>
        <v>0</v>
      </c>
      <c r="AH21">
        <f t="shared" si="10"/>
        <v>0</v>
      </c>
      <c r="AI21" s="2"/>
      <c r="BE21" s="712" t="s">
        <v>748</v>
      </c>
      <c r="BF21" s="719">
        <v>0.82</v>
      </c>
      <c r="BG21" s="719">
        <v>0.84</v>
      </c>
      <c r="BH21" s="719">
        <v>0.84</v>
      </c>
      <c r="BI21" s="719"/>
      <c r="BJ21" s="719"/>
      <c r="BK21" s="676"/>
      <c r="BL21" s="676"/>
    </row>
    <row r="22" spans="1:64" x14ac:dyDescent="0.25">
      <c r="B22" s="434">
        <v>43196</v>
      </c>
      <c r="C22" s="7">
        <v>100</v>
      </c>
      <c r="D22" s="43">
        <v>24.5</v>
      </c>
      <c r="E22" s="43">
        <v>0</v>
      </c>
      <c r="F22" s="43">
        <f t="shared" si="12"/>
        <v>2450</v>
      </c>
      <c r="O22" s="81">
        <v>1.05</v>
      </c>
      <c r="P22" s="81">
        <f t="shared" si="14"/>
        <v>30.912000000000003</v>
      </c>
      <c r="Y22" s="29"/>
      <c r="Z22">
        <f t="shared" si="2"/>
        <v>438</v>
      </c>
      <c r="AA22" s="2">
        <f t="shared" si="3"/>
        <v>2450</v>
      </c>
      <c r="AB22">
        <f t="shared" si="4"/>
        <v>1921.7848219351461</v>
      </c>
      <c r="AC22">
        <f t="shared" si="5"/>
        <v>-42758</v>
      </c>
      <c r="AD22" s="2">
        <f t="shared" si="6"/>
        <v>0</v>
      </c>
      <c r="AE22">
        <f t="shared" si="7"/>
        <v>0</v>
      </c>
      <c r="AF22">
        <f t="shared" si="8"/>
        <v>-42758</v>
      </c>
      <c r="AG22" s="2">
        <f t="shared" si="9"/>
        <v>0</v>
      </c>
      <c r="AH22">
        <f t="shared" si="10"/>
        <v>0</v>
      </c>
      <c r="AI22" s="2"/>
      <c r="BE22" s="718" t="s">
        <v>745</v>
      </c>
      <c r="BF22" s="714">
        <v>975</v>
      </c>
      <c r="BG22" s="424">
        <v>799</v>
      </c>
      <c r="BH22" s="424">
        <v>1000</v>
      </c>
      <c r="BI22" s="424">
        <v>866</v>
      </c>
      <c r="BJ22" s="424"/>
      <c r="BK22" s="676"/>
      <c r="BL22" s="676"/>
    </row>
    <row r="23" spans="1:64" x14ac:dyDescent="0.25">
      <c r="B23" s="434">
        <v>43196</v>
      </c>
      <c r="C23" s="7">
        <v>100</v>
      </c>
      <c r="D23" s="43">
        <v>24.05</v>
      </c>
      <c r="E23" s="43">
        <v>0</v>
      </c>
      <c r="F23" s="43">
        <f t="shared" si="12"/>
        <v>2405</v>
      </c>
      <c r="O23" s="81">
        <v>1.04</v>
      </c>
      <c r="P23" s="81">
        <f t="shared" si="14"/>
        <v>30.617600000000003</v>
      </c>
      <c r="Y23" s="29"/>
      <c r="Z23">
        <f t="shared" si="2"/>
        <v>438</v>
      </c>
      <c r="AA23" s="2">
        <f t="shared" si="3"/>
        <v>2405</v>
      </c>
      <c r="AB23">
        <f t="shared" si="4"/>
        <v>1886.4867333689904</v>
      </c>
      <c r="AC23">
        <f t="shared" si="5"/>
        <v>-42758</v>
      </c>
      <c r="AD23" s="2">
        <f t="shared" si="6"/>
        <v>0</v>
      </c>
      <c r="AE23">
        <f t="shared" si="7"/>
        <v>0</v>
      </c>
      <c r="AF23">
        <f t="shared" si="8"/>
        <v>-42758</v>
      </c>
      <c r="AG23" s="2">
        <f t="shared" si="9"/>
        <v>0</v>
      </c>
      <c r="AH23">
        <f t="shared" si="10"/>
        <v>0</v>
      </c>
      <c r="AI23" s="2"/>
      <c r="BE23" s="676"/>
      <c r="BF23" s="714"/>
      <c r="BG23" s="676"/>
      <c r="BH23" s="676"/>
      <c r="BI23" s="676"/>
      <c r="BJ23" s="676"/>
      <c r="BK23" s="676"/>
      <c r="BL23" s="676"/>
    </row>
    <row r="24" spans="1:64" x14ac:dyDescent="0.25">
      <c r="B24" s="72">
        <v>43227</v>
      </c>
      <c r="C24" s="4">
        <v>100</v>
      </c>
      <c r="D24" s="2">
        <v>27.02</v>
      </c>
      <c r="E24" s="2">
        <v>0</v>
      </c>
      <c r="F24" s="2">
        <f t="shared" si="12"/>
        <v>2702</v>
      </c>
      <c r="O24" s="81">
        <v>1.03</v>
      </c>
      <c r="P24" s="81">
        <f t="shared" si="14"/>
        <v>30.323200000000003</v>
      </c>
      <c r="Y24" s="29"/>
      <c r="Z24">
        <f t="shared" si="2"/>
        <v>469</v>
      </c>
      <c r="AA24" s="2">
        <f t="shared" si="3"/>
        <v>2702</v>
      </c>
      <c r="AB24">
        <f t="shared" si="4"/>
        <v>2083.3386053752188</v>
      </c>
      <c r="AC24">
        <f t="shared" si="5"/>
        <v>-42758</v>
      </c>
      <c r="AD24" s="2">
        <f t="shared" si="6"/>
        <v>0</v>
      </c>
      <c r="AE24">
        <f t="shared" si="7"/>
        <v>0</v>
      </c>
      <c r="AF24">
        <f t="shared" si="8"/>
        <v>-42758</v>
      </c>
      <c r="AG24" s="2">
        <f t="shared" si="9"/>
        <v>0</v>
      </c>
      <c r="AH24">
        <f t="shared" si="10"/>
        <v>0</v>
      </c>
      <c r="AI24" s="2"/>
      <c r="BE24" s="709" t="s">
        <v>711</v>
      </c>
      <c r="BF24" s="714"/>
      <c r="BG24" s="676"/>
      <c r="BH24" s="676"/>
      <c r="BI24" s="676"/>
      <c r="BJ24" s="676"/>
      <c r="BK24" s="676"/>
      <c r="BL24" s="676"/>
    </row>
    <row r="25" spans="1:64" x14ac:dyDescent="0.25">
      <c r="B25" s="72">
        <v>43228</v>
      </c>
      <c r="C25" s="4">
        <v>100</v>
      </c>
      <c r="D25" s="2">
        <v>26.08</v>
      </c>
      <c r="E25" s="2">
        <v>0</v>
      </c>
      <c r="F25" s="2">
        <f t="shared" si="12"/>
        <v>2608</v>
      </c>
      <c r="O25" s="81">
        <v>1.02</v>
      </c>
      <c r="P25" s="81">
        <f t="shared" si="14"/>
        <v>30.0288</v>
      </c>
      <c r="Y25" s="29"/>
      <c r="Z25">
        <f t="shared" si="2"/>
        <v>470</v>
      </c>
      <c r="AA25" s="2">
        <f t="shared" si="3"/>
        <v>2608</v>
      </c>
      <c r="AB25">
        <f t="shared" si="4"/>
        <v>2009.7467023509948</v>
      </c>
      <c r="AC25">
        <f t="shared" si="5"/>
        <v>-42758</v>
      </c>
      <c r="AD25" s="2">
        <f t="shared" si="6"/>
        <v>0</v>
      </c>
      <c r="AE25">
        <f t="shared" si="7"/>
        <v>0</v>
      </c>
      <c r="AF25">
        <f t="shared" si="8"/>
        <v>-42758</v>
      </c>
      <c r="AG25" s="2">
        <f t="shared" si="9"/>
        <v>0</v>
      </c>
      <c r="AH25">
        <f t="shared" si="10"/>
        <v>0</v>
      </c>
      <c r="AI25" s="2"/>
      <c r="BE25" s="710" t="s">
        <v>723</v>
      </c>
      <c r="BF25" s="714">
        <v>170</v>
      </c>
      <c r="BG25" s="714">
        <v>165</v>
      </c>
      <c r="BH25" s="714">
        <v>175</v>
      </c>
      <c r="BI25" s="714"/>
      <c r="BJ25" s="714"/>
      <c r="BK25" s="676"/>
      <c r="BL25" s="676"/>
    </row>
    <row r="26" spans="1:64" x14ac:dyDescent="0.25">
      <c r="C26" s="4"/>
      <c r="O26" s="81">
        <v>1.01</v>
      </c>
      <c r="P26" s="81">
        <f t="shared" si="14"/>
        <v>29.734400000000001</v>
      </c>
      <c r="Y26" s="29"/>
      <c r="Z26">
        <f t="shared" si="2"/>
        <v>-42758</v>
      </c>
      <c r="AA26" s="2">
        <f t="shared" si="3"/>
        <v>0</v>
      </c>
      <c r="AB26">
        <f t="shared" si="4"/>
        <v>0</v>
      </c>
      <c r="AC26">
        <f t="shared" si="5"/>
        <v>-42758</v>
      </c>
      <c r="AD26" s="2">
        <f t="shared" si="6"/>
        <v>0</v>
      </c>
      <c r="AE26">
        <f t="shared" si="7"/>
        <v>0</v>
      </c>
      <c r="AF26">
        <f t="shared" si="8"/>
        <v>-42758</v>
      </c>
      <c r="AG26" s="2">
        <f t="shared" si="9"/>
        <v>0</v>
      </c>
      <c r="AH26">
        <f t="shared" si="10"/>
        <v>0</v>
      </c>
      <c r="AI26" s="2"/>
      <c r="BE26" s="711" t="s">
        <v>724</v>
      </c>
      <c r="BF26" s="714">
        <v>185</v>
      </c>
      <c r="BG26" s="714">
        <v>180</v>
      </c>
      <c r="BH26" s="714">
        <v>195</v>
      </c>
      <c r="BI26" s="714"/>
      <c r="BJ26" s="714"/>
      <c r="BK26" s="676"/>
      <c r="BL26" s="676"/>
    </row>
    <row r="27" spans="1:64" x14ac:dyDescent="0.25">
      <c r="O27" s="81">
        <v>1</v>
      </c>
      <c r="P27" s="81">
        <f t="shared" si="14"/>
        <v>29.44</v>
      </c>
      <c r="Y27" s="29"/>
      <c r="Z27">
        <f t="shared" si="2"/>
        <v>-42758</v>
      </c>
      <c r="AA27" s="2">
        <f t="shared" si="3"/>
        <v>0</v>
      </c>
      <c r="AB27">
        <f t="shared" si="4"/>
        <v>0</v>
      </c>
      <c r="AC27">
        <f t="shared" si="5"/>
        <v>-42758</v>
      </c>
      <c r="AD27" s="2">
        <f t="shared" si="6"/>
        <v>0</v>
      </c>
      <c r="AE27">
        <f t="shared" si="7"/>
        <v>0</v>
      </c>
      <c r="AF27">
        <f t="shared" si="8"/>
        <v>-42758</v>
      </c>
      <c r="AG27" s="2">
        <f t="shared" si="9"/>
        <v>0</v>
      </c>
      <c r="AH27">
        <f t="shared" si="10"/>
        <v>0</v>
      </c>
      <c r="AI27" s="2"/>
      <c r="BE27" s="712" t="s">
        <v>712</v>
      </c>
      <c r="BF27" s="714">
        <v>179</v>
      </c>
      <c r="BG27" s="728">
        <v>182</v>
      </c>
      <c r="BH27" s="728">
        <v>188</v>
      </c>
      <c r="BI27" s="728">
        <v>239</v>
      </c>
      <c r="BJ27" s="728"/>
      <c r="BK27" s="676"/>
      <c r="BL27" s="676"/>
    </row>
    <row r="28" spans="1:64" x14ac:dyDescent="0.25">
      <c r="O28" s="81">
        <v>0.99</v>
      </c>
      <c r="P28" s="81">
        <f t="shared" si="14"/>
        <v>29.145600000000002</v>
      </c>
      <c r="Y28" s="29"/>
      <c r="Z28">
        <f t="shared" si="2"/>
        <v>-42758</v>
      </c>
      <c r="AA28" s="2">
        <f t="shared" si="3"/>
        <v>0</v>
      </c>
      <c r="AB28">
        <f t="shared" si="4"/>
        <v>0</v>
      </c>
      <c r="AC28">
        <f t="shared" si="5"/>
        <v>-42758</v>
      </c>
      <c r="AD28" s="2">
        <f t="shared" si="6"/>
        <v>0</v>
      </c>
      <c r="AE28">
        <f t="shared" si="7"/>
        <v>0</v>
      </c>
      <c r="AF28">
        <f t="shared" si="8"/>
        <v>-42758</v>
      </c>
      <c r="AG28" s="2">
        <f t="shared" si="9"/>
        <v>0</v>
      </c>
      <c r="AH28">
        <f t="shared" si="10"/>
        <v>0</v>
      </c>
      <c r="AI28" s="2"/>
      <c r="BE28" s="712" t="s">
        <v>748</v>
      </c>
      <c r="BF28" s="714">
        <v>178</v>
      </c>
      <c r="BG28" s="714">
        <v>160</v>
      </c>
      <c r="BH28" s="714">
        <v>169</v>
      </c>
      <c r="BI28" s="714">
        <v>210</v>
      </c>
      <c r="BJ28" s="714"/>
      <c r="BK28" s="676"/>
      <c r="BL28" s="676"/>
    </row>
    <row r="29" spans="1:64" x14ac:dyDescent="0.25">
      <c r="O29" s="81">
        <v>0.98</v>
      </c>
      <c r="P29" s="81">
        <f t="shared" si="14"/>
        <v>28.851200000000002</v>
      </c>
      <c r="Y29" s="29"/>
      <c r="Z29">
        <f t="shared" si="2"/>
        <v>-42758</v>
      </c>
      <c r="AA29" s="2">
        <f t="shared" si="3"/>
        <v>0</v>
      </c>
      <c r="AB29">
        <f t="shared" si="4"/>
        <v>0</v>
      </c>
      <c r="AC29">
        <f t="shared" si="5"/>
        <v>-42758</v>
      </c>
      <c r="AD29" s="2">
        <f t="shared" si="6"/>
        <v>0</v>
      </c>
      <c r="AE29">
        <f t="shared" si="7"/>
        <v>0</v>
      </c>
      <c r="AF29">
        <f t="shared" si="8"/>
        <v>-42758</v>
      </c>
      <c r="AG29" s="2">
        <f t="shared" si="9"/>
        <v>0</v>
      </c>
      <c r="AH29">
        <f t="shared" si="10"/>
        <v>0</v>
      </c>
      <c r="AI29" s="2"/>
      <c r="BE29" s="712" t="s">
        <v>720</v>
      </c>
      <c r="BF29" s="714">
        <v>2</v>
      </c>
      <c r="BG29" s="714">
        <v>1.9</v>
      </c>
      <c r="BH29" s="714">
        <v>1.9</v>
      </c>
      <c r="BI29" s="714">
        <v>1.7</v>
      </c>
      <c r="BJ29" s="714">
        <v>2.1</v>
      </c>
      <c r="BK29" s="676"/>
      <c r="BL29" s="676"/>
    </row>
    <row r="30" spans="1:64" x14ac:dyDescent="0.25">
      <c r="O30" s="81">
        <v>0.97</v>
      </c>
      <c r="P30" s="81">
        <f t="shared" si="14"/>
        <v>28.556799999999999</v>
      </c>
      <c r="Y30" s="29"/>
      <c r="Z30">
        <f t="shared" si="2"/>
        <v>-42758</v>
      </c>
      <c r="AA30" s="2">
        <f t="shared" si="3"/>
        <v>0</v>
      </c>
      <c r="AB30">
        <f t="shared" si="4"/>
        <v>0</v>
      </c>
      <c r="AC30">
        <f t="shared" si="5"/>
        <v>-42758</v>
      </c>
      <c r="AD30" s="2">
        <f t="shared" si="6"/>
        <v>0</v>
      </c>
      <c r="AE30">
        <f t="shared" si="7"/>
        <v>0</v>
      </c>
      <c r="AF30">
        <f t="shared" si="8"/>
        <v>-42758</v>
      </c>
      <c r="AG30" s="2">
        <f t="shared" si="9"/>
        <v>0</v>
      </c>
      <c r="AH30">
        <f t="shared" si="10"/>
        <v>0</v>
      </c>
      <c r="AI30" s="2"/>
      <c r="BE30" s="712" t="s">
        <v>721</v>
      </c>
      <c r="BF30" s="714">
        <v>2.2999999999999998</v>
      </c>
      <c r="BG30" s="714">
        <v>2.2000000000000002</v>
      </c>
      <c r="BH30" s="714">
        <v>2.2000000000000002</v>
      </c>
      <c r="BI30" s="714">
        <v>2</v>
      </c>
      <c r="BJ30" s="714">
        <v>2.4</v>
      </c>
      <c r="BK30" s="676"/>
      <c r="BL30" s="676"/>
    </row>
    <row r="31" spans="1:64" x14ac:dyDescent="0.25">
      <c r="O31" s="81">
        <v>0.96</v>
      </c>
      <c r="P31" s="81">
        <f t="shared" si="14"/>
        <v>28.2624</v>
      </c>
      <c r="Y31" s="29"/>
      <c r="Z31">
        <f t="shared" si="2"/>
        <v>-42758</v>
      </c>
      <c r="AA31" s="2">
        <f t="shared" si="3"/>
        <v>0</v>
      </c>
      <c r="AB31">
        <f t="shared" si="4"/>
        <v>0</v>
      </c>
      <c r="AC31">
        <f t="shared" si="5"/>
        <v>-42758</v>
      </c>
      <c r="AD31" s="2">
        <f t="shared" si="6"/>
        <v>0</v>
      </c>
      <c r="AE31">
        <f t="shared" si="7"/>
        <v>0</v>
      </c>
      <c r="AF31">
        <f t="shared" si="8"/>
        <v>-42758</v>
      </c>
      <c r="AG31" s="2">
        <f t="shared" si="9"/>
        <v>0</v>
      </c>
      <c r="AH31">
        <f t="shared" si="10"/>
        <v>0</v>
      </c>
      <c r="AI31" s="2"/>
      <c r="BE31" s="712" t="s">
        <v>713</v>
      </c>
      <c r="BF31" s="714">
        <v>2.2000000000000002</v>
      </c>
      <c r="BG31" s="728">
        <v>2.2000000000000002</v>
      </c>
      <c r="BH31" s="728">
        <v>2.2000000000000002</v>
      </c>
      <c r="BI31" s="836">
        <v>1.7</v>
      </c>
      <c r="BJ31" s="836"/>
      <c r="BK31" s="676"/>
      <c r="BL31" s="676"/>
    </row>
    <row r="32" spans="1:64" x14ac:dyDescent="0.25">
      <c r="A32" s="31" t="s">
        <v>81</v>
      </c>
      <c r="B32" s="14"/>
      <c r="C32" s="14">
        <f>SUM(C2:C26)</f>
        <v>3150</v>
      </c>
      <c r="D32" s="18"/>
      <c r="E32" s="18"/>
      <c r="F32" s="18">
        <f>SUM(F2:F26)</f>
        <v>77452.62</v>
      </c>
      <c r="G32" s="14"/>
      <c r="H32" s="14">
        <f>SUM(H2:H31)</f>
        <v>2950</v>
      </c>
      <c r="I32" s="18"/>
      <c r="J32" s="18"/>
      <c r="K32" s="18">
        <f>SUM(K2:K31)</f>
        <v>75476.310000000027</v>
      </c>
      <c r="L32" s="14"/>
      <c r="M32" s="18">
        <f>SUM(M2:M10)</f>
        <v>275</v>
      </c>
      <c r="O32" s="81">
        <v>0.95</v>
      </c>
      <c r="P32" s="81">
        <f t="shared" si="14"/>
        <v>27.968</v>
      </c>
      <c r="BE32" s="676"/>
      <c r="BF32" s="714"/>
      <c r="BG32" s="676"/>
      <c r="BH32" s="676"/>
      <c r="BI32" s="676"/>
      <c r="BJ32" s="676"/>
      <c r="BK32" s="676"/>
      <c r="BL32" s="676"/>
    </row>
    <row r="33" spans="1:64" ht="15.75" thickBot="1" x14ac:dyDescent="0.3">
      <c r="A33" s="341" t="s">
        <v>193</v>
      </c>
      <c r="B33" s="342"/>
      <c r="C33" s="343">
        <f>SumByColor($A$33,C2:C31)</f>
        <v>2950</v>
      </c>
      <c r="D33" s="343"/>
      <c r="E33" s="343"/>
      <c r="F33" s="344">
        <f>SumByColor($A$33,F2:F31)</f>
        <v>72143</v>
      </c>
      <c r="G33" s="343"/>
      <c r="H33" s="343">
        <f>SumByColor($A$33,H2:H31)</f>
        <v>2950</v>
      </c>
      <c r="I33" s="343"/>
      <c r="J33" s="343"/>
      <c r="K33" s="344">
        <f>SumByColor($A$33,K2:K31)</f>
        <v>75478</v>
      </c>
      <c r="L33" s="343"/>
      <c r="M33" s="344">
        <f>SumByColor($A$33,M2:M31)</f>
        <v>276</v>
      </c>
      <c r="O33" s="81">
        <v>0.94</v>
      </c>
      <c r="P33" s="81">
        <f t="shared" si="14"/>
        <v>27.6736</v>
      </c>
      <c r="BE33" s="712" t="s">
        <v>715</v>
      </c>
      <c r="BF33" s="714"/>
      <c r="BG33" s="719">
        <v>0.15</v>
      </c>
      <c r="BH33" s="732" t="s">
        <v>761</v>
      </c>
      <c r="BI33" s="732" t="s">
        <v>936</v>
      </c>
      <c r="BJ33" s="732" t="s">
        <v>936</v>
      </c>
      <c r="BK33" s="676"/>
      <c r="BL33" s="676"/>
    </row>
    <row r="34" spans="1:64" x14ac:dyDescent="0.25">
      <c r="O34" s="81">
        <v>0.93</v>
      </c>
      <c r="P34" s="81">
        <f t="shared" si="14"/>
        <v>27.379200000000001</v>
      </c>
      <c r="BE34" s="712" t="s">
        <v>722</v>
      </c>
      <c r="BF34" s="714"/>
      <c r="BG34" s="719">
        <v>0.18</v>
      </c>
      <c r="BH34" s="719"/>
      <c r="BI34" s="732" t="s">
        <v>937</v>
      </c>
      <c r="BJ34" s="732" t="s">
        <v>937</v>
      </c>
      <c r="BK34" s="676"/>
      <c r="BL34" s="676"/>
    </row>
    <row r="35" spans="1:64" x14ac:dyDescent="0.25">
      <c r="O35" s="81">
        <v>0.92</v>
      </c>
      <c r="P35" s="81">
        <f t="shared" si="14"/>
        <v>27.084800000000001</v>
      </c>
      <c r="BE35" s="712" t="s">
        <v>746</v>
      </c>
      <c r="BF35" s="719">
        <v>0.23</v>
      </c>
      <c r="BG35" s="729">
        <f>BG38/BG42</f>
        <v>0.20886075949367089</v>
      </c>
      <c r="BH35" s="729">
        <f>BH38/BH42</f>
        <v>0.22983870967741934</v>
      </c>
      <c r="BI35" s="729">
        <f>BI38/BI42</f>
        <v>0.15841584158415842</v>
      </c>
      <c r="BJ35" s="729"/>
      <c r="BK35" s="676"/>
      <c r="BL35" s="676"/>
    </row>
    <row r="36" spans="1:64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498</v>
      </c>
      <c r="K36" s="488" t="s">
        <v>150</v>
      </c>
      <c r="L36" s="488" t="s">
        <v>975</v>
      </c>
      <c r="O36" s="81">
        <v>0.91</v>
      </c>
      <c r="P36" s="81">
        <f t="shared" si="14"/>
        <v>26.790400000000002</v>
      </c>
      <c r="BE36" s="712" t="s">
        <v>716</v>
      </c>
      <c r="BF36" s="714"/>
      <c r="BG36" s="676"/>
      <c r="BH36" s="676"/>
      <c r="BI36" s="676"/>
      <c r="BJ36" s="676"/>
      <c r="BK36" s="676"/>
      <c r="BL36" s="676"/>
    </row>
    <row r="37" spans="1:64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15">C37*(E37-D37)</f>
        <v>267.00000000000017</v>
      </c>
      <c r="G37" s="527">
        <f t="shared" ref="G37:G42" si="16">D37*C37</f>
        <v>2758</v>
      </c>
      <c r="H37" s="568">
        <f t="shared" ref="H37:H42" si="17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14"/>
        <v>26.496000000000002</v>
      </c>
      <c r="BE37" s="712" t="s">
        <v>717</v>
      </c>
      <c r="BF37" s="714"/>
      <c r="BG37" s="676"/>
      <c r="BH37" s="676"/>
      <c r="BI37" s="676"/>
      <c r="BJ37" s="676"/>
      <c r="BK37" s="676"/>
      <c r="BL37" s="676"/>
    </row>
    <row r="38" spans="1:64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15"/>
        <v>436.92999999999989</v>
      </c>
      <c r="G38" s="527">
        <f t="shared" si="16"/>
        <v>2718.07</v>
      </c>
      <c r="H38" s="568">
        <f t="shared" si="17"/>
        <v>0.16075009105725749</v>
      </c>
      <c r="I38" s="527"/>
      <c r="J38" s="527"/>
      <c r="K38" s="527"/>
      <c r="L38" s="527"/>
      <c r="BE38" s="712" t="s">
        <v>747</v>
      </c>
      <c r="BF38" s="714">
        <v>110</v>
      </c>
      <c r="BG38" s="424">
        <v>99</v>
      </c>
      <c r="BH38" s="424">
        <v>114</v>
      </c>
      <c r="BI38" s="424">
        <v>64</v>
      </c>
      <c r="BJ38" s="424"/>
      <c r="BK38" s="676"/>
      <c r="BL38" s="676"/>
    </row>
    <row r="39" spans="1:64" x14ac:dyDescent="0.25">
      <c r="A39" t="s">
        <v>349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15"/>
        <v>37.000000000000099</v>
      </c>
      <c r="G39" s="39">
        <f t="shared" si="16"/>
        <v>3118</v>
      </c>
      <c r="H39" s="222">
        <f t="shared" si="17"/>
        <v>1.1866581141757569E-2</v>
      </c>
      <c r="I39" s="39"/>
      <c r="J39" s="39"/>
      <c r="K39" s="39"/>
      <c r="L39" s="39"/>
      <c r="BE39" s="712" t="s">
        <v>727</v>
      </c>
      <c r="BF39" s="717" t="s">
        <v>739</v>
      </c>
      <c r="BG39" s="712" t="s">
        <v>730</v>
      </c>
      <c r="BH39" s="712" t="s">
        <v>762</v>
      </c>
      <c r="BI39" s="712"/>
      <c r="BJ39" s="712"/>
      <c r="BK39" s="676"/>
      <c r="BL39" s="676"/>
    </row>
    <row r="40" spans="1:64" x14ac:dyDescent="0.25">
      <c r="A40" t="s">
        <v>349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15"/>
        <v>207.99999999999983</v>
      </c>
      <c r="G40" s="39">
        <f t="shared" si="16"/>
        <v>3118</v>
      </c>
      <c r="H40" s="222">
        <f t="shared" si="17"/>
        <v>6.6709429121231498E-2</v>
      </c>
      <c r="I40" s="39"/>
      <c r="J40" s="39"/>
      <c r="K40" s="39"/>
      <c r="L40" s="39"/>
      <c r="BE40" s="712" t="s">
        <v>728</v>
      </c>
      <c r="BF40" s="719">
        <v>0.93</v>
      </c>
      <c r="BG40" s="729">
        <v>0.87</v>
      </c>
      <c r="BH40" s="729">
        <v>0.87</v>
      </c>
      <c r="BI40" s="729"/>
      <c r="BJ40" s="729"/>
      <c r="BK40" s="676"/>
      <c r="BL40" s="676"/>
    </row>
    <row r="41" spans="1:64" x14ac:dyDescent="0.25">
      <c r="A41" t="s">
        <v>339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15"/>
        <v>246.00000000000009</v>
      </c>
      <c r="G41" s="39">
        <f t="shared" si="16"/>
        <v>3118</v>
      </c>
      <c r="H41" s="222">
        <f t="shared" si="17"/>
        <v>7.8896728672225816E-2</v>
      </c>
      <c r="I41" s="39"/>
      <c r="J41" s="39"/>
      <c r="K41" s="39"/>
      <c r="L41" s="39"/>
      <c r="Q41" s="2"/>
      <c r="BE41" s="676"/>
      <c r="BF41" s="714"/>
      <c r="BG41" s="676"/>
      <c r="BH41" s="676"/>
      <c r="BI41" s="676"/>
      <c r="BJ41" s="676"/>
      <c r="BK41" s="676"/>
      <c r="BL41" s="676"/>
    </row>
    <row r="42" spans="1:64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15"/>
        <v>-245.99999999999937</v>
      </c>
      <c r="G42" s="39">
        <f t="shared" si="16"/>
        <v>5966</v>
      </c>
      <c r="H42" s="222">
        <f t="shared" si="17"/>
        <v>-4.1233657391887259E-2</v>
      </c>
      <c r="I42" s="39"/>
      <c r="J42" s="39">
        <v>30.72</v>
      </c>
      <c r="K42" s="39">
        <v>1207</v>
      </c>
      <c r="L42" s="39"/>
      <c r="Q42" s="2"/>
      <c r="BE42" s="718" t="s">
        <v>745</v>
      </c>
      <c r="BF42" s="714">
        <v>468</v>
      </c>
      <c r="BG42" s="424">
        <v>474</v>
      </c>
      <c r="BH42" s="424">
        <v>496</v>
      </c>
      <c r="BI42" s="424">
        <v>404</v>
      </c>
      <c r="BJ42" s="424"/>
      <c r="BK42" s="676"/>
      <c r="BL42" s="676"/>
    </row>
    <row r="43" spans="1:64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18">C43*(E43-D43)</f>
        <v>-161.0599999999998</v>
      </c>
      <c r="G43" s="39">
        <f t="shared" ref="G43" si="19">D43*C43</f>
        <v>3075.06</v>
      </c>
      <c r="H43" s="222">
        <f t="shared" ref="H43" si="20">(E43-D43)/D43</f>
        <v>-5.2376213797454295E-2</v>
      </c>
      <c r="I43" s="39"/>
      <c r="J43" s="39"/>
      <c r="K43" s="39">
        <v>1291</v>
      </c>
      <c r="L43" s="39"/>
      <c r="Q43" s="2"/>
      <c r="BE43" s="676"/>
      <c r="BF43" s="714"/>
      <c r="BG43" s="676"/>
      <c r="BH43" s="676"/>
      <c r="BI43" s="676"/>
      <c r="BJ43" s="676"/>
      <c r="BK43" s="676"/>
      <c r="BL43" s="676"/>
    </row>
    <row r="44" spans="1:64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21">C44*(E44-D44)</f>
        <v>-130.55999999999983</v>
      </c>
      <c r="G44" s="39">
        <f t="shared" ref="G44:G57" si="22">D44*C44</f>
        <v>3047.56</v>
      </c>
      <c r="H44" s="222">
        <f t="shared" ref="H44:H57" si="23">(E44-D44)/D44</f>
        <v>-4.2840830041081988E-2</v>
      </c>
      <c r="I44" s="39"/>
      <c r="J44" s="39">
        <v>30</v>
      </c>
      <c r="K44" s="39">
        <v>1321</v>
      </c>
      <c r="L44" s="39"/>
      <c r="Q44" s="2"/>
      <c r="BE44" s="709" t="s">
        <v>1071</v>
      </c>
      <c r="BF44" s="714"/>
      <c r="BG44" s="676"/>
      <c r="BH44" s="676"/>
      <c r="BI44" s="676"/>
      <c r="BJ44" s="676"/>
      <c r="BK44" s="676"/>
      <c r="BL44" s="676"/>
    </row>
    <row r="45" spans="1:64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21"/>
        <v>-144.55999999999989</v>
      </c>
      <c r="G45" s="39">
        <f t="shared" si="22"/>
        <v>5882.56</v>
      </c>
      <c r="H45" s="222">
        <f t="shared" si="23"/>
        <v>-2.4574334983408566E-2</v>
      </c>
      <c r="I45" s="39">
        <v>29</v>
      </c>
      <c r="J45" s="39"/>
      <c r="K45" s="39">
        <v>1308</v>
      </c>
      <c r="L45" s="39"/>
      <c r="Q45" s="2"/>
      <c r="BE45" s="712" t="s">
        <v>720</v>
      </c>
      <c r="BF45" s="714">
        <v>1.4</v>
      </c>
      <c r="BG45" s="714">
        <v>2.2999999999999998</v>
      </c>
      <c r="BH45" s="714">
        <v>1.5</v>
      </c>
      <c r="BI45" s="714">
        <v>1.3</v>
      </c>
      <c r="BJ45" s="714">
        <v>2</v>
      </c>
      <c r="BK45" s="676"/>
      <c r="BL45" s="676"/>
    </row>
    <row r="46" spans="1:64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21"/>
        <v>-898.56000000000017</v>
      </c>
      <c r="G46" s="39">
        <f t="shared" si="22"/>
        <v>8383.56</v>
      </c>
      <c r="H46" s="222">
        <f t="shared" si="23"/>
        <v>-0.10718119748650932</v>
      </c>
      <c r="I46" s="39"/>
      <c r="J46" s="39"/>
      <c r="K46" s="39">
        <v>554</v>
      </c>
      <c r="L46" s="39"/>
      <c r="Q46" s="2"/>
      <c r="BE46" s="712" t="s">
        <v>721</v>
      </c>
      <c r="BF46" s="714">
        <v>1.7</v>
      </c>
      <c r="BG46" s="714">
        <v>2.6</v>
      </c>
      <c r="BH46" s="714">
        <v>1.8</v>
      </c>
      <c r="BI46" s="714">
        <v>1.6</v>
      </c>
      <c r="BJ46" s="714">
        <v>2.2999999999999998</v>
      </c>
      <c r="BK46" s="676"/>
      <c r="BL46" s="676"/>
    </row>
    <row r="47" spans="1:64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21"/>
        <v>-1189.5600000000002</v>
      </c>
      <c r="G47" s="39">
        <f t="shared" si="22"/>
        <v>10781.56</v>
      </c>
      <c r="H47" s="222">
        <f t="shared" si="23"/>
        <v>-0.11033282753145186</v>
      </c>
      <c r="I47" s="39"/>
      <c r="J47" s="39"/>
      <c r="K47" s="39"/>
      <c r="L47" s="39"/>
      <c r="Q47" s="2"/>
      <c r="BE47" s="712" t="s">
        <v>713</v>
      </c>
      <c r="BF47" s="714">
        <v>1.6</v>
      </c>
      <c r="BG47" s="728">
        <v>2.5</v>
      </c>
      <c r="BH47" s="728">
        <v>1.9</v>
      </c>
      <c r="BI47" s="837">
        <v>1.6</v>
      </c>
      <c r="BJ47" s="837"/>
      <c r="BK47" s="676"/>
      <c r="BL47" s="676"/>
    </row>
    <row r="48" spans="1:64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21"/>
        <v>-1401.5600000000006</v>
      </c>
      <c r="G48" s="39">
        <f t="shared" si="22"/>
        <v>10781.56</v>
      </c>
      <c r="H48" s="222">
        <f t="shared" si="23"/>
        <v>-0.12999603025907203</v>
      </c>
      <c r="I48" s="39"/>
      <c r="J48" s="39"/>
      <c r="K48" s="39">
        <v>50</v>
      </c>
      <c r="L48" s="39"/>
      <c r="Q48" s="2"/>
      <c r="BE48" s="676"/>
      <c r="BF48" s="714"/>
      <c r="BG48" s="676"/>
      <c r="BH48" s="676"/>
      <c r="BI48" s="676"/>
      <c r="BJ48" s="676"/>
      <c r="BK48" s="676"/>
      <c r="BL48" s="676"/>
    </row>
    <row r="49" spans="1:64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21"/>
        <v>-1631.9999999999993</v>
      </c>
      <c r="G49" s="39">
        <f t="shared" si="22"/>
        <v>15378</v>
      </c>
      <c r="H49" s="222">
        <f t="shared" si="23"/>
        <v>-0.10612563402262969</v>
      </c>
      <c r="I49" s="39"/>
      <c r="J49" s="39"/>
      <c r="K49" s="39">
        <v>-179</v>
      </c>
      <c r="L49" s="39"/>
      <c r="Q49" s="2"/>
      <c r="BE49" s="712" t="s">
        <v>718</v>
      </c>
      <c r="BF49" s="714">
        <v>20</v>
      </c>
      <c r="BG49" s="712" t="s">
        <v>753</v>
      </c>
      <c r="BH49" s="717">
        <v>20</v>
      </c>
      <c r="BI49" s="717">
        <v>25</v>
      </c>
      <c r="BJ49" s="717">
        <v>20</v>
      </c>
      <c r="BK49" s="676"/>
      <c r="BL49" s="676"/>
    </row>
    <row r="50" spans="1:64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21"/>
        <v>-1121.6799999999992</v>
      </c>
      <c r="G50" s="39">
        <f t="shared" si="22"/>
        <v>10541.68</v>
      </c>
      <c r="H50" s="222">
        <f t="shared" si="23"/>
        <v>-0.1064042922949662</v>
      </c>
      <c r="I50" s="39"/>
      <c r="J50" s="39"/>
      <c r="K50" s="39">
        <v>331</v>
      </c>
      <c r="L50" s="39"/>
      <c r="Q50" s="2"/>
      <c r="BE50" s="712" t="s">
        <v>725</v>
      </c>
      <c r="BF50" s="714"/>
      <c r="BG50" s="676"/>
      <c r="BH50" s="676"/>
      <c r="BI50" s="717">
        <v>35</v>
      </c>
      <c r="BJ50" s="717">
        <v>30</v>
      </c>
      <c r="BK50" s="676"/>
      <c r="BL50" s="676"/>
    </row>
    <row r="51" spans="1:64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21"/>
        <v>-1533.6600000000003</v>
      </c>
      <c r="G51" s="39">
        <f t="shared" si="22"/>
        <v>15177.66</v>
      </c>
      <c r="H51" s="222">
        <f t="shared" si="23"/>
        <v>-0.10104719699874687</v>
      </c>
      <c r="I51" s="39"/>
      <c r="J51" s="39"/>
      <c r="K51" s="39">
        <v>-81.41</v>
      </c>
      <c r="L51" s="39"/>
      <c r="Q51" s="2"/>
      <c r="BE51" s="712" t="s">
        <v>749</v>
      </c>
      <c r="BF51" s="714">
        <v>24</v>
      </c>
      <c r="BG51" s="728">
        <v>25</v>
      </c>
      <c r="BH51" s="728">
        <v>24</v>
      </c>
      <c r="BI51" s="728">
        <v>37</v>
      </c>
      <c r="BJ51" s="728"/>
      <c r="BK51" s="676"/>
      <c r="BL51" s="676"/>
    </row>
    <row r="52" spans="1:64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21"/>
        <v>-1461.6599999999999</v>
      </c>
      <c r="G52" s="39">
        <f t="shared" si="22"/>
        <v>15087.66</v>
      </c>
      <c r="H52" s="222">
        <f t="shared" si="23"/>
        <v>-9.6877845868743054E-2</v>
      </c>
      <c r="I52" s="39"/>
      <c r="J52" s="39"/>
      <c r="K52" s="39">
        <v>-9.41</v>
      </c>
      <c r="L52" s="39"/>
      <c r="Q52" s="2"/>
      <c r="BE52" s="709"/>
      <c r="BF52" s="715"/>
      <c r="BG52" s="676"/>
      <c r="BH52" s="676"/>
      <c r="BI52" s="676"/>
      <c r="BJ52" s="676"/>
      <c r="BK52" s="676"/>
      <c r="BL52" s="676"/>
    </row>
    <row r="53" spans="1:64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21"/>
        <v>-613.80000000000052</v>
      </c>
      <c r="G53" s="39">
        <f t="shared" si="22"/>
        <v>10257.800000000001</v>
      </c>
      <c r="H53" s="222">
        <f t="shared" si="23"/>
        <v>-5.9837392033379525E-2</v>
      </c>
      <c r="I53" s="39"/>
      <c r="J53" s="39"/>
      <c r="K53" s="39">
        <v>836</v>
      </c>
      <c r="L53" s="39"/>
      <c r="Q53" s="2"/>
      <c r="BE53" s="712" t="s">
        <v>747</v>
      </c>
      <c r="BF53" s="716">
        <v>39</v>
      </c>
      <c r="BG53" s="424">
        <v>64</v>
      </c>
      <c r="BH53" s="424">
        <v>45</v>
      </c>
      <c r="BI53" s="424">
        <f>BI51*BI47</f>
        <v>59.2</v>
      </c>
      <c r="BJ53" s="424"/>
      <c r="BK53" s="676"/>
      <c r="BL53" s="676"/>
    </row>
    <row r="54" spans="1:64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21"/>
        <v>-384.00000000000034</v>
      </c>
      <c r="G54" s="39">
        <f t="shared" si="22"/>
        <v>14916</v>
      </c>
      <c r="H54" s="222">
        <f t="shared" si="23"/>
        <v>-2.5744167337087714E-2</v>
      </c>
      <c r="I54" s="39"/>
      <c r="J54" s="39"/>
      <c r="K54" s="39">
        <v>1066</v>
      </c>
      <c r="L54" s="39"/>
      <c r="BE54" s="712" t="s">
        <v>750</v>
      </c>
      <c r="BF54" s="721">
        <f>BF53/BF57</f>
        <v>6.6895368782161235E-2</v>
      </c>
      <c r="BG54" s="721">
        <f>BG53/BG57</f>
        <v>6.8743286788399569E-2</v>
      </c>
      <c r="BH54" s="721">
        <f>BH53/BH57</f>
        <v>6.311360448807854E-2</v>
      </c>
      <c r="BI54" s="721">
        <f>BI53/BI57</f>
        <v>8.9022556390977448E-2</v>
      </c>
      <c r="BJ54" s="721"/>
      <c r="BK54" s="676"/>
      <c r="BL54" s="676"/>
    </row>
    <row r="55" spans="1:64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21"/>
        <v>-229.9199999999999</v>
      </c>
      <c r="G55" s="39">
        <f t="shared" si="22"/>
        <v>9917.92</v>
      </c>
      <c r="H55" s="222">
        <f t="shared" si="23"/>
        <v>-2.3182280155516471E-2</v>
      </c>
      <c r="I55" s="39">
        <v>23</v>
      </c>
      <c r="J55" s="39"/>
      <c r="K55" s="39">
        <v>1222</v>
      </c>
      <c r="L55" s="39"/>
      <c r="BE55" s="712" t="s">
        <v>751</v>
      </c>
      <c r="BF55" s="714">
        <v>356</v>
      </c>
      <c r="BG55" s="728">
        <v>366</v>
      </c>
      <c r="BH55" s="728">
        <v>370</v>
      </c>
      <c r="BI55" s="728">
        <v>420</v>
      </c>
      <c r="BJ55" s="728"/>
      <c r="BK55" s="676"/>
      <c r="BL55" s="676"/>
    </row>
    <row r="56" spans="1:64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21"/>
        <v>-613.79999999999984</v>
      </c>
      <c r="G56" s="39">
        <f t="shared" si="22"/>
        <v>14773.800000000001</v>
      </c>
      <c r="H56" s="222">
        <f t="shared" si="23"/>
        <v>-4.1546521544897033E-2</v>
      </c>
      <c r="I56" s="39"/>
      <c r="J56" s="39"/>
      <c r="K56" s="39">
        <v>838</v>
      </c>
      <c r="L56" s="39"/>
      <c r="BE56" s="722" t="s">
        <v>752</v>
      </c>
      <c r="BF56" s="714">
        <v>374</v>
      </c>
      <c r="BG56" s="714">
        <v>380</v>
      </c>
      <c r="BH56" s="714">
        <v>354</v>
      </c>
      <c r="BI56" s="714">
        <v>375</v>
      </c>
      <c r="BJ56" s="714"/>
      <c r="BK56" s="676"/>
      <c r="BL56" s="676"/>
    </row>
    <row r="57" spans="1:64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21"/>
        <v>-1069.9199999999992</v>
      </c>
      <c r="G57" s="39">
        <f t="shared" si="22"/>
        <v>19269.919999999998</v>
      </c>
      <c r="H57" s="222">
        <f t="shared" si="23"/>
        <v>-5.5522804453780765E-2</v>
      </c>
      <c r="I57" s="39"/>
      <c r="J57" s="39"/>
      <c r="K57" s="39"/>
      <c r="L57" s="39"/>
      <c r="BE57" s="718" t="s">
        <v>745</v>
      </c>
      <c r="BF57" s="716">
        <v>583</v>
      </c>
      <c r="BG57" s="424">
        <v>931</v>
      </c>
      <c r="BH57" s="424">
        <v>713</v>
      </c>
      <c r="BI57" s="424">
        <v>665</v>
      </c>
      <c r="BJ57" s="424"/>
      <c r="BK57" s="676"/>
      <c r="BL57" s="676"/>
    </row>
    <row r="58" spans="1:64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24">C58*(E58-D58)</f>
        <v>-3716.9999999999991</v>
      </c>
      <c r="G58" s="39">
        <f t="shared" ref="G58" si="25">D58*C58</f>
        <v>21231</v>
      </c>
      <c r="H58" s="222">
        <f t="shared" ref="H58" si="26">(E58-D58)/D58</f>
        <v>-0.17507418397626109</v>
      </c>
      <c r="I58" s="39"/>
      <c r="J58" s="39"/>
      <c r="K58" s="39">
        <v>-2264</v>
      </c>
      <c r="L58" s="39"/>
      <c r="BE58" s="712"/>
      <c r="BF58" s="716"/>
      <c r="BG58" s="676"/>
      <c r="BH58" s="676"/>
      <c r="BI58" s="676"/>
      <c r="BJ58" s="676"/>
      <c r="BK58" s="676"/>
      <c r="BL58" s="676"/>
    </row>
    <row r="59" spans="1:64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27">C59*(E59-D59)</f>
        <v>-3428.5599999999986</v>
      </c>
      <c r="G59" s="39">
        <f t="shared" ref="G59" si="28">D59*C59</f>
        <v>19252.560000000001</v>
      </c>
      <c r="H59" s="222">
        <f t="shared" ref="H59" si="29">(E59-D59)/D59</f>
        <v>-0.17808333021686459</v>
      </c>
      <c r="I59" s="39">
        <v>23.5</v>
      </c>
      <c r="J59" s="39"/>
      <c r="K59" s="39">
        <v>-2128</v>
      </c>
      <c r="L59" s="39"/>
      <c r="BE59" s="712"/>
      <c r="BF59" s="716"/>
      <c r="BG59" s="676"/>
      <c r="BH59" s="676"/>
      <c r="BI59" s="676"/>
      <c r="BJ59" s="676"/>
      <c r="BK59" s="676"/>
      <c r="BL59" s="676"/>
    </row>
    <row r="60" spans="1:64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30">C60*(E60-D60)</f>
        <v>-2204.5600000000009</v>
      </c>
      <c r="G60" s="39">
        <f t="shared" ref="G60:G62" si="31">D60*C60</f>
        <v>19252.560000000001</v>
      </c>
      <c r="H60" s="222">
        <f t="shared" ref="H60:H62" si="32">(E60-D60)/D60</f>
        <v>-0.11450736940957466</v>
      </c>
      <c r="I60" s="39">
        <v>23.5</v>
      </c>
      <c r="J60" s="39"/>
      <c r="K60" s="39">
        <v>-752</v>
      </c>
      <c r="L60" s="39"/>
      <c r="BE60" s="713"/>
      <c r="BF60" s="716"/>
      <c r="BG60" s="676"/>
      <c r="BH60" s="676"/>
      <c r="BI60" s="676"/>
      <c r="BJ60" s="676"/>
      <c r="BK60" s="676"/>
      <c r="BL60" s="676"/>
    </row>
    <row r="61" spans="1:64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30"/>
        <v>-1845.599999999999</v>
      </c>
      <c r="G61" s="39">
        <f t="shared" si="31"/>
        <v>19117.599999999999</v>
      </c>
      <c r="H61" s="222">
        <f t="shared" si="32"/>
        <v>-9.6539314558312703E-2</v>
      </c>
      <c r="I61" s="39">
        <v>23.5</v>
      </c>
      <c r="J61" s="39"/>
      <c r="K61" s="39">
        <v>-393</v>
      </c>
      <c r="L61" s="39"/>
      <c r="BE61" s="712"/>
      <c r="BF61" s="716"/>
      <c r="BG61" s="676"/>
      <c r="BH61" s="676"/>
      <c r="BI61" s="676"/>
      <c r="BJ61" s="676"/>
      <c r="BK61" s="676"/>
      <c r="BL61" s="676"/>
    </row>
    <row r="62" spans="1:64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30"/>
        <v>-1695.999999999998</v>
      </c>
      <c r="G62" s="39">
        <f t="shared" si="31"/>
        <v>19120</v>
      </c>
      <c r="H62" s="222">
        <f t="shared" si="32"/>
        <v>-8.8702928870292783E-2</v>
      </c>
      <c r="I62" s="39"/>
      <c r="J62" s="39">
        <v>61</v>
      </c>
      <c r="K62" s="39">
        <v>-241</v>
      </c>
      <c r="L62" s="39"/>
      <c r="BE62" s="713" t="s">
        <v>743</v>
      </c>
      <c r="BF62" s="716">
        <v>95</v>
      </c>
      <c r="BG62" s="676">
        <v>213.9</v>
      </c>
      <c r="BH62" s="676">
        <v>127.1</v>
      </c>
      <c r="BI62" s="676">
        <v>80.7</v>
      </c>
      <c r="BJ62" s="676"/>
      <c r="BK62" s="676"/>
      <c r="BL62" s="676"/>
    </row>
    <row r="63" spans="1:64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33">C63*(E63-D63)</f>
        <v>-2295.9999999999982</v>
      </c>
      <c r="G63" s="39">
        <f t="shared" ref="G63" si="34">D63*C63</f>
        <v>19120</v>
      </c>
      <c r="H63" s="222">
        <f t="shared" ref="H63" si="35">(E63-D63)/D63</f>
        <v>-0.1200836820083681</v>
      </c>
      <c r="I63" s="39"/>
      <c r="J63" s="39"/>
      <c r="K63" s="39">
        <v>-841</v>
      </c>
      <c r="L63" s="39"/>
      <c r="BE63" s="713" t="s">
        <v>741</v>
      </c>
      <c r="BF63" s="716">
        <v>97</v>
      </c>
      <c r="BG63" s="676">
        <v>227.5</v>
      </c>
      <c r="BH63" s="676">
        <v>-429.8</v>
      </c>
      <c r="BI63" s="676">
        <v>42.3</v>
      </c>
      <c r="BJ63" s="676"/>
      <c r="BK63" s="676"/>
      <c r="BL63" s="676"/>
    </row>
    <row r="64" spans="1:64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36">C64*(E64-D64)</f>
        <v>-847.99999999999898</v>
      </c>
      <c r="G64" s="39">
        <f t="shared" ref="G64:G65" si="37">D64*C64</f>
        <v>19120</v>
      </c>
      <c r="H64" s="222">
        <f t="shared" ref="H64:H65" si="38">(E64-D64)/D64</f>
        <v>-4.4351464435146391E-2</v>
      </c>
      <c r="I64" s="39"/>
      <c r="J64" s="39">
        <v>60.22</v>
      </c>
      <c r="K64" s="39">
        <v>607</v>
      </c>
      <c r="L64" s="39"/>
      <c r="BE64" s="713" t="s">
        <v>740</v>
      </c>
      <c r="BF64" s="716">
        <v>0.28000000000000003</v>
      </c>
      <c r="BG64" s="676">
        <v>0.65</v>
      </c>
      <c r="BH64" s="676">
        <v>-1.23</v>
      </c>
      <c r="BI64" s="676"/>
      <c r="BJ64" s="676"/>
      <c r="BK64" s="676"/>
      <c r="BL64" s="676"/>
    </row>
    <row r="65" spans="1:64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36"/>
        <v>454.25000000000006</v>
      </c>
      <c r="G65" s="39">
        <f t="shared" si="37"/>
        <v>11740.75</v>
      </c>
      <c r="H65" s="222">
        <f t="shared" si="38"/>
        <v>3.8690032578838664E-2</v>
      </c>
      <c r="I65" s="39"/>
      <c r="J65" s="39"/>
      <c r="K65" s="39">
        <v>1907</v>
      </c>
      <c r="L65" s="39"/>
      <c r="BE65" s="713" t="s">
        <v>940</v>
      </c>
      <c r="BF65" s="716"/>
      <c r="BG65" s="676"/>
      <c r="BH65" s="676">
        <v>0.34</v>
      </c>
      <c r="BI65" s="676">
        <v>0.11</v>
      </c>
      <c r="BJ65" s="676"/>
      <c r="BK65" s="676"/>
      <c r="BL65" s="676"/>
    </row>
    <row r="66" spans="1:64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9">C66*(E66-D66)</f>
        <v>669.24999999999989</v>
      </c>
      <c r="G66" s="39">
        <f t="shared" ref="G66:G69" si="40">D66*C66</f>
        <v>11740.75</v>
      </c>
      <c r="H66" s="222">
        <f t="shared" ref="H66:H69" si="41">(E66-D66)/D66</f>
        <v>5.7002320976087546E-2</v>
      </c>
      <c r="I66" s="39"/>
      <c r="J66" s="39"/>
      <c r="K66" s="39">
        <v>2121</v>
      </c>
      <c r="L66" s="39"/>
      <c r="BE66" s="713" t="s">
        <v>742</v>
      </c>
      <c r="BF66" s="716">
        <v>1.8</v>
      </c>
      <c r="BG66" s="676">
        <v>1.98</v>
      </c>
      <c r="BH66" s="676">
        <v>2.09</v>
      </c>
      <c r="BI66" s="676">
        <v>1.93</v>
      </c>
      <c r="BJ66" s="676"/>
      <c r="BK66" s="676"/>
      <c r="BL66" s="676"/>
    </row>
    <row r="67" spans="1:64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9"/>
        <v>873.00000000000057</v>
      </c>
      <c r="G67" s="39">
        <f t="shared" si="40"/>
        <v>10480.5</v>
      </c>
      <c r="H67" s="222">
        <f t="shared" si="41"/>
        <v>8.3297552597681471E-2</v>
      </c>
      <c r="I67" s="39"/>
      <c r="J67" s="39">
        <v>68</v>
      </c>
      <c r="K67" s="39">
        <v>2324</v>
      </c>
      <c r="L67" s="39"/>
      <c r="BE67" s="713"/>
      <c r="BF67" s="716"/>
      <c r="BG67" s="676"/>
      <c r="BH67" s="676"/>
      <c r="BI67" s="676"/>
      <c r="BJ67" s="676"/>
      <c r="BK67" s="676"/>
      <c r="BL67" s="676"/>
    </row>
    <row r="68" spans="1:64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9"/>
        <v>1519.9999999999989</v>
      </c>
      <c r="G68" s="39">
        <f t="shared" si="40"/>
        <v>9140</v>
      </c>
      <c r="H68" s="222">
        <f t="shared" si="41"/>
        <v>0.16630196936542657</v>
      </c>
      <c r="I68" s="746" t="s">
        <v>830</v>
      </c>
      <c r="J68" s="39"/>
      <c r="K68" s="39">
        <v>2972</v>
      </c>
      <c r="L68" s="39"/>
      <c r="BE68" s="713" t="s">
        <v>744</v>
      </c>
      <c r="BF68" s="716">
        <v>661</v>
      </c>
      <c r="BG68" s="676">
        <v>726.4</v>
      </c>
      <c r="BH68" s="676">
        <v>2194.4</v>
      </c>
      <c r="BI68" s="676">
        <v>703.1</v>
      </c>
      <c r="BJ68" s="676"/>
      <c r="BK68" s="676"/>
      <c r="BL68" s="676"/>
    </row>
    <row r="69" spans="1:64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9"/>
        <v>1223.6800000000003</v>
      </c>
      <c r="G69" s="39">
        <f t="shared" si="40"/>
        <v>9140.32</v>
      </c>
      <c r="H69" s="222">
        <f t="shared" si="41"/>
        <v>0.13387715090937738</v>
      </c>
      <c r="I69" s="39"/>
      <c r="J69" s="39"/>
      <c r="K69" s="39">
        <v>2676</v>
      </c>
      <c r="L69" s="39"/>
      <c r="BE69" s="713" t="s">
        <v>1072</v>
      </c>
      <c r="BF69" s="716">
        <v>3800</v>
      </c>
      <c r="BG69" s="676">
        <v>3720</v>
      </c>
      <c r="BH69" s="676">
        <v>4878.1000000000004</v>
      </c>
      <c r="BI69" s="676">
        <v>4823.1000000000004</v>
      </c>
      <c r="BJ69" s="676"/>
      <c r="BK69" s="676"/>
      <c r="BL69" s="676"/>
    </row>
    <row r="70" spans="1:64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42">C70*(E70-D70)</f>
        <v>1747.6799999999998</v>
      </c>
      <c r="G70" s="39">
        <f t="shared" ref="G70:G82" si="43">D70*C70</f>
        <v>9140.32</v>
      </c>
      <c r="H70" s="222">
        <f t="shared" ref="H70:H82" si="44">(E70-D70)/D70</f>
        <v>0.1912055595427731</v>
      </c>
      <c r="I70" s="39"/>
      <c r="J70" s="39"/>
      <c r="K70" s="39">
        <v>3120</v>
      </c>
      <c r="L70" s="39"/>
      <c r="BE70" s="712"/>
      <c r="BF70" s="716"/>
      <c r="BG70" s="676"/>
      <c r="BH70" s="676"/>
      <c r="BI70" s="676"/>
      <c r="BJ70" s="676"/>
      <c r="BK70" s="676"/>
      <c r="BL70" s="676"/>
    </row>
    <row r="71" spans="1:64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42"/>
        <v>1126.7099999999991</v>
      </c>
      <c r="G71" s="39">
        <f t="shared" si="43"/>
        <v>10429.290000000001</v>
      </c>
      <c r="H71" s="222">
        <f t="shared" si="44"/>
        <v>0.10803324099722983</v>
      </c>
      <c r="I71" s="39"/>
      <c r="J71" s="39"/>
      <c r="K71" s="39">
        <v>2579</v>
      </c>
      <c r="L71" s="39"/>
      <c r="BE71" s="712"/>
      <c r="BF71" s="716"/>
      <c r="BG71" s="676"/>
      <c r="BH71" s="676"/>
      <c r="BI71" s="676"/>
      <c r="BJ71" s="676"/>
      <c r="BK71" s="676"/>
      <c r="BL71" s="676"/>
    </row>
    <row r="72" spans="1:64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42"/>
        <v>1382.6799999999992</v>
      </c>
      <c r="G72" s="39">
        <f t="shared" si="43"/>
        <v>9105.32</v>
      </c>
      <c r="H72" s="222">
        <f t="shared" si="44"/>
        <v>0.15185408091093988</v>
      </c>
      <c r="I72" s="39">
        <v>22.5</v>
      </c>
      <c r="J72" s="39"/>
      <c r="K72" s="39">
        <v>2835</v>
      </c>
      <c r="L72" s="39"/>
      <c r="BE72" s="712"/>
      <c r="BF72" s="716"/>
      <c r="BG72" s="676"/>
      <c r="BH72" s="676"/>
      <c r="BI72" s="676"/>
      <c r="BJ72" s="676"/>
      <c r="BK72" s="676"/>
      <c r="BL72" s="676"/>
    </row>
    <row r="73" spans="1:64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42"/>
        <v>1507.9999999999998</v>
      </c>
      <c r="G73" s="39">
        <f t="shared" si="43"/>
        <v>9104</v>
      </c>
      <c r="H73" s="222">
        <f t="shared" si="44"/>
        <v>0.16564147627416517</v>
      </c>
      <c r="I73" s="39"/>
      <c r="J73" s="39">
        <v>58.41</v>
      </c>
      <c r="K73" s="39">
        <v>2959</v>
      </c>
      <c r="L73" s="39"/>
      <c r="BF73" s="107"/>
    </row>
    <row r="74" spans="1:64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42"/>
        <v>1936.6200000000003</v>
      </c>
      <c r="G74" s="39">
        <f t="shared" si="43"/>
        <v>6343.38</v>
      </c>
      <c r="H74" s="222">
        <f t="shared" si="44"/>
        <v>0.30529780653216426</v>
      </c>
      <c r="I74" s="39"/>
      <c r="J74" s="39"/>
      <c r="K74" s="39">
        <v>3389</v>
      </c>
      <c r="L74" s="39"/>
      <c r="BF74" s="4"/>
    </row>
    <row r="75" spans="1:64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42"/>
        <v>1888.600000000001</v>
      </c>
      <c r="G75" s="39">
        <f t="shared" si="43"/>
        <v>9031.4</v>
      </c>
      <c r="H75" s="222">
        <f t="shared" si="44"/>
        <v>0.20911486591226178</v>
      </c>
      <c r="I75" s="39"/>
      <c r="J75" s="39"/>
      <c r="K75" s="39">
        <v>3341</v>
      </c>
      <c r="L75" s="39"/>
    </row>
    <row r="76" spans="1:64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42"/>
        <v>1415.9999999999995</v>
      </c>
      <c r="G76" s="39">
        <f t="shared" si="43"/>
        <v>14208</v>
      </c>
      <c r="H76" s="222">
        <f t="shared" si="44"/>
        <v>9.9662162162162143E-2</v>
      </c>
      <c r="I76" s="39"/>
      <c r="J76" s="39"/>
      <c r="K76" s="39">
        <v>2869</v>
      </c>
      <c r="L76" s="39"/>
    </row>
    <row r="77" spans="1:64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42"/>
        <v>556.64000000000158</v>
      </c>
      <c r="G77" s="39">
        <f t="shared" si="43"/>
        <v>18923.36</v>
      </c>
      <c r="H77" s="222">
        <f t="shared" si="44"/>
        <v>2.9415494922677664E-2</v>
      </c>
      <c r="I77" s="39"/>
      <c r="J77" s="39"/>
      <c r="K77" s="39"/>
      <c r="L77" s="39"/>
    </row>
    <row r="78" spans="1:64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42"/>
        <v>582.48000000000036</v>
      </c>
      <c r="G78" s="39">
        <f t="shared" si="43"/>
        <v>14027.52</v>
      </c>
      <c r="H78" s="222">
        <f t="shared" si="44"/>
        <v>4.1524089789214368E-2</v>
      </c>
      <c r="I78" s="39"/>
      <c r="J78" s="39"/>
      <c r="K78" s="39">
        <v>2035</v>
      </c>
      <c r="L78" s="39"/>
    </row>
    <row r="79" spans="1:64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42"/>
        <v>1488.0000000000002</v>
      </c>
      <c r="G79" s="39">
        <f t="shared" si="43"/>
        <v>14028</v>
      </c>
      <c r="H79" s="222">
        <f t="shared" si="44"/>
        <v>0.10607356715141149</v>
      </c>
      <c r="I79" s="39"/>
      <c r="J79" s="39"/>
      <c r="K79" s="39">
        <v>2941</v>
      </c>
      <c r="L79" s="39"/>
    </row>
    <row r="80" spans="1:64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42"/>
        <v>1685.0000000000005</v>
      </c>
      <c r="G80" s="39">
        <f t="shared" si="43"/>
        <v>11410</v>
      </c>
      <c r="H80" s="222">
        <f t="shared" si="44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42"/>
        <v>1980.0000000000011</v>
      </c>
      <c r="G81" s="39">
        <f t="shared" si="43"/>
        <v>8724</v>
      </c>
      <c r="H81" s="222">
        <f t="shared" si="44"/>
        <v>0.22696011004126562</v>
      </c>
      <c r="I81" s="746" t="s">
        <v>941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42"/>
        <v>2524.0000000000009</v>
      </c>
      <c r="G82" s="39">
        <f t="shared" si="43"/>
        <v>8724</v>
      </c>
      <c r="H82" s="222">
        <f t="shared" si="44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45">C83*(E83-D83)</f>
        <v>2004.0000000000007</v>
      </c>
      <c r="G83" s="39">
        <f t="shared" ref="G83" si="46">D83*C83</f>
        <v>8724</v>
      </c>
      <c r="H83" s="222">
        <f t="shared" ref="H83" si="47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48">C84*(E84-D84)</f>
        <v>2372</v>
      </c>
      <c r="G84" s="39">
        <f t="shared" ref="G84:G85" si="49">D84*C84</f>
        <v>8724</v>
      </c>
      <c r="H84" s="222">
        <f t="shared" ref="H84:H85" si="50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48"/>
        <v>1584.0000000000005</v>
      </c>
      <c r="G85" s="39">
        <f t="shared" si="49"/>
        <v>13770</v>
      </c>
      <c r="H85" s="222">
        <f t="shared" si="50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51">C86*(E86-D86)</f>
        <v>1019.9999999999995</v>
      </c>
      <c r="G86" s="39">
        <f t="shared" ref="G86:G93" si="52">D86*C86</f>
        <v>13770</v>
      </c>
      <c r="H86" s="222">
        <f t="shared" ref="H86:H93" si="53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51"/>
        <v>364.40000000000055</v>
      </c>
      <c r="G87" s="39">
        <f t="shared" si="52"/>
        <v>18491.599999999999</v>
      </c>
      <c r="H87" s="222">
        <f t="shared" si="53"/>
        <v>1.9706244997728727E-2</v>
      </c>
      <c r="I87" s="746" t="s">
        <v>967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51"/>
        <v>928.26000000000022</v>
      </c>
      <c r="G88" s="39">
        <f t="shared" si="52"/>
        <v>13639.74</v>
      </c>
      <c r="H88" s="222">
        <f t="shared" si="53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51"/>
        <v>560.00000000000227</v>
      </c>
      <c r="G89" s="39">
        <f t="shared" si="52"/>
        <v>18376</v>
      </c>
      <c r="H89" s="222">
        <f t="shared" si="53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51"/>
        <v>1788.0000000000002</v>
      </c>
      <c r="G90" s="39">
        <f t="shared" si="52"/>
        <v>13326</v>
      </c>
      <c r="H90" s="222">
        <f t="shared" si="53"/>
        <v>0.13417379558757317</v>
      </c>
      <c r="I90" s="746" t="s">
        <v>969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51"/>
        <v>1372.0000000000007</v>
      </c>
      <c r="G91" s="39">
        <f t="shared" si="52"/>
        <v>15778</v>
      </c>
      <c r="H91" s="222">
        <f t="shared" si="53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51"/>
        <v>1059.2000000000012</v>
      </c>
      <c r="G92" s="39">
        <f t="shared" si="52"/>
        <v>18180.8</v>
      </c>
      <c r="H92" s="222">
        <f t="shared" si="5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51"/>
        <v>1881.0000000000009</v>
      </c>
      <c r="G93" s="39">
        <f t="shared" si="52"/>
        <v>13137</v>
      </c>
      <c r="H93" s="222">
        <f t="shared" si="53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54">C94*(E94-D94)</f>
        <v>2486.9999999999995</v>
      </c>
      <c r="G94" s="39">
        <f t="shared" ref="G94" si="55">D94*C94</f>
        <v>13137</v>
      </c>
      <c r="H94" s="222">
        <f t="shared" ref="H94" si="56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100" si="57">C95*(E95-D95)</f>
        <v>3165.0000000000014</v>
      </c>
      <c r="G95" s="39">
        <f t="shared" ref="G95:G100" si="58">D95*C95</f>
        <v>13137</v>
      </c>
      <c r="H95" s="222">
        <f t="shared" ref="H95:H100" si="59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57"/>
        <v>3350.7999999999997</v>
      </c>
      <c r="G96" s="39">
        <f t="shared" si="58"/>
        <v>7621.2000000000007</v>
      </c>
      <c r="H96" s="222">
        <f t="shared" si="59"/>
        <v>0.4396682937070277</v>
      </c>
      <c r="I96" s="746" t="s">
        <v>1065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57"/>
        <v>3456.8999999999992</v>
      </c>
      <c r="G97" s="39">
        <f t="shared" si="58"/>
        <v>10323.1</v>
      </c>
      <c r="H97" s="222">
        <f t="shared" si="59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57"/>
        <v>2728.920000000001</v>
      </c>
      <c r="G98" s="39">
        <f t="shared" si="58"/>
        <v>12931.08</v>
      </c>
      <c r="H98" s="222">
        <f t="shared" si="59"/>
        <v>0.21103573715420529</v>
      </c>
      <c r="I98" s="746" t="s">
        <v>1075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57"/>
        <v>3410.7600000000007</v>
      </c>
      <c r="G99" s="39">
        <f t="shared" si="58"/>
        <v>7457.24</v>
      </c>
      <c r="H99" s="222">
        <f t="shared" si="59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A100">
        <v>0</v>
      </c>
      <c r="B100" s="184">
        <v>43257</v>
      </c>
      <c r="C100" s="228">
        <v>200</v>
      </c>
      <c r="D100" s="229">
        <v>8.5065000000000008</v>
      </c>
      <c r="E100" s="39">
        <v>29.08</v>
      </c>
      <c r="F100" s="39">
        <f t="shared" si="57"/>
        <v>4114.6999999999989</v>
      </c>
      <c r="G100" s="39">
        <f t="shared" si="58"/>
        <v>1701.3000000000002</v>
      </c>
      <c r="H100" s="222">
        <f t="shared" si="59"/>
        <v>2.418562275906659</v>
      </c>
      <c r="I100" s="39"/>
      <c r="J100" s="39"/>
      <c r="K100" s="39">
        <v>5567</v>
      </c>
      <c r="L100" s="39"/>
    </row>
    <row r="101" spans="1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1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60">C110*(E110-D110)</f>
        <v>-30.999999999999872</v>
      </c>
      <c r="G110" s="363">
        <f t="shared" ref="G110:G115" si="61">D110*C110</f>
        <v>2500</v>
      </c>
      <c r="H110" s="364">
        <f t="shared" ref="H110:H115" si="62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60"/>
        <v>26.000000000000156</v>
      </c>
      <c r="G111" s="363">
        <f t="shared" si="61"/>
        <v>2500</v>
      </c>
      <c r="H111" s="364">
        <f t="shared" si="62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60"/>
        <v>157.00000000000003</v>
      </c>
      <c r="G112" s="363">
        <f t="shared" si="61"/>
        <v>2500</v>
      </c>
      <c r="H112" s="364">
        <f t="shared" si="62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60"/>
        <v>46.999999999999886</v>
      </c>
      <c r="G113" s="363">
        <f t="shared" si="61"/>
        <v>2500</v>
      </c>
      <c r="H113" s="364">
        <f t="shared" si="62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60"/>
        <v>69.000000000000128</v>
      </c>
      <c r="G114" s="363">
        <f t="shared" si="61"/>
        <v>2500</v>
      </c>
      <c r="H114" s="364">
        <f t="shared" si="62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60"/>
        <v>148.00000000000006</v>
      </c>
      <c r="G115" s="363">
        <f t="shared" si="61"/>
        <v>2500</v>
      </c>
      <c r="H115" s="364">
        <f t="shared" si="62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63">C116*(E116-D116)</f>
        <v>428.00000000000011</v>
      </c>
      <c r="G116" s="363">
        <f t="shared" ref="G116:G122" si="64">D116*C116</f>
        <v>2500</v>
      </c>
      <c r="H116" s="364">
        <f t="shared" ref="H116:H122" si="65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63"/>
        <v>368</v>
      </c>
      <c r="G117" s="363">
        <f t="shared" si="64"/>
        <v>2500</v>
      </c>
      <c r="H117" s="364">
        <f t="shared" si="65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63"/>
        <v>401.00000000000017</v>
      </c>
      <c r="G118" s="363">
        <f t="shared" si="64"/>
        <v>2500</v>
      </c>
      <c r="H118" s="364">
        <f t="shared" si="65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63"/>
        <v>389.00000000000006</v>
      </c>
      <c r="G119" s="363">
        <f t="shared" si="64"/>
        <v>2500</v>
      </c>
      <c r="H119" s="364">
        <f t="shared" si="65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63"/>
        <v>362.99999999999989</v>
      </c>
      <c r="G120" s="363">
        <f t="shared" si="64"/>
        <v>2500</v>
      </c>
      <c r="H120" s="364">
        <f t="shared" si="65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63"/>
        <v>434</v>
      </c>
      <c r="G121" s="363">
        <f t="shared" si="64"/>
        <v>2500</v>
      </c>
      <c r="H121" s="364">
        <f t="shared" si="65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63"/>
        <v>200</v>
      </c>
      <c r="G122" s="363">
        <f t="shared" si="64"/>
        <v>2500</v>
      </c>
      <c r="H122" s="364">
        <f t="shared" si="65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66">C127*(E127-D127)</f>
        <v>-9.9999999999999645</v>
      </c>
      <c r="G127" s="251">
        <f t="shared" ref="G127:G132" si="67">D127*C127</f>
        <v>1287</v>
      </c>
      <c r="H127" s="265">
        <f t="shared" ref="H127:H132" si="68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66"/>
        <v>-45.999999999999908</v>
      </c>
      <c r="G128" s="251">
        <f t="shared" si="67"/>
        <v>1287</v>
      </c>
      <c r="H128" s="265">
        <f t="shared" si="68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66"/>
        <v>-82.000000000000028</v>
      </c>
      <c r="G129" s="251">
        <f t="shared" si="67"/>
        <v>2496</v>
      </c>
      <c r="H129" s="265">
        <f t="shared" si="68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66"/>
        <v>-99.000000000000028</v>
      </c>
      <c r="G130" s="251">
        <f t="shared" si="67"/>
        <v>3720</v>
      </c>
      <c r="H130" s="265">
        <f t="shared" si="68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66"/>
        <v>-121.50000000000034</v>
      </c>
      <c r="G131" s="251">
        <f t="shared" si="67"/>
        <v>3720</v>
      </c>
      <c r="H131" s="265">
        <f t="shared" si="68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66"/>
        <v>-50.999999999999979</v>
      </c>
      <c r="G132" s="251">
        <f t="shared" si="67"/>
        <v>3720</v>
      </c>
      <c r="H132" s="265">
        <f t="shared" si="68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9">C133*(E133-D133)</f>
        <v>13.499999999999979</v>
      </c>
      <c r="G133" s="251">
        <f t="shared" ref="G133:G144" si="70">D133*C133</f>
        <v>3720</v>
      </c>
      <c r="H133" s="265">
        <f t="shared" ref="H133:H144" si="71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9"/>
        <v>40.499999999999936</v>
      </c>
      <c r="G134" s="251">
        <f t="shared" si="70"/>
        <v>3720</v>
      </c>
      <c r="H134" s="265">
        <f t="shared" si="71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9"/>
        <v>7.5000000000001066</v>
      </c>
      <c r="G135" s="251">
        <f t="shared" si="70"/>
        <v>3720</v>
      </c>
      <c r="H135" s="265">
        <f t="shared" si="71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9"/>
        <v>-33.000000000000362</v>
      </c>
      <c r="G136" s="251">
        <f t="shared" si="70"/>
        <v>3720</v>
      </c>
      <c r="H136" s="265">
        <f t="shared" si="71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9"/>
        <v>-211.50000000000003</v>
      </c>
      <c r="G137" s="251">
        <f t="shared" si="70"/>
        <v>3720</v>
      </c>
      <c r="H137" s="265">
        <f t="shared" si="71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9"/>
        <v>-144.00000000000011</v>
      </c>
      <c r="G138" s="251">
        <f t="shared" si="70"/>
        <v>3720</v>
      </c>
      <c r="H138" s="265">
        <f t="shared" si="71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9"/>
        <v>-73.500000000000298</v>
      </c>
      <c r="G139" s="251">
        <f t="shared" si="70"/>
        <v>3720</v>
      </c>
      <c r="H139" s="265">
        <f t="shared" si="71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9"/>
        <v>-104.53499999999991</v>
      </c>
      <c r="G140" s="251">
        <f t="shared" si="70"/>
        <v>3694.0349999999999</v>
      </c>
      <c r="H140" s="265">
        <f t="shared" si="71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9"/>
        <v>-164.53499999999968</v>
      </c>
      <c r="G141" s="251">
        <f t="shared" si="70"/>
        <v>3694.0349999999999</v>
      </c>
      <c r="H141" s="265">
        <f t="shared" si="71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9"/>
        <v>8.2949999999998525</v>
      </c>
      <c r="G142" s="251">
        <f t="shared" si="70"/>
        <v>3639.7050000000004</v>
      </c>
      <c r="H142" s="265">
        <f t="shared" si="71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9"/>
        <v>69.794999999999874</v>
      </c>
      <c r="G143" s="251">
        <f t="shared" si="70"/>
        <v>3639.7050000000004</v>
      </c>
      <c r="H143" s="265">
        <f t="shared" si="71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9"/>
        <v>589.25999999999976</v>
      </c>
      <c r="G144" s="251">
        <f t="shared" si="70"/>
        <v>2250.7400000000002</v>
      </c>
      <c r="H144" s="265">
        <f t="shared" si="71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226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336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336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336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336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336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17" priority="72">
      <formula>F85&gt;0</formula>
    </cfRule>
    <cfRule type="expression" dxfId="1016" priority="73">
      <formula>F85&lt;0</formula>
    </cfRule>
  </conditionalFormatting>
  <conditionalFormatting sqref="Q7">
    <cfRule type="expression" dxfId="1015" priority="60">
      <formula>Q7&gt;0</formula>
    </cfRule>
    <cfRule type="expression" dxfId="1014" priority="61">
      <formula>Q7&lt;0</formula>
    </cfRule>
  </conditionalFormatting>
  <conditionalFormatting sqref="Q8">
    <cfRule type="expression" dxfId="1013" priority="58">
      <formula>Q8&gt;0</formula>
    </cfRule>
    <cfRule type="expression" dxfId="1012" priority="59">
      <formula>Q8&lt;0</formula>
    </cfRule>
  </conditionalFormatting>
  <conditionalFormatting sqref="F110:F122">
    <cfRule type="expression" dxfId="1011" priority="56">
      <formula>F110&gt;0</formula>
    </cfRule>
    <cfRule type="expression" dxfId="1010" priority="57">
      <formula>F110&lt;0</formula>
    </cfRule>
  </conditionalFormatting>
  <conditionalFormatting sqref="H110:H122">
    <cfRule type="expression" dxfId="1009" priority="54">
      <formula>H110&gt;0</formula>
    </cfRule>
    <cfRule type="expression" dxfId="1008" priority="55">
      <formula>H110&lt;0</formula>
    </cfRule>
  </conditionalFormatting>
  <conditionalFormatting sqref="H126:H129">
    <cfRule type="expression" dxfId="1007" priority="50">
      <formula>H126&gt;0</formula>
    </cfRule>
    <cfRule type="expression" dxfId="1006" priority="51">
      <formula>H126&lt;0</formula>
    </cfRule>
  </conditionalFormatting>
  <conditionalFormatting sqref="F126:F129">
    <cfRule type="expression" dxfId="1005" priority="52">
      <formula>F126&gt;0</formula>
    </cfRule>
    <cfRule type="expression" dxfId="1004" priority="53">
      <formula>F126&lt;0</formula>
    </cfRule>
  </conditionalFormatting>
  <conditionalFormatting sqref="M152">
    <cfRule type="expression" dxfId="1003" priority="48">
      <formula>M152&gt;0</formula>
    </cfRule>
    <cfRule type="expression" dxfId="1002" priority="49">
      <formula>M152&lt;0</formula>
    </cfRule>
  </conditionalFormatting>
  <conditionalFormatting sqref="F37:F38 F45:F82">
    <cfRule type="expression" dxfId="1001" priority="46">
      <formula>F37&gt;0</formula>
    </cfRule>
    <cfRule type="expression" dxfId="1000" priority="47">
      <formula>F37&lt;0</formula>
    </cfRule>
  </conditionalFormatting>
  <conditionalFormatting sqref="H37:H38 H45:H82">
    <cfRule type="expression" dxfId="999" priority="44">
      <formula>H37&gt;0</formula>
    </cfRule>
    <cfRule type="expression" dxfId="998" priority="45">
      <formula>H37&lt;0</formula>
    </cfRule>
  </conditionalFormatting>
  <conditionalFormatting sqref="Q10">
    <cfRule type="expression" dxfId="997" priority="42">
      <formula>Q10&gt;0</formula>
    </cfRule>
    <cfRule type="expression" dxfId="996" priority="43">
      <formula>Q10&lt;0</formula>
    </cfRule>
  </conditionalFormatting>
  <conditionalFormatting sqref="F39:F44">
    <cfRule type="expression" dxfId="995" priority="40">
      <formula>F39&gt;0</formula>
    </cfRule>
    <cfRule type="expression" dxfId="994" priority="41">
      <formula>F39&lt;0</formula>
    </cfRule>
  </conditionalFormatting>
  <conditionalFormatting sqref="H39:H44">
    <cfRule type="expression" dxfId="993" priority="38">
      <formula>H39&gt;0</formula>
    </cfRule>
    <cfRule type="expression" dxfId="992" priority="39">
      <formula>H39&lt;0</formula>
    </cfRule>
  </conditionalFormatting>
  <conditionalFormatting sqref="K42:K49">
    <cfRule type="expression" dxfId="991" priority="36">
      <formula>K42&gt;0</formula>
    </cfRule>
    <cfRule type="expression" dxfId="990" priority="37">
      <formula>K42&lt;0</formula>
    </cfRule>
  </conditionalFormatting>
  <conditionalFormatting sqref="K50:K82">
    <cfRule type="expression" dxfId="989" priority="34">
      <formula>K50&gt;0</formula>
    </cfRule>
    <cfRule type="expression" dxfId="988" priority="35">
      <formula>K50&lt;0</formula>
    </cfRule>
  </conditionalFormatting>
  <conditionalFormatting sqref="F83:F84">
    <cfRule type="expression" dxfId="987" priority="31">
      <formula>F83&gt;0</formula>
    </cfRule>
    <cfRule type="expression" dxfId="986" priority="32">
      <formula>F83&lt;0</formula>
    </cfRule>
  </conditionalFormatting>
  <conditionalFormatting sqref="H83:H84">
    <cfRule type="expression" dxfId="985" priority="29">
      <formula>H83&gt;0</formula>
    </cfRule>
    <cfRule type="expression" dxfId="984" priority="30">
      <formula>H83&lt;0</formula>
    </cfRule>
  </conditionalFormatting>
  <conditionalFormatting sqref="K83:K84">
    <cfRule type="expression" dxfId="983" priority="27">
      <formula>K83&gt;0</formula>
    </cfRule>
    <cfRule type="expression" dxfId="982" priority="28">
      <formula>K83&lt;0</formula>
    </cfRule>
  </conditionalFormatting>
  <conditionalFormatting sqref="F93:F95 H93:H95 K93:K95">
    <cfRule type="expression" dxfId="981" priority="23">
      <formula>F93&gt;0</formula>
    </cfRule>
    <cfRule type="expression" dxfId="980" priority="24">
      <formula>F93&lt;0</formula>
    </cfRule>
  </conditionalFormatting>
  <conditionalFormatting sqref="L85:L91 L105:L107">
    <cfRule type="expression" dxfId="979" priority="21">
      <formula>L85&gt;0</formula>
    </cfRule>
    <cfRule type="expression" dxfId="978" priority="22">
      <formula>L85&lt;0</formula>
    </cfRule>
  </conditionalFormatting>
  <conditionalFormatting sqref="L42:L49">
    <cfRule type="expression" dxfId="977" priority="19">
      <formula>L42&gt;0</formula>
    </cfRule>
    <cfRule type="expression" dxfId="976" priority="20">
      <formula>L42&lt;0</formula>
    </cfRule>
  </conditionalFormatting>
  <conditionalFormatting sqref="L50:L82">
    <cfRule type="expression" dxfId="975" priority="17">
      <formula>L50&gt;0</formula>
    </cfRule>
    <cfRule type="expression" dxfId="974" priority="18">
      <formula>L50&lt;0</formula>
    </cfRule>
  </conditionalFormatting>
  <conditionalFormatting sqref="L83:L84">
    <cfRule type="expression" dxfId="973" priority="15">
      <formula>L83&gt;0</formula>
    </cfRule>
    <cfRule type="expression" dxfId="972" priority="16">
      <formula>L83&lt;0</formula>
    </cfRule>
  </conditionalFormatting>
  <conditionalFormatting sqref="L93:L95">
    <cfRule type="expression" dxfId="971" priority="13">
      <formula>L93&gt;0</formula>
    </cfRule>
    <cfRule type="expression" dxfId="970" priority="14">
      <formula>L93&lt;0</formula>
    </cfRule>
  </conditionalFormatting>
  <conditionalFormatting sqref="K102:K104 F102:F104 H102:H104">
    <cfRule type="expression" dxfId="969" priority="11">
      <formula>F102&gt;0</formula>
    </cfRule>
    <cfRule type="expression" dxfId="968" priority="12">
      <formula>F102&lt;0</formula>
    </cfRule>
  </conditionalFormatting>
  <conditionalFormatting sqref="L102:L104">
    <cfRule type="expression" dxfId="967" priority="9">
      <formula>L102&gt;0</formula>
    </cfRule>
    <cfRule type="expression" dxfId="966" priority="10">
      <formula>L102&lt;0</formula>
    </cfRule>
  </conditionalFormatting>
  <conditionalFormatting sqref="K99:K101 F99:F101 H99:H101">
    <cfRule type="expression" dxfId="965" priority="7">
      <formula>F99&gt;0</formula>
    </cfRule>
    <cfRule type="expression" dxfId="964" priority="8">
      <formula>F99&lt;0</formula>
    </cfRule>
  </conditionalFormatting>
  <conditionalFormatting sqref="L99:L101">
    <cfRule type="expression" dxfId="963" priority="5">
      <formula>L99&gt;0</formula>
    </cfRule>
    <cfRule type="expression" dxfId="962" priority="6">
      <formula>L99&lt;0</formula>
    </cfRule>
  </conditionalFormatting>
  <conditionalFormatting sqref="K96:K98 F96:F98 H96:H98">
    <cfRule type="expression" dxfId="961" priority="3">
      <formula>F96&gt;0</formula>
    </cfRule>
    <cfRule type="expression" dxfId="960" priority="4">
      <formula>F96&lt;0</formula>
    </cfRule>
  </conditionalFormatting>
  <conditionalFormatting sqref="L97:L98">
    <cfRule type="expression" dxfId="959" priority="1">
      <formula>L97&gt;0</formula>
    </cfRule>
    <cfRule type="expression" dxfId="958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58.72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58.72</v>
      </c>
      <c r="R4" s="475">
        <v>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64.591999999999999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64.004800000000003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63.4176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62.830400000000004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62.243200000000002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61.655999999999999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61.068800000000003</v>
      </c>
      <c r="Q47" s="2"/>
      <c r="T47" s="91" t="s">
        <v>316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60.4816</v>
      </c>
      <c r="Q48" s="2"/>
      <c r="T48" s="91" t="s">
        <v>317</v>
      </c>
      <c r="U48" s="86" t="s">
        <v>499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59.894399999999997</v>
      </c>
      <c r="Q49" s="2"/>
      <c r="T49" s="91" t="s">
        <v>318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59.307200000000002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58.72</v>
      </c>
      <c r="Q51" s="2"/>
      <c r="T51" s="91" t="s">
        <v>104</v>
      </c>
      <c r="U51" s="86" t="s">
        <v>601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58.132799999999996</v>
      </c>
      <c r="Q52" s="2"/>
      <c r="T52" s="91" t="s">
        <v>105</v>
      </c>
      <c r="U52" s="86" t="s">
        <v>513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57.5456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56.958399999999997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224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235</v>
      </c>
      <c r="M55" s="250"/>
      <c r="O55" s="81">
        <v>0.96</v>
      </c>
      <c r="P55" s="81">
        <f t="shared" si="5"/>
        <v>56.371199999999995</v>
      </c>
      <c r="T55" s="91" t="s">
        <v>319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55.783999999999999</v>
      </c>
      <c r="T56" s="91" t="s">
        <v>320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55.196799999999996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54.6096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54.022400000000005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53.435200000000002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52.847999999999999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57" priority="9">
      <formula>F39&gt;0</formula>
    </cfRule>
    <cfRule type="expression" dxfId="956" priority="10">
      <formula>F39&lt;0</formula>
    </cfRule>
  </conditionalFormatting>
  <conditionalFormatting sqref="F25:F38">
    <cfRule type="expression" dxfId="955" priority="7">
      <formula>F25&gt;0</formula>
    </cfRule>
    <cfRule type="expression" dxfId="954" priority="8">
      <formula>F25&lt;0</formula>
    </cfRule>
  </conditionalFormatting>
  <conditionalFormatting sqref="H25:H38">
    <cfRule type="expression" dxfId="953" priority="5">
      <formula>H25&gt;0</formula>
    </cfRule>
    <cfRule type="expression" dxfId="952" priority="6">
      <formula>H25&lt;0</formula>
    </cfRule>
  </conditionalFormatting>
  <conditionalFormatting sqref="Q7">
    <cfRule type="expression" dxfId="951" priority="3">
      <formula>Q7&gt;0</formula>
    </cfRule>
    <cfRule type="expression" dxfId="950" priority="4">
      <formula>Q7&lt;0</formula>
    </cfRule>
  </conditionalFormatting>
  <conditionalFormatting sqref="Q8">
    <cfRule type="expression" dxfId="949" priority="1">
      <formula>Q8&gt;0</formula>
    </cfRule>
    <cfRule type="expression" dxfId="94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453.38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453.38</v>
      </c>
      <c r="R4" s="495">
        <v>-1.37E-2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50" t="s">
        <v>78</v>
      </c>
      <c r="P14" s="850"/>
      <c r="W14" s="134"/>
    </row>
    <row r="15" spans="1:23" ht="15.75" thickTop="1" x14ac:dyDescent="0.25">
      <c r="H15" s="70"/>
      <c r="O15" s="81">
        <v>1.1000000000000001</v>
      </c>
      <c r="P15" s="81">
        <f>O15*$Q$4</f>
        <v>498.71800000000002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494.18420000000003</v>
      </c>
      <c r="W16" s="134"/>
    </row>
    <row r="17" spans="1:23" x14ac:dyDescent="0.25">
      <c r="O17" s="81">
        <v>1.08</v>
      </c>
      <c r="P17" s="81">
        <f t="shared" si="0"/>
        <v>489.65040000000005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485.11660000000001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480.58280000000002</v>
      </c>
      <c r="W19" s="134"/>
    </row>
    <row r="20" spans="1:23" x14ac:dyDescent="0.25">
      <c r="O20" s="81">
        <v>1.05</v>
      </c>
      <c r="P20" s="81">
        <f t="shared" si="0"/>
        <v>476.04900000000004</v>
      </c>
      <c r="W20" s="134"/>
    </row>
    <row r="21" spans="1:23" x14ac:dyDescent="0.25">
      <c r="O21" s="81">
        <v>1.04</v>
      </c>
      <c r="P21" s="81">
        <f t="shared" si="0"/>
        <v>471.51519999999999</v>
      </c>
      <c r="W21" s="134"/>
    </row>
    <row r="22" spans="1:23" x14ac:dyDescent="0.25">
      <c r="O22" s="81">
        <v>1.03</v>
      </c>
      <c r="P22" s="81">
        <f t="shared" si="0"/>
        <v>466.98140000000001</v>
      </c>
      <c r="W22" s="134"/>
    </row>
    <row r="23" spans="1:23" x14ac:dyDescent="0.25">
      <c r="O23" s="81">
        <v>1.02</v>
      </c>
      <c r="P23" s="81">
        <f t="shared" si="0"/>
        <v>462.44760000000002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178</v>
      </c>
      <c r="L24" s="220"/>
      <c r="O24" s="81">
        <v>1.01</v>
      </c>
      <c r="P24" s="81">
        <f t="shared" si="0"/>
        <v>457.91379999999998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453.38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448.84620000000001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444.31239999999997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439.77859999999998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435.2448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430.71099999999996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426.17719999999997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421.64340000000004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417.1096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412.57580000000002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408.04200000000003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824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47" priority="29">
      <formula>F29&gt;0</formula>
    </cfRule>
    <cfRule type="expression" dxfId="946" priority="30">
      <formula>F29&lt;0</formula>
    </cfRule>
  </conditionalFormatting>
  <conditionalFormatting sqref="Q7">
    <cfRule type="expression" dxfId="945" priority="27">
      <formula>Q7&gt;0</formula>
    </cfRule>
    <cfRule type="expression" dxfId="944" priority="28">
      <formula>Q7&lt;0</formula>
    </cfRule>
  </conditionalFormatting>
  <conditionalFormatting sqref="Q8">
    <cfRule type="expression" dxfId="943" priority="25">
      <formula>Q8&gt;0</formula>
    </cfRule>
    <cfRule type="expression" dxfId="942" priority="26">
      <formula>Q8&lt;0</formula>
    </cfRule>
  </conditionalFormatting>
  <conditionalFormatting sqref="F96:F110">
    <cfRule type="expression" dxfId="941" priority="19">
      <formula>F96&gt;0</formula>
    </cfRule>
    <cfRule type="expression" dxfId="940" priority="20">
      <formula>F96&lt;0</formula>
    </cfRule>
  </conditionalFormatting>
  <conditionalFormatting sqref="H96:H110">
    <cfRule type="expression" dxfId="939" priority="17">
      <formula>H96&gt;0</formula>
    </cfRule>
    <cfRule type="expression" dxfId="938" priority="18">
      <formula>H96&lt;0</formula>
    </cfRule>
  </conditionalFormatting>
  <conditionalFormatting sqref="Q10">
    <cfRule type="expression" dxfId="937" priority="15">
      <formula>Q10&gt;0</formula>
    </cfRule>
    <cfRule type="expression" dxfId="936" priority="16">
      <formula>Q10&lt;0</formula>
    </cfRule>
  </conditionalFormatting>
  <conditionalFormatting sqref="L29:L38">
    <cfRule type="expression" dxfId="935" priority="9">
      <formula>L29&gt;0</formula>
    </cfRule>
    <cfRule type="expression" dxfId="934" priority="10">
      <formula>L29&lt;0</formula>
    </cfRule>
  </conditionalFormatting>
  <conditionalFormatting sqref="F27:F29 H27:H29 J25:K29">
    <cfRule type="expression" dxfId="933" priority="7">
      <formula>F25&gt;0</formula>
    </cfRule>
    <cfRule type="expression" dxfId="932" priority="8">
      <formula>F25&lt;0</formula>
    </cfRule>
  </conditionalFormatting>
  <conditionalFormatting sqref="L25:L29">
    <cfRule type="expression" dxfId="931" priority="5">
      <formula>L25&gt;0</formula>
    </cfRule>
    <cfRule type="expression" dxfId="930" priority="6">
      <formula>L25&lt;0</formula>
    </cfRule>
  </conditionalFormatting>
  <conditionalFormatting sqref="F25:F26">
    <cfRule type="expression" dxfId="929" priority="3">
      <formula>F25&gt;0</formula>
    </cfRule>
    <cfRule type="expression" dxfId="928" priority="4">
      <formula>F25&lt;0</formula>
    </cfRule>
  </conditionalFormatting>
  <conditionalFormatting sqref="H25:H26">
    <cfRule type="expression" dxfId="927" priority="1">
      <formula>H25&gt;0</formula>
    </cfRule>
    <cfRule type="expression" dxfId="926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850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885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>C3*D3+E3</f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82.575749999999942</v>
      </c>
      <c r="T3" s="1">
        <v>43114</v>
      </c>
      <c r="U3" t="s">
        <v>886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>C4*D4+E4</f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90.429900000000004</v>
      </c>
      <c r="R4" s="495">
        <v>1.1000000000000001E-3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3617.1959999999999</v>
      </c>
      <c r="T5" s="1">
        <v>43121</v>
      </c>
      <c r="U5" t="s">
        <v>904</v>
      </c>
      <c r="W5" s="134"/>
    </row>
    <row r="6" spans="1:23" x14ac:dyDescent="0.25">
      <c r="B6" s="72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3303.0299999999979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314.16600000000108</v>
      </c>
      <c r="R7">
        <v>40</v>
      </c>
      <c r="T7" s="1">
        <v>43138</v>
      </c>
      <c r="U7" t="s">
        <v>985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314.16600000000108</v>
      </c>
      <c r="T8" s="1"/>
      <c r="U8" t="s">
        <v>986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9.5114485790320183E-2</v>
      </c>
      <c r="U9" t="s">
        <v>987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989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2.5212899715691378E-2</v>
      </c>
      <c r="R11">
        <f>0.57</f>
        <v>0.56999999999999995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 s="2">
        <f>Q4/4.76</f>
        <v>18.997878151260505</v>
      </c>
      <c r="T13" s="1">
        <v>43213</v>
      </c>
      <c r="U13" t="s">
        <v>988</v>
      </c>
      <c r="W13" s="134"/>
    </row>
    <row r="14" spans="1:23" x14ac:dyDescent="0.25">
      <c r="H14" s="70"/>
      <c r="U14" t="s">
        <v>1027</v>
      </c>
      <c r="W14" s="134"/>
    </row>
    <row r="15" spans="1:23" x14ac:dyDescent="0.25">
      <c r="H15" s="70"/>
      <c r="U15" t="s">
        <v>1028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1098</v>
      </c>
      <c r="W17" s="134"/>
    </row>
    <row r="18" spans="1:23" ht="20.25" thickBot="1" x14ac:dyDescent="0.35">
      <c r="A18" s="31" t="s">
        <v>81</v>
      </c>
      <c r="B18" s="14"/>
      <c r="C18" s="14">
        <f>SUM(C2:C7)</f>
        <v>180</v>
      </c>
      <c r="D18" s="18"/>
      <c r="E18" s="18"/>
      <c r="F18" s="18">
        <f>SUM(F2:F7)</f>
        <v>15700.8</v>
      </c>
      <c r="G18" s="14"/>
      <c r="H18" s="71">
        <f>SUM(H2:H5)</f>
        <v>140</v>
      </c>
      <c r="I18" s="18"/>
      <c r="J18" s="18"/>
      <c r="K18" s="18">
        <f>SUM(K2:K5)</f>
        <v>12311.970000000001</v>
      </c>
      <c r="L18" s="14"/>
      <c r="M18" s="18">
        <f>SUM(M2:M10)</f>
        <v>85.8</v>
      </c>
      <c r="O18" s="850" t="s">
        <v>78</v>
      </c>
      <c r="P18" s="85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12098</v>
      </c>
      <c r="G19" s="343"/>
      <c r="H19" s="343">
        <f>SumByColor($A$19,H2:H17)</f>
        <v>140</v>
      </c>
      <c r="I19" s="343"/>
      <c r="J19" s="343"/>
      <c r="K19" s="344">
        <f>SumByColor($A$19,K2:K17)</f>
        <v>12312</v>
      </c>
      <c r="L19" s="343"/>
      <c r="M19" s="344">
        <f>SumByColor($A$19,M2:M17)</f>
        <v>86</v>
      </c>
      <c r="O19" s="81">
        <v>1.1000000000000001</v>
      </c>
      <c r="P19" s="81">
        <f>O19*$Q$4</f>
        <v>99.472890000000007</v>
      </c>
      <c r="W19" s="134"/>
    </row>
    <row r="20" spans="1:23" x14ac:dyDescent="0.25">
      <c r="O20" s="81">
        <v>1.0900000000000001</v>
      </c>
      <c r="P20" s="81">
        <f t="shared" ref="P20:P39" si="0">O20*$Q$4</f>
        <v>98.568591000000012</v>
      </c>
      <c r="W20" s="134"/>
    </row>
    <row r="21" spans="1:23" x14ac:dyDescent="0.25">
      <c r="O21" s="81">
        <v>1.08</v>
      </c>
      <c r="P21" s="81">
        <f t="shared" si="0"/>
        <v>97.664292000000003</v>
      </c>
      <c r="W21" s="134"/>
    </row>
    <row r="22" spans="1:23" x14ac:dyDescent="0.25">
      <c r="O22" s="81">
        <v>1.07</v>
      </c>
      <c r="P22" s="81">
        <f t="shared" si="0"/>
        <v>96.759993000000009</v>
      </c>
      <c r="W22" s="134"/>
    </row>
    <row r="23" spans="1:23" x14ac:dyDescent="0.25">
      <c r="O23" s="81">
        <v>1.06</v>
      </c>
      <c r="P23" s="81">
        <f t="shared" si="0"/>
        <v>95.855694000000014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975</v>
      </c>
      <c r="L24" s="220"/>
      <c r="O24" s="81">
        <v>1.05</v>
      </c>
      <c r="P24" s="81">
        <f t="shared" si="0"/>
        <v>94.951395000000005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94.04709600000001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93.142797000000002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92.238498000000007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91.334198999999998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90.429900000000004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89.525601000000009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88.621302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87.717003000000005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86.812703999999997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85.908405000000002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85.004105999999993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84.099807000000013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9" si="28">C37*(E37-D37)</f>
        <v>17.000000000000171</v>
      </c>
      <c r="G37" s="39">
        <f t="shared" ref="G37:G39" si="29">D37*C37</f>
        <v>8721</v>
      </c>
      <c r="H37" s="222">
        <f t="shared" ref="H37:H39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83.195508000000004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82.291209000000009</v>
      </c>
      <c r="W38" s="134"/>
    </row>
    <row r="39" spans="1:23" x14ac:dyDescent="0.25">
      <c r="B39" s="184">
        <v>43258</v>
      </c>
      <c r="C39" s="10">
        <v>40</v>
      </c>
      <c r="D39" s="39">
        <v>82.575699999999998</v>
      </c>
      <c r="E39" s="39">
        <v>88.81</v>
      </c>
      <c r="F39" s="39">
        <f t="shared" si="28"/>
        <v>249.37200000000018</v>
      </c>
      <c r="G39" s="39">
        <f t="shared" si="29"/>
        <v>3303.0279999999998</v>
      </c>
      <c r="H39" s="222">
        <f t="shared" si="30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0"/>
        <v>81.38691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850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25" priority="25">
      <formula>F47&gt;0</formula>
    </cfRule>
    <cfRule type="expression" dxfId="924" priority="26">
      <formula>F47&lt;0</formula>
    </cfRule>
  </conditionalFormatting>
  <conditionalFormatting sqref="Q7">
    <cfRule type="expression" dxfId="923" priority="23">
      <formula>Q7&gt;0</formula>
    </cfRule>
    <cfRule type="expression" dxfId="922" priority="24">
      <formula>Q7&lt;0</formula>
    </cfRule>
  </conditionalFormatting>
  <conditionalFormatting sqref="Q8">
    <cfRule type="expression" dxfId="921" priority="21">
      <formula>Q8&gt;0</formula>
    </cfRule>
    <cfRule type="expression" dxfId="920" priority="22">
      <formula>Q8&lt;0</formula>
    </cfRule>
  </conditionalFormatting>
  <conditionalFormatting sqref="F25:F29 F34:F46">
    <cfRule type="expression" dxfId="919" priority="19">
      <formula>F25&gt;0</formula>
    </cfRule>
    <cfRule type="expression" dxfId="918" priority="20">
      <formula>F25&lt;0</formula>
    </cfRule>
  </conditionalFormatting>
  <conditionalFormatting sqref="H25:H29 H34:H46">
    <cfRule type="expression" dxfId="917" priority="17">
      <formula>H25&gt;0</formula>
    </cfRule>
    <cfRule type="expression" dxfId="916" priority="18">
      <formula>H25&lt;0</formula>
    </cfRule>
  </conditionalFormatting>
  <conditionalFormatting sqref="F89:F110">
    <cfRule type="expression" dxfId="915" priority="15">
      <formula>F89&gt;0</formula>
    </cfRule>
    <cfRule type="expression" dxfId="914" priority="16">
      <formula>F89&lt;0</formula>
    </cfRule>
  </conditionalFormatting>
  <conditionalFormatting sqref="H89:H110">
    <cfRule type="expression" dxfId="913" priority="13">
      <formula>H89&gt;0</formula>
    </cfRule>
    <cfRule type="expression" dxfId="912" priority="14">
      <formula>H89&lt;0</formula>
    </cfRule>
  </conditionalFormatting>
  <conditionalFormatting sqref="Q10">
    <cfRule type="expression" dxfId="911" priority="11">
      <formula>Q10&gt;0</formula>
    </cfRule>
    <cfRule type="expression" dxfId="910" priority="12">
      <formula>Q10&lt;0</formula>
    </cfRule>
  </conditionalFormatting>
  <conditionalFormatting sqref="J25:J32 J34:J38">
    <cfRule type="expression" dxfId="909" priority="9">
      <formula>J25&gt;0</formula>
    </cfRule>
    <cfRule type="expression" dxfId="908" priority="10">
      <formula>J25&lt;0</formula>
    </cfRule>
  </conditionalFormatting>
  <conditionalFormatting sqref="K25:K30">
    <cfRule type="expression" dxfId="907" priority="7">
      <formula>K25&gt;0</formula>
    </cfRule>
    <cfRule type="expression" dxfId="906" priority="8">
      <formula>K25&lt;0</formula>
    </cfRule>
  </conditionalFormatting>
  <conditionalFormatting sqref="L25:L38">
    <cfRule type="expression" dxfId="905" priority="5">
      <formula>L25&gt;0</formula>
    </cfRule>
    <cfRule type="expression" dxfId="904" priority="6">
      <formula>L25&lt;0</formula>
    </cfRule>
  </conditionalFormatting>
  <conditionalFormatting sqref="F30:F33">
    <cfRule type="expression" dxfId="903" priority="3">
      <formula>F30&gt;0</formula>
    </cfRule>
    <cfRule type="expression" dxfId="902" priority="4">
      <formula>F30&lt;0</formula>
    </cfRule>
  </conditionalFormatting>
  <conditionalFormatting sqref="H30:H33">
    <cfRule type="expression" dxfId="901" priority="1">
      <formula>H30&gt;0</formula>
    </cfRule>
    <cfRule type="expression" dxfId="900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734</v>
      </c>
      <c r="B2" s="474">
        <v>43251</v>
      </c>
      <c r="C2" s="4">
        <v>100</v>
      </c>
      <c r="D2" s="3">
        <v>69.36</v>
      </c>
      <c r="E2" s="3">
        <v>0</v>
      </c>
      <c r="F2" s="3">
        <f>C2*D2+E2</f>
        <v>6936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U2" t="s">
        <v>1022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69.36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72.799899999999994</v>
      </c>
      <c r="R4" s="495">
        <v>9.4000000000000004E-3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7279.99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6936</v>
      </c>
      <c r="T6" s="1">
        <v>43097</v>
      </c>
      <c r="U6" t="s">
        <v>814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803.30999999999949</v>
      </c>
      <c r="R7" s="29">
        <v>43283</v>
      </c>
      <c r="T7" s="1">
        <v>43096</v>
      </c>
      <c r="U7" t="s">
        <v>813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343.98999999999978</v>
      </c>
      <c r="T8" s="1"/>
      <c r="U8" t="s">
        <v>817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4.9594867358708154E-2</v>
      </c>
      <c r="U9" t="s">
        <v>815</v>
      </c>
      <c r="W9" s="134"/>
    </row>
    <row r="10" spans="1:23" x14ac:dyDescent="0.25">
      <c r="H10" s="70"/>
      <c r="O10" s="11" t="s">
        <v>208</v>
      </c>
      <c r="P10" s="33"/>
      <c r="Q10" s="2">
        <f>M66</f>
        <v>459.31999999999971</v>
      </c>
      <c r="U10" t="s">
        <v>816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948</v>
      </c>
      <c r="Q12" s="1"/>
      <c r="T12" s="1">
        <v>43114</v>
      </c>
      <c r="U12" t="s">
        <v>867</v>
      </c>
      <c r="W12" s="134"/>
    </row>
    <row r="13" spans="1:23" x14ac:dyDescent="0.25">
      <c r="H13" s="70"/>
      <c r="O13" s="11" t="s">
        <v>975</v>
      </c>
      <c r="Q13" s="2">
        <f>Q4/(4.03+4.14)*2</f>
        <v>17.8212729498164</v>
      </c>
      <c r="U13" t="s">
        <v>868</v>
      </c>
      <c r="W13" s="134"/>
    </row>
    <row r="14" spans="1:23" x14ac:dyDescent="0.25">
      <c r="H14" s="70"/>
      <c r="U14" t="s">
        <v>870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50" t="s">
        <v>78</v>
      </c>
      <c r="P16" s="850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80.079890000000006</v>
      </c>
      <c r="Q17" s="2"/>
      <c r="U17" t="s">
        <v>974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0</v>
      </c>
      <c r="I18" s="18"/>
      <c r="J18" s="18"/>
      <c r="K18" s="18">
        <f>SUM(K2:K6)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79.351890999999995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78.623891999999998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77.895893000000001</v>
      </c>
      <c r="Q20" s="2"/>
      <c r="W20" s="134"/>
    </row>
    <row r="21" spans="1:23" x14ac:dyDescent="0.25">
      <c r="O21" s="81">
        <v>1.06</v>
      </c>
      <c r="P21" s="81">
        <f t="shared" si="0"/>
        <v>77.167894000000004</v>
      </c>
      <c r="Q21" s="2"/>
      <c r="W21" s="134"/>
    </row>
    <row r="22" spans="1:23" x14ac:dyDescent="0.25">
      <c r="O22" s="81">
        <v>1.05</v>
      </c>
      <c r="P22" s="81">
        <f t="shared" si="0"/>
        <v>76.439894999999993</v>
      </c>
      <c r="Q22" s="2"/>
      <c r="W22" s="134"/>
    </row>
    <row r="23" spans="1:23" x14ac:dyDescent="0.25">
      <c r="O23" s="81">
        <v>1.04</v>
      </c>
      <c r="P23" s="81">
        <f t="shared" si="0"/>
        <v>75.711895999999996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1.03</v>
      </c>
      <c r="P24" s="81">
        <f t="shared" si="0"/>
        <v>74.983896999999999</v>
      </c>
      <c r="Q24" s="2"/>
      <c r="W24" s="134"/>
    </row>
    <row r="25" spans="1:23" x14ac:dyDescent="0.25">
      <c r="B25" s="184">
        <v>43028</v>
      </c>
      <c r="C25" s="228">
        <v>50</v>
      </c>
      <c r="D25" s="229">
        <v>80.67</v>
      </c>
      <c r="E25" s="39">
        <v>84.59</v>
      </c>
      <c r="F25" s="39">
        <f t="shared" ref="F25" si="1">C25*(E25-D25)</f>
        <v>196.00000000000009</v>
      </c>
      <c r="G25" s="39">
        <f t="shared" ref="G25" si="2">D25*C25</f>
        <v>4033.5</v>
      </c>
      <c r="H25" s="222">
        <f t="shared" ref="H25" si="3">(E25-D25)/D25</f>
        <v>4.8593033345729536E-2</v>
      </c>
      <c r="I25" s="39"/>
      <c r="J25" s="39"/>
      <c r="K25" s="39"/>
      <c r="L25" s="39"/>
      <c r="O25" s="81">
        <v>1.02</v>
      </c>
      <c r="P25" s="81">
        <f t="shared" si="0"/>
        <v>74.255898000000002</v>
      </c>
      <c r="Q25" s="2"/>
      <c r="W25" s="134"/>
    </row>
    <row r="26" spans="1:23" x14ac:dyDescent="0.25">
      <c r="B26" s="184">
        <v>43035</v>
      </c>
      <c r="C26" s="10">
        <v>100</v>
      </c>
      <c r="D26" s="39">
        <v>79.424999999999997</v>
      </c>
      <c r="E26" s="39">
        <v>81.47</v>
      </c>
      <c r="F26" s="39">
        <f t="shared" ref="F26" si="4">C26*(E26-D26)</f>
        <v>204.50000000000017</v>
      </c>
      <c r="G26" s="39">
        <f t="shared" ref="G26" si="5">D26*C26</f>
        <v>7942.5</v>
      </c>
      <c r="H26" s="222">
        <f t="shared" ref="H26" si="6">(E26-D26)/D26</f>
        <v>2.574756059175325E-2</v>
      </c>
      <c r="I26" s="39"/>
      <c r="J26" s="39"/>
      <c r="K26" s="39"/>
      <c r="L26" s="39"/>
      <c r="O26" s="81">
        <v>1.01</v>
      </c>
      <c r="P26" s="81">
        <f t="shared" si="0"/>
        <v>73.527898999999991</v>
      </c>
      <c r="Q26" s="2"/>
      <c r="W26" s="134"/>
    </row>
    <row r="27" spans="1:23" x14ac:dyDescent="0.25">
      <c r="B27" s="184">
        <v>43059</v>
      </c>
      <c r="C27" s="10">
        <v>200</v>
      </c>
      <c r="D27" s="39">
        <v>73.987499999999997</v>
      </c>
      <c r="E27" s="39">
        <v>66.78</v>
      </c>
      <c r="F27" s="39">
        <f t="shared" ref="F27" si="7">C27*(E27-D27)</f>
        <v>-1441.4999999999991</v>
      </c>
      <c r="G27" s="39">
        <f t="shared" ref="G27" si="8">D27*C27</f>
        <v>14797.5</v>
      </c>
      <c r="H27" s="222">
        <f t="shared" ref="H27" si="9">(E27-D27)/D27</f>
        <v>-9.741510390268622E-2</v>
      </c>
      <c r="I27" s="39"/>
      <c r="J27" s="39"/>
      <c r="K27" s="39"/>
      <c r="L27" s="155"/>
      <c r="O27" s="81">
        <v>1</v>
      </c>
      <c r="P27" s="81">
        <f t="shared" si="0"/>
        <v>72.799899999999994</v>
      </c>
      <c r="Q27" s="2"/>
      <c r="W27" s="134"/>
    </row>
    <row r="28" spans="1:23" x14ac:dyDescent="0.25">
      <c r="A28">
        <v>50</v>
      </c>
      <c r="B28" s="184">
        <v>43069</v>
      </c>
      <c r="C28" s="10">
        <v>150</v>
      </c>
      <c r="D28" s="39">
        <v>74.853899999999996</v>
      </c>
      <c r="E28" s="39">
        <v>71.45</v>
      </c>
      <c r="F28" s="39">
        <f t="shared" ref="F28" si="10">C28*(E28-D28)</f>
        <v>-510.58499999999896</v>
      </c>
      <c r="G28" s="39">
        <f t="shared" ref="G28" si="11">D28*C28</f>
        <v>11228.084999999999</v>
      </c>
      <c r="H28" s="222">
        <f t="shared" ref="H28" si="12">(E28-D28)/D28</f>
        <v>-4.5473916522719503E-2</v>
      </c>
      <c r="I28" s="39">
        <v>74.3</v>
      </c>
      <c r="J28" s="39"/>
      <c r="K28" s="39"/>
      <c r="L28" s="155"/>
      <c r="O28" s="81">
        <v>0.99</v>
      </c>
      <c r="P28" s="81">
        <f t="shared" si="0"/>
        <v>72.071900999999997</v>
      </c>
      <c r="Q28" s="2"/>
      <c r="W28" s="134"/>
    </row>
    <row r="29" spans="1:23" x14ac:dyDescent="0.25">
      <c r="A29">
        <v>50</v>
      </c>
      <c r="B29" s="184">
        <v>43075</v>
      </c>
      <c r="C29" s="10">
        <v>150</v>
      </c>
      <c r="D29" s="39">
        <v>74.853899999999996</v>
      </c>
      <c r="E29" s="39">
        <v>67.58</v>
      </c>
      <c r="F29" s="39">
        <f t="shared" ref="F29" si="13">C29*(E29-D29)</f>
        <v>-1091.0849999999996</v>
      </c>
      <c r="G29" s="39">
        <f t="shared" ref="G29" si="14">D29*C29</f>
        <v>11228.084999999999</v>
      </c>
      <c r="H29" s="222">
        <f t="shared" ref="H29" si="15">(E29-D29)/D29</f>
        <v>-9.7174629511621952E-2</v>
      </c>
      <c r="I29" s="39"/>
      <c r="J29" s="39"/>
      <c r="K29" s="39"/>
      <c r="L29" s="155"/>
      <c r="O29" s="81">
        <v>0.98</v>
      </c>
      <c r="P29" s="81">
        <f t="shared" si="0"/>
        <v>71.343901999999986</v>
      </c>
      <c r="Q29" s="2"/>
      <c r="W29" s="134"/>
    </row>
    <row r="30" spans="1:23" x14ac:dyDescent="0.25">
      <c r="A30">
        <v>150</v>
      </c>
      <c r="B30" s="184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6">C30*(E30-D30)</f>
        <v>-659.08500000000026</v>
      </c>
      <c r="G30" s="39">
        <f t="shared" ref="G30:G32" si="17">D30*C30</f>
        <v>11228.084999999999</v>
      </c>
      <c r="H30" s="222">
        <f t="shared" ref="H30:H32" si="18">(E30-D30)/D30</f>
        <v>-5.8699680310578373E-2</v>
      </c>
      <c r="I30" s="39">
        <v>74.3</v>
      </c>
      <c r="J30" s="39">
        <v>49.12</v>
      </c>
      <c r="K30" s="39"/>
      <c r="L30" s="155"/>
      <c r="O30" s="81">
        <v>0.97</v>
      </c>
      <c r="P30" s="81">
        <f t="shared" si="0"/>
        <v>70.615902999999989</v>
      </c>
      <c r="W30" s="134"/>
    </row>
    <row r="31" spans="1:23" x14ac:dyDescent="0.25">
      <c r="A31">
        <v>100</v>
      </c>
      <c r="B31" s="184">
        <v>43105</v>
      </c>
      <c r="C31" s="7">
        <v>100</v>
      </c>
      <c r="D31" s="43">
        <v>75.641599999999997</v>
      </c>
      <c r="E31" s="39">
        <v>73.28</v>
      </c>
      <c r="F31" s="39">
        <f t="shared" si="16"/>
        <v>-236.15999999999957</v>
      </c>
      <c r="G31" s="39">
        <f t="shared" si="17"/>
        <v>7564.16</v>
      </c>
      <c r="H31" s="222">
        <f t="shared" si="18"/>
        <v>-3.1220915475082437E-2</v>
      </c>
      <c r="I31" s="39">
        <f>D31*0.99</f>
        <v>74.885183999999995</v>
      </c>
      <c r="J31" s="39"/>
      <c r="K31" s="39"/>
      <c r="L31" s="155"/>
      <c r="O31" s="81">
        <v>0.96</v>
      </c>
      <c r="P31" s="81">
        <f t="shared" si="0"/>
        <v>69.887903999999992</v>
      </c>
      <c r="W31" s="134"/>
    </row>
    <row r="32" spans="1:23" x14ac:dyDescent="0.25">
      <c r="A32">
        <v>100</v>
      </c>
      <c r="B32" s="184">
        <v>43108</v>
      </c>
      <c r="C32" s="10">
        <v>100</v>
      </c>
      <c r="D32" s="39">
        <v>75.641599999999997</v>
      </c>
      <c r="E32" s="39">
        <v>74.34</v>
      </c>
      <c r="F32" s="39">
        <f t="shared" si="16"/>
        <v>-130.15999999999934</v>
      </c>
      <c r="G32" s="39">
        <f t="shared" si="17"/>
        <v>7564.16</v>
      </c>
      <c r="H32" s="222">
        <f t="shared" si="18"/>
        <v>-1.7207462560284201E-2</v>
      </c>
      <c r="I32" s="39"/>
      <c r="J32" s="39"/>
      <c r="K32" s="39"/>
      <c r="L32" s="155"/>
      <c r="O32" s="81">
        <v>0.95</v>
      </c>
      <c r="P32" s="81">
        <f t="shared" si="0"/>
        <v>69.159904999999995</v>
      </c>
      <c r="W32" s="134"/>
    </row>
    <row r="33" spans="1:23" x14ac:dyDescent="0.25">
      <c r="A33">
        <v>100</v>
      </c>
      <c r="B33" s="184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19">C33*(E33-D33)</f>
        <v>-285.15999999999906</v>
      </c>
      <c r="G33" s="39">
        <f t="shared" ref="G33:G42" si="20">D33*C33</f>
        <v>7564.16</v>
      </c>
      <c r="H33" s="222">
        <f t="shared" ref="H33:H42" si="21">(E33-D33)/D33</f>
        <v>-3.7698832388526823E-2</v>
      </c>
      <c r="I33" s="39"/>
      <c r="J33" s="39"/>
      <c r="K33" s="39"/>
      <c r="L33" s="155"/>
      <c r="O33" s="81">
        <v>0.94</v>
      </c>
      <c r="P33" s="81">
        <f t="shared" si="0"/>
        <v>68.431905999999984</v>
      </c>
      <c r="W33" s="134"/>
    </row>
    <row r="34" spans="1:23" x14ac:dyDescent="0.25">
      <c r="A34">
        <v>100</v>
      </c>
      <c r="B34" s="184">
        <v>43112</v>
      </c>
      <c r="C34" s="10">
        <v>100</v>
      </c>
      <c r="D34" s="39">
        <v>75.641599999999997</v>
      </c>
      <c r="E34" s="39">
        <v>74.84</v>
      </c>
      <c r="F34" s="39">
        <f t="shared" si="19"/>
        <v>-80.159999999999343</v>
      </c>
      <c r="G34" s="39">
        <f t="shared" si="20"/>
        <v>7564.16</v>
      </c>
      <c r="H34" s="222">
        <f t="shared" si="21"/>
        <v>-1.0597343260851086E-2</v>
      </c>
      <c r="I34" s="39"/>
      <c r="J34" s="39">
        <v>65</v>
      </c>
      <c r="K34" s="193" t="s">
        <v>869</v>
      </c>
      <c r="L34" s="155"/>
      <c r="O34" s="81">
        <v>0.93</v>
      </c>
      <c r="P34" s="81">
        <f t="shared" si="0"/>
        <v>67.703907000000001</v>
      </c>
      <c r="W34" s="134"/>
    </row>
    <row r="35" spans="1:23" x14ac:dyDescent="0.25">
      <c r="A35">
        <v>50</v>
      </c>
      <c r="B35" s="184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19"/>
        <v>103.75000000000014</v>
      </c>
      <c r="G35" s="39">
        <f t="shared" si="20"/>
        <v>3730.25</v>
      </c>
      <c r="H35" s="222">
        <f t="shared" si="21"/>
        <v>2.7813149252731088E-2</v>
      </c>
      <c r="I35" s="39"/>
      <c r="J35" s="39">
        <v>70</v>
      </c>
      <c r="K35" s="193" t="s">
        <v>895</v>
      </c>
      <c r="L35" s="155"/>
      <c r="O35" s="81">
        <v>0.92</v>
      </c>
      <c r="P35" s="81">
        <f t="shared" si="0"/>
        <v>66.975908000000004</v>
      </c>
      <c r="W35" s="134"/>
    </row>
    <row r="36" spans="1:23" x14ac:dyDescent="0.25">
      <c r="A36">
        <v>50</v>
      </c>
      <c r="B36" s="184">
        <v>43118</v>
      </c>
      <c r="C36" s="7">
        <v>100</v>
      </c>
      <c r="D36" s="43">
        <v>74.942499999999995</v>
      </c>
      <c r="E36" s="39">
        <v>74.62</v>
      </c>
      <c r="F36" s="39">
        <f t="shared" si="19"/>
        <v>-32.249999999999091</v>
      </c>
      <c r="G36" s="39">
        <f t="shared" si="20"/>
        <v>7494.25</v>
      </c>
      <c r="H36" s="222">
        <f t="shared" si="21"/>
        <v>-4.3032991960501839E-3</v>
      </c>
      <c r="I36" s="39"/>
      <c r="J36" s="39"/>
      <c r="K36" s="39"/>
      <c r="L36" s="39"/>
      <c r="O36" s="81">
        <v>0.91</v>
      </c>
      <c r="P36" s="81">
        <f t="shared" si="0"/>
        <v>66.247908999999993</v>
      </c>
      <c r="W36" s="134"/>
    </row>
    <row r="37" spans="1:23" x14ac:dyDescent="0.25">
      <c r="A37">
        <v>50</v>
      </c>
      <c r="B37" s="184">
        <v>43121</v>
      </c>
      <c r="C37" s="10">
        <v>100</v>
      </c>
      <c r="D37" s="39">
        <v>74.94</v>
      </c>
      <c r="E37" s="39">
        <v>75.959999999999994</v>
      </c>
      <c r="F37" s="39">
        <f t="shared" si="19"/>
        <v>101.9999999999996</v>
      </c>
      <c r="G37" s="39">
        <f t="shared" si="20"/>
        <v>7494</v>
      </c>
      <c r="H37" s="222">
        <f t="shared" si="21"/>
        <v>1.3610888710968723E-2</v>
      </c>
      <c r="I37" s="39"/>
      <c r="J37" s="39"/>
      <c r="K37" s="39"/>
      <c r="L37" s="39"/>
      <c r="O37" s="81">
        <v>0.9</v>
      </c>
      <c r="P37" s="81">
        <f t="shared" si="0"/>
        <v>65.519909999999996</v>
      </c>
      <c r="W37" s="134"/>
    </row>
    <row r="38" spans="1:23" x14ac:dyDescent="0.25">
      <c r="A38">
        <v>0</v>
      </c>
      <c r="B38" s="184">
        <v>43126</v>
      </c>
      <c r="C38" s="228">
        <v>50</v>
      </c>
      <c r="D38" s="229">
        <v>71.09</v>
      </c>
      <c r="E38" s="39">
        <v>78.930000000000007</v>
      </c>
      <c r="F38" s="39">
        <f t="shared" si="19"/>
        <v>392.00000000000017</v>
      </c>
      <c r="G38" s="39">
        <f t="shared" si="20"/>
        <v>3554.5</v>
      </c>
      <c r="H38" s="222">
        <f t="shared" si="21"/>
        <v>0.1102827401884935</v>
      </c>
      <c r="I38" s="39"/>
      <c r="J38" s="39"/>
      <c r="K38" s="39"/>
      <c r="L38" s="39"/>
      <c r="W38" s="134"/>
    </row>
    <row r="39" spans="1:23" x14ac:dyDescent="0.25">
      <c r="B39" s="184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19"/>
        <v>129.66000000000122</v>
      </c>
      <c r="G39" s="39">
        <f t="shared" si="20"/>
        <v>7438.3399999999992</v>
      </c>
      <c r="H39" s="222">
        <f t="shared" si="21"/>
        <v>1.7431308598424008E-2</v>
      </c>
      <c r="I39" s="229" t="s">
        <v>918</v>
      </c>
      <c r="J39" s="39"/>
      <c r="K39" s="39"/>
      <c r="L39" s="39"/>
      <c r="T39" s="134"/>
    </row>
    <row r="40" spans="1:23" x14ac:dyDescent="0.25">
      <c r="A40">
        <v>0</v>
      </c>
      <c r="B40" s="184">
        <v>43146</v>
      </c>
      <c r="C40" s="10">
        <v>100</v>
      </c>
      <c r="D40" s="39">
        <v>74.38</v>
      </c>
      <c r="E40" s="39">
        <v>68.38</v>
      </c>
      <c r="F40" s="39">
        <f t="shared" si="19"/>
        <v>-600</v>
      </c>
      <c r="G40" s="39">
        <f t="shared" si="20"/>
        <v>7438</v>
      </c>
      <c r="H40" s="222">
        <f t="shared" si="21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4">
        <v>43151</v>
      </c>
      <c r="C41" s="10">
        <v>200</v>
      </c>
      <c r="D41" s="39">
        <v>71.381699999999995</v>
      </c>
      <c r="E41" s="39">
        <v>67.97</v>
      </c>
      <c r="F41" s="39">
        <f t="shared" si="19"/>
        <v>-682.33999999999924</v>
      </c>
      <c r="G41" s="39">
        <f t="shared" si="20"/>
        <v>14276.339999999998</v>
      </c>
      <c r="H41" s="222">
        <f t="shared" si="21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4">
        <v>43163</v>
      </c>
      <c r="C42" s="10">
        <v>200</v>
      </c>
      <c r="D42" s="39">
        <v>71.38</v>
      </c>
      <c r="E42" s="39">
        <v>65.19</v>
      </c>
      <c r="F42" s="39">
        <f t="shared" si="19"/>
        <v>-1237.9999999999995</v>
      </c>
      <c r="G42" s="39">
        <f t="shared" si="20"/>
        <v>14276</v>
      </c>
      <c r="H42" s="222">
        <f t="shared" si="21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4">
        <v>43168</v>
      </c>
      <c r="C43" s="10">
        <v>200</v>
      </c>
      <c r="D43" s="39">
        <v>71.38</v>
      </c>
      <c r="E43" s="39">
        <v>68.430000000000007</v>
      </c>
      <c r="F43" s="39">
        <f t="shared" ref="F43" si="22">C43*(E43-D43)</f>
        <v>-589.99999999999773</v>
      </c>
      <c r="G43" s="39">
        <f t="shared" ref="G43" si="23">D43*C43</f>
        <v>14276</v>
      </c>
      <c r="H43" s="222">
        <f t="shared" ref="H43" si="24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4">
        <v>43184</v>
      </c>
      <c r="C44" s="10">
        <v>200</v>
      </c>
      <c r="D44" s="39">
        <v>71.38</v>
      </c>
      <c r="E44" s="39">
        <v>64.59</v>
      </c>
      <c r="F44" s="39">
        <f t="shared" ref="F44" si="25">C44*(E44-D44)</f>
        <v>-1357.9999999999984</v>
      </c>
      <c r="G44" s="39">
        <f t="shared" ref="G44" si="26">D44*C44</f>
        <v>14276</v>
      </c>
      <c r="H44" s="222">
        <f t="shared" ref="H44" si="27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4">
        <v>43185</v>
      </c>
      <c r="C45" s="10">
        <v>200</v>
      </c>
      <c r="D45" s="39">
        <v>71.38</v>
      </c>
      <c r="E45" s="39">
        <v>65.540000000000006</v>
      </c>
      <c r="F45" s="39">
        <f t="shared" ref="F45" si="28">C45*(E45-D45)</f>
        <v>-1167.9999999999977</v>
      </c>
      <c r="G45" s="39">
        <f t="shared" ref="G45" si="29">D45*C45</f>
        <v>14276</v>
      </c>
      <c r="H45" s="222">
        <f t="shared" ref="H45" si="30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4">
        <v>43186</v>
      </c>
      <c r="C46" s="10">
        <v>200</v>
      </c>
      <c r="D46" s="39">
        <v>71.38</v>
      </c>
      <c r="E46" s="39">
        <v>65.08</v>
      </c>
      <c r="F46" s="39">
        <f t="shared" ref="F46" si="31">C46*(E46-D46)</f>
        <v>-1259.9999999999995</v>
      </c>
      <c r="G46" s="39">
        <f t="shared" ref="G46" si="32">D46*C46</f>
        <v>14276</v>
      </c>
      <c r="H46" s="222">
        <f t="shared" ref="H46" si="33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4">
        <v>43196</v>
      </c>
      <c r="C47" s="10">
        <v>200</v>
      </c>
      <c r="D47" s="39">
        <v>71.38</v>
      </c>
      <c r="E47" s="39">
        <v>66.78</v>
      </c>
      <c r="F47" s="39">
        <f t="shared" ref="F47" si="34">C47*(E47-D47)</f>
        <v>-919.99999999999886</v>
      </c>
      <c r="G47" s="39">
        <f t="shared" ref="G47" si="35">D47*C47</f>
        <v>14276</v>
      </c>
      <c r="H47" s="222">
        <f t="shared" ref="H47" si="36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4">
        <v>43212</v>
      </c>
      <c r="C48" s="10">
        <v>200</v>
      </c>
      <c r="D48" s="39">
        <v>71.38</v>
      </c>
      <c r="E48" s="39">
        <v>69.069999999999993</v>
      </c>
      <c r="F48" s="39">
        <f t="shared" ref="F48" si="37">C48*(E48-D48)</f>
        <v>-462.00000000000045</v>
      </c>
      <c r="G48" s="39">
        <f t="shared" ref="G48" si="38">D48*C48</f>
        <v>14276</v>
      </c>
      <c r="H48" s="222">
        <f t="shared" ref="H48" si="39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4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2"/>
      <c r="I49" s="39"/>
      <c r="J49" s="39"/>
      <c r="K49" s="39"/>
      <c r="L49" s="39"/>
      <c r="T49" s="134"/>
    </row>
    <row r="50" spans="1:23" x14ac:dyDescent="0.25">
      <c r="B50" s="184">
        <v>43251</v>
      </c>
      <c r="C50" s="10">
        <v>100</v>
      </c>
      <c r="D50" s="39">
        <v>69.36</v>
      </c>
      <c r="E50" s="39">
        <v>69.2</v>
      </c>
      <c r="F50" s="39">
        <f t="shared" ref="F50" si="40">C50*(E50-D50)</f>
        <v>-15.999999999999659</v>
      </c>
      <c r="G50" s="39">
        <f t="shared" ref="G50" si="41">D50*C50</f>
        <v>6936</v>
      </c>
      <c r="H50" s="222">
        <f t="shared" ref="H50" si="42">(E50-D50)/D50</f>
        <v>-2.3068050749711156E-3</v>
      </c>
      <c r="I50" s="39"/>
      <c r="J50" s="39"/>
      <c r="K50" s="39"/>
      <c r="L50" s="39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459.31999999999971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734</v>
      </c>
      <c r="B68" s="434">
        <v>42996</v>
      </c>
      <c r="C68" s="7">
        <v>50</v>
      </c>
      <c r="D68" s="43">
        <v>80.67</v>
      </c>
      <c r="E68" s="43">
        <v>0</v>
      </c>
      <c r="F68" s="43">
        <f t="shared" ref="F68:F74" si="43">C68*D68+E68</f>
        <v>4033.5</v>
      </c>
      <c r="G68" s="434">
        <v>43069</v>
      </c>
      <c r="H68" s="7">
        <v>50</v>
      </c>
      <c r="I68" s="43">
        <v>71.39</v>
      </c>
      <c r="J68" s="43">
        <v>0.08</v>
      </c>
      <c r="K68" s="43">
        <f>H68*I68-J68</f>
        <v>3569.42</v>
      </c>
      <c r="L68" s="72"/>
      <c r="M68" s="3"/>
      <c r="W68" s="134"/>
    </row>
    <row r="69" spans="1:23" x14ac:dyDescent="0.25">
      <c r="A69" s="514" t="s">
        <v>71</v>
      </c>
      <c r="B69" s="434">
        <v>43035</v>
      </c>
      <c r="C69" s="7">
        <v>50</v>
      </c>
      <c r="D69" s="43">
        <v>78.180000000000007</v>
      </c>
      <c r="E69" s="43">
        <v>0</v>
      </c>
      <c r="F69" s="43">
        <f t="shared" si="43"/>
        <v>3909.0000000000005</v>
      </c>
      <c r="G69" s="434">
        <v>43105</v>
      </c>
      <c r="H69" s="80">
        <v>50</v>
      </c>
      <c r="I69" s="43">
        <v>73.28</v>
      </c>
      <c r="J69" s="43">
        <v>0.08</v>
      </c>
      <c r="K69" s="43">
        <f>H69*I69-J69</f>
        <v>3663.92</v>
      </c>
      <c r="L69" s="72"/>
      <c r="M69" s="3"/>
      <c r="W69" s="134"/>
    </row>
    <row r="70" spans="1:23" x14ac:dyDescent="0.25">
      <c r="A70" s="497"/>
      <c r="B70" s="434">
        <v>43045</v>
      </c>
      <c r="C70" s="7">
        <v>50</v>
      </c>
      <c r="D70" s="43">
        <v>70.319999999999993</v>
      </c>
      <c r="E70" s="43">
        <v>0</v>
      </c>
      <c r="F70" s="43">
        <f t="shared" si="43"/>
        <v>3515.9999999999995</v>
      </c>
      <c r="G70" s="434">
        <v>43117</v>
      </c>
      <c r="H70" s="80">
        <v>50</v>
      </c>
      <c r="I70" s="43">
        <v>76.680000000000007</v>
      </c>
      <c r="J70" s="43">
        <v>0.09</v>
      </c>
      <c r="K70" s="43">
        <f>H70*I70-J70</f>
        <v>3833.9100000000003</v>
      </c>
      <c r="L70" s="4"/>
      <c r="M70" s="4"/>
    </row>
    <row r="71" spans="1:23" x14ac:dyDescent="0.25">
      <c r="A71" s="497"/>
      <c r="B71" s="434">
        <v>43059</v>
      </c>
      <c r="C71" s="7">
        <v>50</v>
      </c>
      <c r="D71" s="43">
        <v>66.78</v>
      </c>
      <c r="E71" s="43">
        <v>0</v>
      </c>
      <c r="F71" s="43">
        <f t="shared" si="43"/>
        <v>3339</v>
      </c>
      <c r="G71" s="434">
        <v>43126</v>
      </c>
      <c r="H71" s="80">
        <v>50</v>
      </c>
      <c r="I71" s="43">
        <v>78.8</v>
      </c>
      <c r="J71" s="43">
        <v>0.09</v>
      </c>
      <c r="K71" s="43">
        <f>H71*I71-J71</f>
        <v>3939.91</v>
      </c>
      <c r="L71" s="4"/>
      <c r="M71" s="4"/>
    </row>
    <row r="72" spans="1:23" x14ac:dyDescent="0.25">
      <c r="A72" s="497"/>
      <c r="B72" s="434">
        <v>43118</v>
      </c>
      <c r="C72" s="7">
        <v>50</v>
      </c>
      <c r="D72" s="43">
        <v>75.28</v>
      </c>
      <c r="E72" s="43">
        <v>0</v>
      </c>
      <c r="F72" s="43">
        <f t="shared" si="43"/>
        <v>3764</v>
      </c>
      <c r="G72" s="434">
        <v>43213</v>
      </c>
      <c r="H72" s="80">
        <v>200</v>
      </c>
      <c r="I72" s="43">
        <v>73.680000000000007</v>
      </c>
      <c r="J72" s="43">
        <v>0.34</v>
      </c>
      <c r="K72" s="43">
        <f>H72*I72-J72</f>
        <v>14735.660000000002</v>
      </c>
      <c r="L72" s="4"/>
      <c r="M72" s="4"/>
    </row>
    <row r="73" spans="1:23" x14ac:dyDescent="0.25">
      <c r="A73" s="497"/>
      <c r="B73" s="434">
        <v>43131</v>
      </c>
      <c r="C73" s="7">
        <v>50</v>
      </c>
      <c r="D73" s="43">
        <v>77.680000000000007</v>
      </c>
      <c r="E73" s="43">
        <v>0</v>
      </c>
      <c r="F73" s="43">
        <f t="shared" si="43"/>
        <v>3884.0000000000005</v>
      </c>
      <c r="G73" s="4"/>
      <c r="H73" s="176"/>
      <c r="I73" s="3"/>
      <c r="J73" s="3"/>
      <c r="K73" s="3"/>
      <c r="L73" s="4"/>
      <c r="M73" s="4"/>
    </row>
    <row r="74" spans="1:23" x14ac:dyDescent="0.25">
      <c r="A74" s="497"/>
      <c r="B74" s="434">
        <v>43151</v>
      </c>
      <c r="C74" s="7">
        <v>100</v>
      </c>
      <c r="D74" s="43">
        <v>68.38</v>
      </c>
      <c r="E74" s="43">
        <v>0</v>
      </c>
      <c r="F74" s="43">
        <f t="shared" si="43"/>
        <v>6838</v>
      </c>
      <c r="G74" s="4"/>
      <c r="H74" s="176"/>
      <c r="I74" s="3"/>
      <c r="J74" s="3"/>
      <c r="K74" s="3"/>
      <c r="L74" s="4"/>
      <c r="M74" s="4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400</v>
      </c>
      <c r="D84" s="517"/>
      <c r="E84" s="517"/>
      <c r="F84" s="517">
        <f>SUM(F68:F83)</f>
        <v>29283.5</v>
      </c>
      <c r="G84" s="516"/>
      <c r="H84" s="538">
        <f>SUM(H68:H83)</f>
        <v>400</v>
      </c>
      <c r="I84" s="517"/>
      <c r="J84" s="517"/>
      <c r="K84" s="517">
        <f>SUM(K68:K83)</f>
        <v>29742.82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400</v>
      </c>
      <c r="D85" s="520"/>
      <c r="E85" s="520"/>
      <c r="F85" s="521">
        <f>SumByColor($A$19,F68:F83)</f>
        <v>29284</v>
      </c>
      <c r="G85" s="520"/>
      <c r="H85" s="520">
        <f>SumByColor($A$19,H68:H83)</f>
        <v>400</v>
      </c>
      <c r="I85" s="520"/>
      <c r="J85" s="520"/>
      <c r="K85" s="521">
        <f>SumByColor($A$19,K69:K83)</f>
        <v>26174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6:P16"/>
  </mergeCells>
  <conditionalFormatting sqref="O17:O3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99" priority="29">
      <formula>F25&gt;0</formula>
    </cfRule>
    <cfRule type="expression" dxfId="898" priority="30">
      <formula>F25&lt;0</formula>
    </cfRule>
  </conditionalFormatting>
  <conditionalFormatting sqref="Q7">
    <cfRule type="expression" dxfId="897" priority="27">
      <formula>Q7&gt;0</formula>
    </cfRule>
    <cfRule type="expression" dxfId="896" priority="28">
      <formula>Q7&lt;0</formula>
    </cfRule>
  </conditionalFormatting>
  <conditionalFormatting sqref="Q8">
    <cfRule type="expression" dxfId="895" priority="25">
      <formula>Q8&gt;0</formula>
    </cfRule>
    <cfRule type="expression" dxfId="894" priority="26">
      <formula>Q8&lt;0</formula>
    </cfRule>
  </conditionalFormatting>
  <conditionalFormatting sqref="F25:F43 F49 F51:F58">
    <cfRule type="expression" dxfId="893" priority="23">
      <formula>F25&gt;0</formula>
    </cfRule>
    <cfRule type="expression" dxfId="892" priority="24">
      <formula>F25&lt;0</formula>
    </cfRule>
  </conditionalFormatting>
  <conditionalFormatting sqref="H25:H43 H49 H51:H58">
    <cfRule type="expression" dxfId="891" priority="21">
      <formula>H25&gt;0</formula>
    </cfRule>
    <cfRule type="expression" dxfId="890" priority="22">
      <formula>H25&lt;0</formula>
    </cfRule>
  </conditionalFormatting>
  <conditionalFormatting sqref="F89:F110">
    <cfRule type="expression" dxfId="889" priority="19">
      <formula>F89&gt;0</formula>
    </cfRule>
    <cfRule type="expression" dxfId="888" priority="20">
      <formula>F89&lt;0</formula>
    </cfRule>
  </conditionalFormatting>
  <conditionalFormatting sqref="H89:H110">
    <cfRule type="expression" dxfId="887" priority="17">
      <formula>H89&gt;0</formula>
    </cfRule>
    <cfRule type="expression" dxfId="886" priority="18">
      <formula>H89&lt;0</formula>
    </cfRule>
  </conditionalFormatting>
  <conditionalFormatting sqref="Q10">
    <cfRule type="expression" dxfId="885" priority="15">
      <formula>Q10&gt;0</formula>
    </cfRule>
    <cfRule type="expression" dxfId="884" priority="16">
      <formula>Q10&lt;0</formula>
    </cfRule>
  </conditionalFormatting>
  <conditionalFormatting sqref="J36:J38">
    <cfRule type="expression" dxfId="883" priority="13">
      <formula>J36&gt;0</formula>
    </cfRule>
    <cfRule type="expression" dxfId="882" priority="14">
      <formula>J36&lt;0</formula>
    </cfRule>
  </conditionalFormatting>
  <conditionalFormatting sqref="K36:K38">
    <cfRule type="expression" dxfId="881" priority="11">
      <formula>K36&gt;0</formula>
    </cfRule>
    <cfRule type="expression" dxfId="880" priority="12">
      <formula>K36&lt;0</formula>
    </cfRule>
  </conditionalFormatting>
  <conditionalFormatting sqref="L25:L38">
    <cfRule type="expression" dxfId="879" priority="9">
      <formula>L25&gt;0</formula>
    </cfRule>
    <cfRule type="expression" dxfId="878" priority="10">
      <formula>L25&lt;0</formula>
    </cfRule>
  </conditionalFormatting>
  <conditionalFormatting sqref="F44:F48">
    <cfRule type="expression" dxfId="877" priority="7">
      <formula>F44&gt;0</formula>
    </cfRule>
    <cfRule type="expression" dxfId="876" priority="8">
      <formula>F44&lt;0</formula>
    </cfRule>
  </conditionalFormatting>
  <conditionalFormatting sqref="H44:H48">
    <cfRule type="expression" dxfId="875" priority="5">
      <formula>H44&gt;0</formula>
    </cfRule>
    <cfRule type="expression" dxfId="874" priority="6">
      <formula>H44&lt;0</formula>
    </cfRule>
  </conditionalFormatting>
  <conditionalFormatting sqref="F50">
    <cfRule type="expression" dxfId="873" priority="3">
      <formula>F50&gt;0</formula>
    </cfRule>
    <cfRule type="expression" dxfId="872" priority="4">
      <formula>F50&lt;0</formula>
    </cfRule>
  </conditionalFormatting>
  <conditionalFormatting sqref="H50">
    <cfRule type="expression" dxfId="871" priority="1">
      <formula>H50&gt;0</formula>
    </cfRule>
    <cfRule type="expression" dxfId="870" priority="2">
      <formula>H50&lt;0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1107</v>
      </c>
      <c r="Z1" s="11" t="s">
        <v>1105</v>
      </c>
      <c r="AA1" s="11" t="s">
        <v>1106</v>
      </c>
      <c r="AB1" s="11" t="s">
        <v>1108</v>
      </c>
      <c r="AC1" s="11" t="s">
        <v>1105</v>
      </c>
      <c r="AD1" s="11" t="s">
        <v>1106</v>
      </c>
      <c r="AE1" s="11" t="s">
        <v>1109</v>
      </c>
      <c r="AF1" s="11" t="s">
        <v>1105</v>
      </c>
      <c r="AG1" s="11" t="s">
        <v>1106</v>
      </c>
      <c r="AH1" s="11" t="s">
        <v>1110</v>
      </c>
      <c r="AI1" s="11" t="s">
        <v>1105</v>
      </c>
      <c r="AJ1" s="11" t="s">
        <v>1106</v>
      </c>
      <c r="AK1" s="11" t="s">
        <v>1111</v>
      </c>
      <c r="AM1" s="11" t="s">
        <v>1112</v>
      </c>
      <c r="AO1" s="11" t="s">
        <v>1113</v>
      </c>
    </row>
    <row r="2" spans="1:41" x14ac:dyDescent="0.25">
      <c r="A2" s="6" t="s">
        <v>825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1">
        <f>C18-H18</f>
        <v>600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164</v>
      </c>
      <c r="AJ2">
        <f>$Q$2*$Q$4</f>
        <v>13332</v>
      </c>
      <c r="AK2">
        <f ca="1">AJ2*EXP(-$X$2 * AI2/365.25)</f>
        <v>21651.94506737807</v>
      </c>
      <c r="AM2" s="2">
        <f>Q10</f>
        <v>0</v>
      </c>
      <c r="AO2">
        <f ca="1" xml:space="preserve"> (SUM(AB:AB) - SUM(AE:AE) - SUM(AH:AH) - SUM(AK:AK))/SUM(AB:AB)</f>
        <v>-4.2672799948522563E-2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1">
        <f>IF(Q2=0, Q4, (F18-K18-M18)/Q2)</f>
        <v>29.137650000000008</v>
      </c>
      <c r="U3" t="s">
        <v>1020</v>
      </c>
      <c r="W3" s="134"/>
      <c r="Z3">
        <f t="shared" ref="Z3:Z17" si="1">B3-$B$2</f>
        <v>0</v>
      </c>
      <c r="AA3" s="2">
        <f t="shared" ref="AA3:AA17" si="2">F3</f>
        <v>1805.9999999999998</v>
      </c>
      <c r="AB3">
        <f t="shared" ref="AB3:AB17" si="3">AA3*EXP(-Z3/365.25 * $X$2)</f>
        <v>1805.9999999999998</v>
      </c>
      <c r="AC3">
        <f t="shared" ref="AC3:AC17" si="4">G3-$B$2</f>
        <v>84</v>
      </c>
      <c r="AD3" s="2">
        <f t="shared" ref="AD3:AD17" si="5">K3</f>
        <v>2202.3399999999997</v>
      </c>
      <c r="AE3">
        <f t="shared" ref="AE3:AE17" si="6">AD3*EXP(-AC3/365.25 * $X$2)</f>
        <v>2823.2769657080917</v>
      </c>
      <c r="AF3">
        <f t="shared" ref="AF3:AF17" si="7">L3-$B$2</f>
        <v>121</v>
      </c>
      <c r="AG3" s="2">
        <f t="shared" ref="AG3:AG17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164</v>
      </c>
      <c r="AJ3">
        <f t="shared" ref="AJ3:AJ17" si="11">$Q$2*$Q$4</f>
        <v>13332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22.22</v>
      </c>
      <c r="R4" s="495">
        <v>2.0199999999999999E-2</v>
      </c>
      <c r="U4" t="s">
        <v>1021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-43098</v>
      </c>
      <c r="AG4" s="2">
        <f t="shared" si="8"/>
        <v>0</v>
      </c>
      <c r="AH4">
        <f t="shared" si="9"/>
        <v>0</v>
      </c>
      <c r="AI4" s="2">
        <f t="shared" ca="1" si="10"/>
        <v>164</v>
      </c>
      <c r="AJ4">
        <f t="shared" si="11"/>
        <v>13332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13332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164</v>
      </c>
      <c r="AJ5">
        <f t="shared" si="11"/>
        <v>13332</v>
      </c>
    </row>
    <row r="6" spans="1:41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2">C6*D6+E6</f>
        <v>105.66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17482.590000000004</v>
      </c>
      <c r="T6" s="1">
        <v>43032</v>
      </c>
      <c r="U6" t="s">
        <v>884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-43098</v>
      </c>
      <c r="AD6" s="2">
        <f t="shared" si="5"/>
        <v>0</v>
      </c>
      <c r="AE6">
        <f t="shared" si="6"/>
        <v>0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164</v>
      </c>
      <c r="AJ6">
        <f t="shared" si="11"/>
        <v>13332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4" si="13">C7*D7+E7</f>
        <v>2828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-4150.5900000000038</v>
      </c>
      <c r="R7">
        <v>600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-43098</v>
      </c>
      <c r="AD7" s="2">
        <f t="shared" si="5"/>
        <v>0</v>
      </c>
      <c r="AE7">
        <f t="shared" si="6"/>
        <v>0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164</v>
      </c>
      <c r="AJ7">
        <f t="shared" si="11"/>
        <v>13332</v>
      </c>
    </row>
    <row r="8" spans="1:41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13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-4150.5900000000038</v>
      </c>
      <c r="T8" s="1">
        <v>43121</v>
      </c>
      <c r="U8" t="s">
        <v>903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-43098</v>
      </c>
      <c r="AD8" s="2">
        <f t="shared" si="5"/>
        <v>0</v>
      </c>
      <c r="AE8">
        <f t="shared" si="6"/>
        <v>0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164</v>
      </c>
      <c r="AJ8">
        <f t="shared" si="11"/>
        <v>13332</v>
      </c>
    </row>
    <row r="9" spans="1:41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13"/>
        <v>2258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-0.23741276321185836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-43098</v>
      </c>
      <c r="AD9" s="2">
        <f t="shared" si="5"/>
        <v>0</v>
      </c>
      <c r="AE9">
        <f t="shared" si="6"/>
        <v>0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164</v>
      </c>
      <c r="AJ9">
        <f t="shared" si="11"/>
        <v>13332</v>
      </c>
    </row>
    <row r="10" spans="1:41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13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976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-43098</v>
      </c>
      <c r="AD10" s="2">
        <f t="shared" si="5"/>
        <v>0</v>
      </c>
      <c r="AE10">
        <f t="shared" si="6"/>
        <v>0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164</v>
      </c>
      <c r="AJ10">
        <f t="shared" si="11"/>
        <v>13332</v>
      </c>
    </row>
    <row r="11" spans="1:41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13"/>
        <v>2143.7000000000003</v>
      </c>
      <c r="H11" s="70"/>
      <c r="O11" s="11" t="s">
        <v>176</v>
      </c>
      <c r="P11" s="33"/>
      <c r="Q11" s="134">
        <f>R11*4/Q4</f>
        <v>4.6804680468046811E-2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164</v>
      </c>
      <c r="AJ11">
        <f t="shared" si="11"/>
        <v>13332</v>
      </c>
    </row>
    <row r="12" spans="1:41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13"/>
        <v>2210</v>
      </c>
      <c r="H12" s="70"/>
      <c r="O12" s="11" t="s">
        <v>948</v>
      </c>
      <c r="Q12" s="1" t="s">
        <v>1122</v>
      </c>
      <c r="T12" s="1">
        <v>43223</v>
      </c>
      <c r="U12" t="s">
        <v>1061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164</v>
      </c>
      <c r="AJ12">
        <f t="shared" si="11"/>
        <v>13332</v>
      </c>
    </row>
    <row r="13" spans="1:41" x14ac:dyDescent="0.25">
      <c r="B13" s="72">
        <v>43220</v>
      </c>
      <c r="C13" s="4">
        <v>100</v>
      </c>
      <c r="D13" s="2">
        <v>23.27</v>
      </c>
      <c r="E13" s="2">
        <v>0</v>
      </c>
      <c r="F13" s="2">
        <f t="shared" si="13"/>
        <v>2327</v>
      </c>
      <c r="H13" s="70"/>
      <c r="O13" s="11" t="s">
        <v>975</v>
      </c>
      <c r="Q13">
        <f>Q4/(1.65+1.75)*2</f>
        <v>13.070588235294117</v>
      </c>
      <c r="U13" t="s">
        <v>1062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164</v>
      </c>
      <c r="AJ13">
        <f t="shared" si="11"/>
        <v>13332</v>
      </c>
    </row>
    <row r="14" spans="1:41" x14ac:dyDescent="0.25">
      <c r="B14" s="72">
        <v>43228</v>
      </c>
      <c r="C14" s="4">
        <v>100</v>
      </c>
      <c r="D14" s="3">
        <v>22.08</v>
      </c>
      <c r="E14" s="3">
        <v>0</v>
      </c>
      <c r="F14" s="3">
        <f t="shared" si="13"/>
        <v>2208</v>
      </c>
      <c r="G14" s="4"/>
      <c r="H14" s="70"/>
      <c r="O14" s="11" t="s">
        <v>1114</v>
      </c>
      <c r="Q14" s="828">
        <v>-1.08</v>
      </c>
      <c r="U14" t="s">
        <v>1063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164</v>
      </c>
      <c r="AJ14">
        <f t="shared" si="11"/>
        <v>13332</v>
      </c>
    </row>
    <row r="15" spans="1:41" x14ac:dyDescent="0.25">
      <c r="H15" s="70"/>
      <c r="O15" s="11" t="s">
        <v>1064</v>
      </c>
      <c r="Q15" s="29">
        <v>43226</v>
      </c>
      <c r="W15" s="134"/>
      <c r="Z15">
        <f t="shared" si="1"/>
        <v>-43098</v>
      </c>
      <c r="AA15" s="2">
        <f t="shared" si="2"/>
        <v>0</v>
      </c>
      <c r="AB15">
        <f t="shared" si="3"/>
        <v>0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164</v>
      </c>
      <c r="AJ15">
        <f t="shared" si="11"/>
        <v>13332</v>
      </c>
    </row>
    <row r="16" spans="1:41" x14ac:dyDescent="0.25">
      <c r="H16" s="70"/>
      <c r="T16" s="1">
        <v>43228</v>
      </c>
      <c r="U16" t="s">
        <v>1076</v>
      </c>
      <c r="W16" s="134"/>
      <c r="Z16">
        <f t="shared" si="1"/>
        <v>-43098</v>
      </c>
      <c r="AA16" s="2">
        <f t="shared" si="2"/>
        <v>0</v>
      </c>
      <c r="AB16">
        <f t="shared" si="3"/>
        <v>0</v>
      </c>
      <c r="AC16">
        <f t="shared" si="4"/>
        <v>-43098</v>
      </c>
      <c r="AD16" s="2">
        <f t="shared" si="5"/>
        <v>0</v>
      </c>
      <c r="AE16">
        <f t="shared" si="6"/>
        <v>0</v>
      </c>
      <c r="AF16">
        <f t="shared" si="7"/>
        <v>-43098</v>
      </c>
      <c r="AG16" s="2">
        <f t="shared" si="8"/>
        <v>0</v>
      </c>
      <c r="AH16">
        <f t="shared" si="9"/>
        <v>0</v>
      </c>
      <c r="AI16" s="2">
        <f t="shared" ca="1" si="10"/>
        <v>164</v>
      </c>
      <c r="AJ16">
        <f t="shared" si="11"/>
        <v>13332</v>
      </c>
    </row>
    <row r="17" spans="1:39" x14ac:dyDescent="0.25">
      <c r="W17" s="134"/>
      <c r="Z17">
        <f t="shared" si="1"/>
        <v>-43098</v>
      </c>
      <c r="AA17" s="2">
        <f t="shared" si="2"/>
        <v>0</v>
      </c>
      <c r="AB17">
        <f t="shared" si="3"/>
        <v>0</v>
      </c>
      <c r="AC17">
        <f t="shared" si="4"/>
        <v>-43098</v>
      </c>
      <c r="AD17" s="2">
        <f t="shared" si="5"/>
        <v>0</v>
      </c>
      <c r="AE17">
        <f t="shared" si="6"/>
        <v>0</v>
      </c>
      <c r="AF17">
        <f t="shared" si="7"/>
        <v>-43098</v>
      </c>
      <c r="AG17" s="2">
        <f t="shared" si="8"/>
        <v>0</v>
      </c>
      <c r="AH17">
        <f t="shared" si="9"/>
        <v>0</v>
      </c>
      <c r="AI17" s="2">
        <f t="shared" ca="1" si="10"/>
        <v>164</v>
      </c>
      <c r="AJ17">
        <f t="shared" si="11"/>
        <v>13332</v>
      </c>
      <c r="AM17" s="2"/>
    </row>
    <row r="18" spans="1:39" ht="20.25" thickBot="1" x14ac:dyDescent="0.35">
      <c r="A18" s="31" t="s">
        <v>81</v>
      </c>
      <c r="B18" s="14"/>
      <c r="C18" s="14">
        <f>SUM(C2:C14)</f>
        <v>1097</v>
      </c>
      <c r="D18" s="18"/>
      <c r="E18" s="18"/>
      <c r="F18" s="18">
        <f>SUM(F2:F14)</f>
        <v>29517.7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50" t="s">
        <v>78</v>
      </c>
      <c r="P18" s="850"/>
      <c r="T18" s="1">
        <v>43236</v>
      </c>
      <c r="U18" t="s">
        <v>1090</v>
      </c>
      <c r="W18" s="134"/>
    </row>
    <row r="19" spans="1:39" ht="16.5" thickTop="1" thickBot="1" x14ac:dyDescent="0.3">
      <c r="A19" s="341" t="s">
        <v>193</v>
      </c>
      <c r="B19" s="342"/>
      <c r="C19" s="343">
        <f>SumByColor($A$19,C2:C17)</f>
        <v>397</v>
      </c>
      <c r="D19" s="343"/>
      <c r="E19" s="343"/>
      <c r="F19" s="344">
        <f>SumByColor($A$19,F2:F17)</f>
        <v>9012</v>
      </c>
      <c r="G19" s="343"/>
      <c r="H19" s="343">
        <f>SumByColor($A$19,H2:H17)</f>
        <v>497</v>
      </c>
      <c r="I19" s="343"/>
      <c r="J19" s="343"/>
      <c r="K19" s="344">
        <f>SumByColor($A$19,K3:K17)</f>
        <v>6889</v>
      </c>
      <c r="L19" s="343"/>
      <c r="M19" s="344">
        <f>SumByColor($A$19,M2:M17)</f>
        <v>156</v>
      </c>
      <c r="O19" s="81">
        <v>1.1000000000000001</v>
      </c>
      <c r="P19" s="81">
        <f>O19*$Q$4</f>
        <v>24.442</v>
      </c>
      <c r="W19" s="134"/>
    </row>
    <row r="20" spans="1:39" x14ac:dyDescent="0.25">
      <c r="O20" s="81">
        <v>1.0900000000000001</v>
      </c>
      <c r="P20" s="81">
        <f t="shared" ref="P20:P39" si="14">O20*$Q$4</f>
        <v>24.219799999999999</v>
      </c>
      <c r="T20" s="1">
        <v>43244</v>
      </c>
      <c r="U20" t="s">
        <v>1104</v>
      </c>
      <c r="W20" s="134"/>
    </row>
    <row r="21" spans="1:39" x14ac:dyDescent="0.25">
      <c r="O21" s="81">
        <v>1.08</v>
      </c>
      <c r="P21" s="81">
        <f t="shared" si="14"/>
        <v>23.997600000000002</v>
      </c>
      <c r="W21" s="134"/>
    </row>
    <row r="22" spans="1:39" x14ac:dyDescent="0.25">
      <c r="O22" s="81">
        <v>1.07</v>
      </c>
      <c r="P22" s="81">
        <f t="shared" si="14"/>
        <v>23.775400000000001</v>
      </c>
      <c r="W22" s="134"/>
    </row>
    <row r="23" spans="1:39" x14ac:dyDescent="0.25">
      <c r="O23" s="81">
        <v>1.06</v>
      </c>
      <c r="P23" s="81">
        <f t="shared" si="14"/>
        <v>23.5532</v>
      </c>
      <c r="W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1.05</v>
      </c>
      <c r="P24" s="81">
        <f t="shared" si="14"/>
        <v>23.331</v>
      </c>
      <c r="W24" s="134"/>
    </row>
    <row r="25" spans="1:39" x14ac:dyDescent="0.25">
      <c r="B25" s="184">
        <v>43098</v>
      </c>
      <c r="C25" s="10">
        <v>100</v>
      </c>
      <c r="D25" s="39">
        <v>36.25</v>
      </c>
      <c r="E25" s="39">
        <v>36.130000000000003</v>
      </c>
      <c r="F25" s="39">
        <f t="shared" ref="F25" si="15">C25*(E25-D25)</f>
        <v>-11.999999999999744</v>
      </c>
      <c r="G25" s="39">
        <f t="shared" ref="G25" si="16">D25*C25</f>
        <v>3625</v>
      </c>
      <c r="H25" s="222">
        <f t="shared" ref="H25" si="17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14"/>
        <v>23.108799999999999</v>
      </c>
      <c r="W25" s="134"/>
    </row>
    <row r="26" spans="1:39" x14ac:dyDescent="0.25">
      <c r="B26" s="184">
        <v>43105</v>
      </c>
      <c r="C26" s="10">
        <v>100</v>
      </c>
      <c r="D26" s="39">
        <v>36.25</v>
      </c>
      <c r="E26" s="39">
        <v>37.68</v>
      </c>
      <c r="F26" s="39">
        <f t="shared" ref="F26" si="18">C26*(E26-D26)</f>
        <v>142.99999999999997</v>
      </c>
      <c r="G26" s="39">
        <f t="shared" ref="G26" si="19">D26*C26</f>
        <v>3625</v>
      </c>
      <c r="H26" s="222">
        <f t="shared" ref="H26" si="20">(E26-D26)/D26</f>
        <v>3.9448275862068956E-2</v>
      </c>
      <c r="I26" s="39"/>
      <c r="J26" s="39"/>
      <c r="K26" s="39"/>
      <c r="L26" s="39"/>
      <c r="O26" s="81">
        <v>1.03</v>
      </c>
      <c r="P26" s="81">
        <f t="shared" si="14"/>
        <v>22.886599999999998</v>
      </c>
      <c r="W26" s="134"/>
    </row>
    <row r="27" spans="1:39" x14ac:dyDescent="0.25">
      <c r="B27" s="184">
        <v>43117</v>
      </c>
      <c r="C27" s="10">
        <v>100</v>
      </c>
      <c r="D27" s="39">
        <v>36.25</v>
      </c>
      <c r="E27" s="39">
        <v>36.85</v>
      </c>
      <c r="F27" s="39">
        <f t="shared" ref="F27" si="21">C27*(E27-D27)</f>
        <v>60.000000000000142</v>
      </c>
      <c r="G27" s="39">
        <f t="shared" ref="G27" si="22">D27*C27</f>
        <v>3625</v>
      </c>
      <c r="H27" s="222">
        <f t="shared" ref="H27" si="23">(E27-D27)/D27</f>
        <v>1.6551724137931073E-2</v>
      </c>
      <c r="I27" s="39"/>
      <c r="J27" s="39"/>
      <c r="K27" s="39"/>
      <c r="L27" s="155"/>
      <c r="O27" s="81">
        <v>1.02</v>
      </c>
      <c r="P27" s="81">
        <f t="shared" si="14"/>
        <v>22.664400000000001</v>
      </c>
      <c r="W27" s="134"/>
    </row>
    <row r="28" spans="1:39" x14ac:dyDescent="0.25">
      <c r="B28" s="184">
        <v>43129</v>
      </c>
      <c r="C28" s="10">
        <v>100</v>
      </c>
      <c r="D28" s="39">
        <v>35.99</v>
      </c>
      <c r="E28" s="39">
        <v>37.76</v>
      </c>
      <c r="F28" s="39">
        <f t="shared" ref="F28:F35" si="24">C28*(E28-D28)</f>
        <v>176.9999999999996</v>
      </c>
      <c r="G28" s="39">
        <f t="shared" ref="G28:G35" si="25">D28*C28</f>
        <v>3599</v>
      </c>
      <c r="H28" s="222">
        <f t="shared" ref="H28:H35" si="26">(E28-D28)/D28</f>
        <v>4.9180327868852347E-2</v>
      </c>
      <c r="I28" s="39"/>
      <c r="J28" s="39"/>
      <c r="K28" s="39"/>
      <c r="L28" s="155"/>
      <c r="O28" s="81">
        <v>1.01</v>
      </c>
      <c r="P28" s="81">
        <f t="shared" si="14"/>
        <v>22.4422</v>
      </c>
      <c r="W28" s="134"/>
    </row>
    <row r="29" spans="1:39" x14ac:dyDescent="0.25">
      <c r="B29" s="184">
        <v>43130</v>
      </c>
      <c r="C29" s="10">
        <v>200</v>
      </c>
      <c r="D29" s="39">
        <v>36.335000000000001</v>
      </c>
      <c r="E29" s="39">
        <v>36.74</v>
      </c>
      <c r="F29" s="39">
        <f t="shared" si="24"/>
        <v>81.000000000000227</v>
      </c>
      <c r="G29" s="39">
        <f t="shared" si="25"/>
        <v>7267</v>
      </c>
      <c r="H29" s="222">
        <f t="shared" si="26"/>
        <v>1.1146277693683806E-2</v>
      </c>
      <c r="I29" s="39"/>
      <c r="J29" s="39"/>
      <c r="K29" s="39"/>
      <c r="L29" s="155"/>
      <c r="O29" s="81">
        <v>1</v>
      </c>
      <c r="P29" s="81">
        <f t="shared" si="14"/>
        <v>22.22</v>
      </c>
      <c r="W29" s="134"/>
    </row>
    <row r="30" spans="1:39" x14ac:dyDescent="0.25">
      <c r="A30">
        <v>100</v>
      </c>
      <c r="B30" s="184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24"/>
        <v>-90.990000000000038</v>
      </c>
      <c r="G30" s="39">
        <f t="shared" si="25"/>
        <v>10788.99</v>
      </c>
      <c r="H30" s="222">
        <f t="shared" si="26"/>
        <v>-8.4335975842039015E-3</v>
      </c>
      <c r="I30" s="39"/>
      <c r="J30" s="39"/>
      <c r="K30" s="39"/>
      <c r="L30" s="155"/>
      <c r="O30" s="81">
        <v>0.99</v>
      </c>
      <c r="P30" s="81">
        <f t="shared" si="14"/>
        <v>21.997799999999998</v>
      </c>
      <c r="W30" s="134"/>
    </row>
    <row r="31" spans="1:39" x14ac:dyDescent="0.25">
      <c r="B31" s="184">
        <v>43137</v>
      </c>
      <c r="C31" s="7">
        <v>300</v>
      </c>
      <c r="D31" s="43">
        <v>35.963299999999997</v>
      </c>
      <c r="E31" s="39">
        <v>34.33</v>
      </c>
      <c r="F31" s="39">
        <f t="shared" si="24"/>
        <v>-489.98999999999955</v>
      </c>
      <c r="G31" s="39">
        <f t="shared" si="25"/>
        <v>10788.99</v>
      </c>
      <c r="H31" s="222">
        <f t="shared" si="26"/>
        <v>-4.5415743271612963E-2</v>
      </c>
      <c r="I31" s="39"/>
      <c r="J31" s="39"/>
      <c r="K31" s="39"/>
      <c r="L31" s="155"/>
      <c r="O31" s="81">
        <v>0.98</v>
      </c>
      <c r="P31" s="81">
        <f t="shared" si="14"/>
        <v>21.775599999999997</v>
      </c>
      <c r="W31" s="134"/>
    </row>
    <row r="32" spans="1:39" x14ac:dyDescent="0.25">
      <c r="B32" s="184">
        <v>43160</v>
      </c>
      <c r="C32" s="10">
        <v>400</v>
      </c>
      <c r="D32" s="39">
        <v>34.04</v>
      </c>
      <c r="E32" s="39">
        <v>24.1</v>
      </c>
      <c r="F32" s="39">
        <f t="shared" si="24"/>
        <v>-3975.9999999999991</v>
      </c>
      <c r="G32" s="39">
        <f t="shared" si="25"/>
        <v>13616</v>
      </c>
      <c r="H32" s="222">
        <f t="shared" si="26"/>
        <v>-0.29200940070505282</v>
      </c>
      <c r="I32" s="39"/>
      <c r="J32" s="39"/>
      <c r="K32" s="39"/>
      <c r="L32" s="155"/>
      <c r="O32" s="81">
        <v>0.97</v>
      </c>
      <c r="P32" s="81">
        <f t="shared" si="14"/>
        <v>21.5534</v>
      </c>
      <c r="W32" s="134"/>
    </row>
    <row r="33" spans="1:23" x14ac:dyDescent="0.25">
      <c r="A33" s="29"/>
      <c r="B33" s="184">
        <v>43160</v>
      </c>
      <c r="C33" s="10">
        <v>500</v>
      </c>
      <c r="D33" s="39">
        <v>32.03</v>
      </c>
      <c r="E33" s="39">
        <v>24.1</v>
      </c>
      <c r="F33" s="39">
        <f t="shared" si="24"/>
        <v>-3965</v>
      </c>
      <c r="G33" s="39">
        <f t="shared" si="25"/>
        <v>16015</v>
      </c>
      <c r="H33" s="222">
        <f t="shared" si="26"/>
        <v>-0.2475803933812051</v>
      </c>
      <c r="I33" s="39"/>
      <c r="J33" s="39"/>
      <c r="K33" s="39"/>
      <c r="L33" s="155"/>
      <c r="O33" s="81">
        <v>0.96</v>
      </c>
      <c r="P33" s="81">
        <f t="shared" si="14"/>
        <v>21.331199999999999</v>
      </c>
      <c r="W33" s="134"/>
    </row>
    <row r="34" spans="1:23" x14ac:dyDescent="0.25">
      <c r="B34" s="184">
        <v>43160</v>
      </c>
      <c r="C34" s="421">
        <v>600</v>
      </c>
      <c r="D34" s="845">
        <v>30.46</v>
      </c>
      <c r="E34" s="39">
        <v>24.1</v>
      </c>
      <c r="F34" s="39">
        <f t="shared" si="24"/>
        <v>-3815.9999999999995</v>
      </c>
      <c r="G34" s="39">
        <f t="shared" si="25"/>
        <v>18276</v>
      </c>
      <c r="H34" s="222">
        <f t="shared" si="26"/>
        <v>-0.20879842416283648</v>
      </c>
      <c r="I34" s="39"/>
      <c r="J34" s="39"/>
      <c r="K34" s="790" t="s">
        <v>945</v>
      </c>
      <c r="L34" s="155"/>
      <c r="O34" s="81">
        <v>0.95</v>
      </c>
      <c r="P34" s="81">
        <f t="shared" si="14"/>
        <v>21.108999999999998</v>
      </c>
      <c r="W34" s="134"/>
    </row>
    <row r="35" spans="1:23" x14ac:dyDescent="0.25">
      <c r="B35" s="184">
        <v>43161</v>
      </c>
      <c r="C35" s="425">
        <v>400</v>
      </c>
      <c r="D35" s="426">
        <v>33.212800000000001</v>
      </c>
      <c r="E35" s="39">
        <v>24.95</v>
      </c>
      <c r="F35" s="39">
        <f t="shared" si="24"/>
        <v>-3305.1200000000008</v>
      </c>
      <c r="G35" s="39">
        <f t="shared" si="25"/>
        <v>13285.12</v>
      </c>
      <c r="H35" s="222">
        <f t="shared" si="26"/>
        <v>-0.24878360150303502</v>
      </c>
      <c r="I35" s="39"/>
      <c r="J35" s="39"/>
      <c r="K35" s="39"/>
      <c r="L35" s="155"/>
      <c r="O35" s="81">
        <v>0.94</v>
      </c>
      <c r="P35" s="81">
        <f t="shared" si="14"/>
        <v>20.886799999999997</v>
      </c>
      <c r="W35" s="134"/>
    </row>
    <row r="36" spans="1:23" x14ac:dyDescent="0.25">
      <c r="A36">
        <v>100</v>
      </c>
      <c r="B36" s="184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27">C36*(E36-D36)</f>
        <v>-3721.1200000000003</v>
      </c>
      <c r="G36" s="39">
        <f t="shared" ref="G36:G40" si="28">D36*C36</f>
        <v>13285.12</v>
      </c>
      <c r="H36" s="222">
        <f t="shared" ref="H36:H40" si="29">(E36-D36)/D36</f>
        <v>-0.28009683013777825</v>
      </c>
      <c r="I36" s="39"/>
      <c r="J36" s="39"/>
      <c r="K36" s="39"/>
      <c r="L36" s="39"/>
      <c r="O36" s="81">
        <v>0.93</v>
      </c>
      <c r="P36" s="81">
        <f t="shared" si="14"/>
        <v>20.6646</v>
      </c>
      <c r="W36" s="134"/>
    </row>
    <row r="37" spans="1:23" x14ac:dyDescent="0.25">
      <c r="A37">
        <v>100</v>
      </c>
      <c r="B37" s="184">
        <v>43178</v>
      </c>
      <c r="C37" s="10">
        <v>500</v>
      </c>
      <c r="D37" s="39">
        <v>31.225999999999999</v>
      </c>
      <c r="E37" s="39">
        <v>23.17</v>
      </c>
      <c r="F37" s="39">
        <f t="shared" si="27"/>
        <v>-4027.9999999999986</v>
      </c>
      <c r="G37" s="39">
        <f t="shared" si="28"/>
        <v>15613</v>
      </c>
      <c r="H37" s="222">
        <f t="shared" si="29"/>
        <v>-0.25799013642477414</v>
      </c>
      <c r="I37" s="39"/>
      <c r="J37" s="39"/>
      <c r="K37" s="39"/>
      <c r="L37" s="39"/>
      <c r="O37" s="81">
        <v>0.92</v>
      </c>
      <c r="P37" s="81">
        <f t="shared" si="14"/>
        <v>20.442399999999999</v>
      </c>
      <c r="W37" s="134"/>
    </row>
    <row r="38" spans="1:23" x14ac:dyDescent="0.25">
      <c r="A38">
        <v>100</v>
      </c>
      <c r="B38" s="184">
        <v>43181</v>
      </c>
      <c r="C38" s="10">
        <v>597</v>
      </c>
      <c r="D38" s="39">
        <v>29.743400000000001</v>
      </c>
      <c r="E38" s="39">
        <v>22.1</v>
      </c>
      <c r="F38" s="39">
        <f t="shared" si="27"/>
        <v>-4563.1098000000002</v>
      </c>
      <c r="G38" s="39">
        <f t="shared" si="28"/>
        <v>17756.809799999999</v>
      </c>
      <c r="H38" s="222">
        <f t="shared" si="29"/>
        <v>-0.25697801865287762</v>
      </c>
      <c r="I38" s="39"/>
      <c r="J38" s="39"/>
      <c r="K38" s="39"/>
      <c r="L38" s="39"/>
      <c r="O38" s="81">
        <v>0.91</v>
      </c>
      <c r="P38" s="81">
        <f t="shared" si="14"/>
        <v>20.220199999999998</v>
      </c>
      <c r="W38" s="134"/>
    </row>
    <row r="39" spans="1:23" x14ac:dyDescent="0.25">
      <c r="A39">
        <v>3</v>
      </c>
      <c r="B39" s="184">
        <v>43182</v>
      </c>
      <c r="C39" s="421">
        <v>600</v>
      </c>
      <c r="D39" s="845">
        <v>29.607500000000002</v>
      </c>
      <c r="E39" s="39">
        <v>21.86</v>
      </c>
      <c r="F39" s="39">
        <f t="shared" si="27"/>
        <v>-4648.5000000000018</v>
      </c>
      <c r="G39" s="39">
        <f t="shared" si="28"/>
        <v>17764.5</v>
      </c>
      <c r="H39" s="222">
        <f t="shared" si="29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14"/>
        <v>19.998000000000001</v>
      </c>
      <c r="T39" s="134"/>
    </row>
    <row r="40" spans="1:23" x14ac:dyDescent="0.25">
      <c r="A40">
        <v>203</v>
      </c>
      <c r="B40" s="184">
        <v>43196</v>
      </c>
      <c r="C40" s="10">
        <v>500</v>
      </c>
      <c r="D40" s="39">
        <v>30.933</v>
      </c>
      <c r="E40" s="39">
        <v>22.85</v>
      </c>
      <c r="F40" s="39">
        <f t="shared" si="27"/>
        <v>-4041.4999999999991</v>
      </c>
      <c r="G40" s="39">
        <f t="shared" si="28"/>
        <v>15466.5</v>
      </c>
      <c r="H40" s="222">
        <f t="shared" si="29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4">
        <v>43212</v>
      </c>
      <c r="C41" s="10">
        <v>500</v>
      </c>
      <c r="D41" s="39">
        <v>30.933</v>
      </c>
      <c r="E41" s="39">
        <v>22.33</v>
      </c>
      <c r="F41" s="39">
        <f t="shared" ref="F41:F43" si="30">C41*(E41-D41)</f>
        <v>-4301.5000000000009</v>
      </c>
      <c r="G41" s="39">
        <f t="shared" ref="G41:G43" si="31">D41*C41</f>
        <v>15466.5</v>
      </c>
      <c r="H41" s="222">
        <f t="shared" ref="H41:H43" si="32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4">
        <v>43216</v>
      </c>
      <c r="C42" s="10">
        <v>500</v>
      </c>
      <c r="D42" s="39">
        <v>30.9331</v>
      </c>
      <c r="E42" s="39">
        <v>23.38</v>
      </c>
      <c r="F42" s="39">
        <f t="shared" si="30"/>
        <v>-3776.55</v>
      </c>
      <c r="G42" s="39">
        <f t="shared" si="31"/>
        <v>15466.55</v>
      </c>
      <c r="H42" s="222">
        <f t="shared" si="32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4">
        <v>43217</v>
      </c>
      <c r="C43" s="425">
        <v>400</v>
      </c>
      <c r="D43" s="426">
        <v>32.694000000000003</v>
      </c>
      <c r="E43" s="39">
        <v>23.76</v>
      </c>
      <c r="F43" s="39">
        <f t="shared" si="30"/>
        <v>-3573.6000000000004</v>
      </c>
      <c r="G43" s="39">
        <f t="shared" si="31"/>
        <v>13077.6</v>
      </c>
      <c r="H43" s="222">
        <f t="shared" si="32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4">
        <v>43218</v>
      </c>
      <c r="C44" s="425">
        <v>400</v>
      </c>
      <c r="D44" s="426">
        <v>32.369</v>
      </c>
      <c r="E44" s="39">
        <v>23.76</v>
      </c>
      <c r="F44" s="39">
        <f t="shared" ref="F44:F48" si="33">C44*(E44-D44)</f>
        <v>-3443.5999999999995</v>
      </c>
      <c r="G44" s="39">
        <f t="shared" ref="G44:G48" si="34">D44*C44</f>
        <v>12947.6</v>
      </c>
      <c r="H44" s="222">
        <f t="shared" ref="H44:H48" si="35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4">
        <v>43220</v>
      </c>
      <c r="C45" s="10">
        <v>500</v>
      </c>
      <c r="D45" s="39">
        <v>30.55</v>
      </c>
      <c r="E45" s="39">
        <v>23.28</v>
      </c>
      <c r="F45" s="39">
        <f t="shared" si="33"/>
        <v>-3635</v>
      </c>
      <c r="G45" s="39">
        <f t="shared" si="34"/>
        <v>15275</v>
      </c>
      <c r="H45" s="222">
        <f t="shared" si="35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4">
        <v>43228</v>
      </c>
      <c r="C46" s="10">
        <v>600</v>
      </c>
      <c r="D46" s="39">
        <v>29.137699999999999</v>
      </c>
      <c r="E46" s="39">
        <v>22.09</v>
      </c>
      <c r="F46" s="39">
        <f t="shared" si="33"/>
        <v>-4228.619999999999</v>
      </c>
      <c r="G46" s="39">
        <f t="shared" si="34"/>
        <v>17482.62</v>
      </c>
      <c r="H46" s="222">
        <f t="shared" si="35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A47">
        <v>400</v>
      </c>
      <c r="B47" s="184">
        <v>43241</v>
      </c>
      <c r="C47" s="421">
        <v>600</v>
      </c>
      <c r="D47" s="845">
        <v>29.14</v>
      </c>
      <c r="E47" s="39">
        <v>22.1</v>
      </c>
      <c r="F47" s="39">
        <f t="shared" si="33"/>
        <v>-4223.9999999999991</v>
      </c>
      <c r="G47" s="39">
        <f t="shared" si="34"/>
        <v>17484</v>
      </c>
      <c r="H47" s="222">
        <f t="shared" si="35"/>
        <v>-0.24159231297185996</v>
      </c>
      <c r="I47" s="39">
        <v>28.5</v>
      </c>
      <c r="J47" s="39"/>
      <c r="K47" s="39"/>
      <c r="L47" s="39">
        <v>13</v>
      </c>
      <c r="Q47" s="2"/>
      <c r="T47" s="134"/>
    </row>
    <row r="48" spans="1:23" x14ac:dyDescent="0.25">
      <c r="A48">
        <v>400</v>
      </c>
      <c r="B48" s="184">
        <v>43250</v>
      </c>
      <c r="C48" s="10">
        <v>600</v>
      </c>
      <c r="D48" s="39">
        <v>29.14</v>
      </c>
      <c r="E48" s="39">
        <v>21.44</v>
      </c>
      <c r="F48" s="39">
        <f t="shared" si="33"/>
        <v>-4620</v>
      </c>
      <c r="G48" s="39">
        <f t="shared" si="34"/>
        <v>17484</v>
      </c>
      <c r="H48" s="222">
        <f t="shared" si="35"/>
        <v>-0.26424159231297184</v>
      </c>
      <c r="I48" s="39"/>
      <c r="J48" s="39"/>
      <c r="K48" s="39"/>
      <c r="L48" s="39">
        <v>12.61</v>
      </c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825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69" priority="21">
      <formula>F25&gt;0</formula>
    </cfRule>
    <cfRule type="expression" dxfId="868" priority="22">
      <formula>F25&lt;0</formula>
    </cfRule>
  </conditionalFormatting>
  <conditionalFormatting sqref="Q7">
    <cfRule type="expression" dxfId="867" priority="19">
      <formula>Q7&gt;0</formula>
    </cfRule>
    <cfRule type="expression" dxfId="866" priority="20">
      <formula>Q7&lt;0</formula>
    </cfRule>
  </conditionalFormatting>
  <conditionalFormatting sqref="Q8">
    <cfRule type="expression" dxfId="865" priority="17">
      <formula>Q8&gt;0</formula>
    </cfRule>
    <cfRule type="expression" dxfId="864" priority="18">
      <formula>Q8&lt;0</formula>
    </cfRule>
  </conditionalFormatting>
  <conditionalFormatting sqref="F89:F110">
    <cfRule type="expression" dxfId="863" priority="11">
      <formula>F89&gt;0</formula>
    </cfRule>
    <cfRule type="expression" dxfId="862" priority="12">
      <formula>F89&lt;0</formula>
    </cfRule>
  </conditionalFormatting>
  <conditionalFormatting sqref="H89:H110">
    <cfRule type="expression" dxfId="861" priority="9">
      <formula>H89&gt;0</formula>
    </cfRule>
    <cfRule type="expression" dxfId="860" priority="10">
      <formula>H89&lt;0</formula>
    </cfRule>
  </conditionalFormatting>
  <conditionalFormatting sqref="Q10">
    <cfRule type="expression" dxfId="859" priority="7">
      <formula>Q10&gt;0</formula>
    </cfRule>
    <cfRule type="expression" dxfId="858" priority="8">
      <formula>Q10&lt;0</formula>
    </cfRule>
  </conditionalFormatting>
  <conditionalFormatting sqref="J25:J38">
    <cfRule type="expression" dxfId="857" priority="5">
      <formula>J25&gt;0</formula>
    </cfRule>
    <cfRule type="expression" dxfId="856" priority="6">
      <formula>J25&lt;0</formula>
    </cfRule>
  </conditionalFormatting>
  <conditionalFormatting sqref="K25:K38">
    <cfRule type="expression" dxfId="855" priority="3">
      <formula>K25&gt;0</formula>
    </cfRule>
    <cfRule type="expression" dxfId="854" priority="4">
      <formula>K25&lt;0</formula>
    </cfRule>
  </conditionalFormatting>
  <conditionalFormatting sqref="L25:L38">
    <cfRule type="expression" dxfId="853" priority="1">
      <formula>L25&gt;0</formula>
    </cfRule>
    <cfRule type="expression" dxfId="85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241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61.39</v>
      </c>
      <c r="T3" s="1">
        <v>42621</v>
      </c>
      <c r="U3" s="33" t="s">
        <v>257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61.39</v>
      </c>
      <c r="R4" s="475">
        <v>-3.1899999999999998E-2</v>
      </c>
      <c r="T4" s="1">
        <v>42627</v>
      </c>
      <c r="U4" s="33" t="s">
        <v>257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324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464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518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209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3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67.529000000000011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66.91510000000001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66.301200000000009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65.687300000000008</v>
      </c>
      <c r="Q28" s="2"/>
    </row>
    <row r="29" spans="1:32" x14ac:dyDescent="0.25">
      <c r="A29" s="10" t="s">
        <v>710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498</v>
      </c>
      <c r="K29" s="220" t="s">
        <v>466</v>
      </c>
      <c r="L29" s="220" t="s">
        <v>670</v>
      </c>
      <c r="M29" s="4"/>
      <c r="N29" s="4"/>
      <c r="O29" s="81">
        <v>1.06</v>
      </c>
      <c r="P29" s="81">
        <f t="shared" si="0"/>
        <v>65.073400000000007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64.459500000000006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63.845600000000005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63.231700000000004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62.617800000000003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62.003900000000002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61.39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60.7761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60.162199999999999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59.548299999999998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58.934399999999997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58.320499999999996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57.706599999999995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57.092700000000001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56.4788</v>
      </c>
    </row>
    <row r="44" spans="1:32" x14ac:dyDescent="0.25">
      <c r="N44" s="4"/>
      <c r="O44" s="81">
        <v>0.91</v>
      </c>
      <c r="P44" s="81">
        <f t="shared" si="0"/>
        <v>55.864900000000006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55.251000000000005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289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229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262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290</v>
      </c>
      <c r="J168" s="578" t="s">
        <v>288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300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300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300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300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498</v>
      </c>
      <c r="K200" s="220" t="s">
        <v>466</v>
      </c>
      <c r="L200" s="220" t="s">
        <v>670</v>
      </c>
      <c r="M200" s="4"/>
    </row>
    <row r="201" spans="1:17" x14ac:dyDescent="0.25">
      <c r="A201" s="362" t="s">
        <v>344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351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352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353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374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389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414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419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432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432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450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323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255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311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51" priority="137">
      <formula>F30&gt;0</formula>
    </cfRule>
    <cfRule type="expression" dxfId="850" priority="138">
      <formula>F30&lt;0</formula>
    </cfRule>
  </conditionalFormatting>
  <conditionalFormatting sqref="H47:H58">
    <cfRule type="expression" dxfId="849" priority="129">
      <formula>H47&gt;0</formula>
    </cfRule>
    <cfRule type="expression" dxfId="848" priority="130">
      <formula>H47&lt;0</formula>
    </cfRule>
  </conditionalFormatting>
  <conditionalFormatting sqref="H59">
    <cfRule type="expression" dxfId="847" priority="119">
      <formula>H59&gt;0</formula>
    </cfRule>
    <cfRule type="expression" dxfId="846" priority="120">
      <formula>H59&lt;0</formula>
    </cfRule>
  </conditionalFormatting>
  <conditionalFormatting sqref="H60">
    <cfRule type="expression" dxfId="845" priority="115">
      <formula>H60&gt;0</formula>
    </cfRule>
    <cfRule type="expression" dxfId="844" priority="116">
      <formula>H60&lt;0</formula>
    </cfRule>
  </conditionalFormatting>
  <conditionalFormatting sqref="H61:H66">
    <cfRule type="expression" dxfId="843" priority="111">
      <formula>H61&gt;0</formula>
    </cfRule>
    <cfRule type="expression" dxfId="842" priority="112">
      <formula>H61&lt;0</formula>
    </cfRule>
  </conditionalFormatting>
  <conditionalFormatting sqref="Q8">
    <cfRule type="expression" dxfId="841" priority="95">
      <formula>Q8&gt;0</formula>
    </cfRule>
    <cfRule type="expression" dxfId="840" priority="96">
      <formula>Q8&lt;0</formula>
    </cfRule>
  </conditionalFormatting>
  <conditionalFormatting sqref="Q7">
    <cfRule type="expression" dxfId="839" priority="97">
      <formula>Q7&gt;0</formula>
    </cfRule>
    <cfRule type="expression" dxfId="838" priority="98">
      <formula>Q7&lt;0</formula>
    </cfRule>
  </conditionalFormatting>
  <conditionalFormatting sqref="F178 H178">
    <cfRule type="expression" dxfId="837" priority="93">
      <formula>F178&gt;0</formula>
    </cfRule>
    <cfRule type="expression" dxfId="836" priority="94">
      <formula>F178&lt;0</formula>
    </cfRule>
  </conditionalFormatting>
  <conditionalFormatting sqref="Q10">
    <cfRule type="expression" dxfId="835" priority="87">
      <formula>Q10&gt;0</formula>
    </cfRule>
    <cfRule type="expression" dxfId="834" priority="88">
      <formula>Q10&lt;0</formula>
    </cfRule>
  </conditionalFormatting>
  <conditionalFormatting sqref="Q9">
    <cfRule type="expression" dxfId="833" priority="81">
      <formula>Q9&gt;0</formula>
    </cfRule>
    <cfRule type="expression" dxfId="832" priority="82">
      <formula>Q9&lt;0</formula>
    </cfRule>
  </conditionalFormatting>
  <conditionalFormatting sqref="F201:F248">
    <cfRule type="expression" dxfId="831" priority="41">
      <formula>F201&gt;0</formula>
    </cfRule>
    <cfRule type="expression" dxfId="830" priority="42">
      <formula>F201&lt;0</formula>
    </cfRule>
  </conditionalFormatting>
  <conditionalFormatting sqref="H201:H248">
    <cfRule type="expression" dxfId="829" priority="39">
      <formula>H201&gt;0</formula>
    </cfRule>
    <cfRule type="expression" dxfId="828" priority="40">
      <formula>H201&lt;0</formula>
    </cfRule>
  </conditionalFormatting>
  <conditionalFormatting sqref="J208">
    <cfRule type="expression" dxfId="827" priority="37">
      <formula>J208&gt;0</formula>
    </cfRule>
    <cfRule type="expression" dxfId="826" priority="38">
      <formula>J208&lt;0</formula>
    </cfRule>
  </conditionalFormatting>
  <conditionalFormatting sqref="J214:J215">
    <cfRule type="expression" dxfId="825" priority="35">
      <formula>J214&gt;0</formula>
    </cfRule>
    <cfRule type="expression" dxfId="824" priority="36">
      <formula>J214&lt;0</formula>
    </cfRule>
  </conditionalFormatting>
  <conditionalFormatting sqref="J216">
    <cfRule type="expression" dxfId="823" priority="33">
      <formula>J216&gt;0</formula>
    </cfRule>
    <cfRule type="expression" dxfId="822" priority="34">
      <formula>J216&lt;0</formula>
    </cfRule>
  </conditionalFormatting>
  <conditionalFormatting sqref="J217:J219 J221:J224">
    <cfRule type="expression" dxfId="821" priority="31">
      <formula>J217&gt;0</formula>
    </cfRule>
    <cfRule type="expression" dxfId="820" priority="32">
      <formula>J217&lt;0</formula>
    </cfRule>
  </conditionalFormatting>
  <conditionalFormatting sqref="K208">
    <cfRule type="expression" dxfId="819" priority="29">
      <formula>K208&gt;0</formula>
    </cfRule>
    <cfRule type="expression" dxfId="818" priority="30">
      <formula>K208&lt;0</formula>
    </cfRule>
  </conditionalFormatting>
  <conditionalFormatting sqref="K214:K215">
    <cfRule type="expression" dxfId="817" priority="27">
      <formula>K214&gt;0</formula>
    </cfRule>
    <cfRule type="expression" dxfId="816" priority="28">
      <formula>K214&lt;0</formula>
    </cfRule>
  </conditionalFormatting>
  <conditionalFormatting sqref="K216">
    <cfRule type="expression" dxfId="815" priority="25">
      <formula>K216&gt;0</formula>
    </cfRule>
    <cfRule type="expression" dxfId="814" priority="26">
      <formula>K216&lt;0</formula>
    </cfRule>
  </conditionalFormatting>
  <conditionalFormatting sqref="K217:K224">
    <cfRule type="expression" dxfId="813" priority="23">
      <formula>K217&gt;0</formula>
    </cfRule>
    <cfRule type="expression" dxfId="812" priority="24">
      <formula>K217&lt;0</formula>
    </cfRule>
  </conditionalFormatting>
  <conditionalFormatting sqref="L208">
    <cfRule type="expression" dxfId="811" priority="21">
      <formula>L208&gt;0</formula>
    </cfRule>
    <cfRule type="expression" dxfId="810" priority="22">
      <formula>L208&lt;0</formula>
    </cfRule>
  </conditionalFormatting>
  <conditionalFormatting sqref="L214:L215">
    <cfRule type="expression" dxfId="809" priority="19">
      <formula>L214&gt;0</formula>
    </cfRule>
    <cfRule type="expression" dxfId="808" priority="20">
      <formula>L214&lt;0</formula>
    </cfRule>
  </conditionalFormatting>
  <conditionalFormatting sqref="L216">
    <cfRule type="expression" dxfId="807" priority="17">
      <formula>L216&gt;0</formula>
    </cfRule>
    <cfRule type="expression" dxfId="806" priority="18">
      <formula>L216&lt;0</formula>
    </cfRule>
  </conditionalFormatting>
  <conditionalFormatting sqref="L217:L224">
    <cfRule type="expression" dxfId="805" priority="15">
      <formula>L217&gt;0</formula>
    </cfRule>
    <cfRule type="expression" dxfId="804" priority="16">
      <formula>L217&lt;0</formula>
    </cfRule>
  </conditionalFormatting>
  <conditionalFormatting sqref="K225">
    <cfRule type="expression" dxfId="803" priority="13">
      <formula>K225&gt;0</formula>
    </cfRule>
    <cfRule type="expression" dxfId="802" priority="14">
      <formula>K225&lt;0</formula>
    </cfRule>
  </conditionalFormatting>
  <conditionalFormatting sqref="L225:L232">
    <cfRule type="expression" dxfId="801" priority="11">
      <formula>L225&gt;0</formula>
    </cfRule>
    <cfRule type="expression" dxfId="800" priority="12">
      <formula>L225&lt;0</formula>
    </cfRule>
  </conditionalFormatting>
  <conditionalFormatting sqref="K226">
    <cfRule type="expression" dxfId="799" priority="9">
      <formula>K226&gt;0</formula>
    </cfRule>
    <cfRule type="expression" dxfId="798" priority="10">
      <formula>K226&lt;0</formula>
    </cfRule>
  </conditionalFormatting>
  <conditionalFormatting sqref="K227">
    <cfRule type="expression" dxfId="797" priority="7">
      <formula>K227&gt;0</formula>
    </cfRule>
    <cfRule type="expression" dxfId="796" priority="8">
      <formula>K227&lt;0</formula>
    </cfRule>
  </conditionalFormatting>
  <conditionalFormatting sqref="K228:K248">
    <cfRule type="expression" dxfId="795" priority="5">
      <formula>K228&gt;0</formula>
    </cfRule>
    <cfRule type="expression" dxfId="794" priority="6">
      <formula>K228&lt;0</formula>
    </cfRule>
  </conditionalFormatting>
  <conditionalFormatting sqref="L233:L237">
    <cfRule type="expression" dxfId="793" priority="3">
      <formula>L233&gt;0</formula>
    </cfRule>
    <cfRule type="expression" dxfId="792" priority="4">
      <formula>L233&lt;0</formula>
    </cfRule>
  </conditionalFormatting>
  <conditionalFormatting sqref="L238:L243">
    <cfRule type="expression" dxfId="791" priority="1">
      <formula>L238&gt;0</formula>
    </cfRule>
    <cfRule type="expression" dxfId="790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58.81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58.81</v>
      </c>
      <c r="R4" s="490">
        <v>5.0000000000000001E-4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50" t="s">
        <v>78</v>
      </c>
      <c r="P40" s="85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64.691000000000003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64.102900000000005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63.514800000000008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62.926700000000004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62.338600000000007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61.750500000000002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61.162400000000005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60.574300000000001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59.986200000000004</v>
      </c>
      <c r="Q49" s="2"/>
      <c r="T49" s="85" t="s">
        <v>103</v>
      </c>
      <c r="U49" s="87" t="s">
        <v>392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59.398099999999999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58.81</v>
      </c>
      <c r="Q51" s="2"/>
      <c r="T51" s="85" t="s">
        <v>104</v>
      </c>
      <c r="U51" s="86" t="s">
        <v>602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58.221900000000005</v>
      </c>
      <c r="Q52" s="2"/>
      <c r="T52" s="85" t="s">
        <v>105</v>
      </c>
      <c r="U52" s="86" t="s">
        <v>500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57.633800000000001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57.045700000000004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56.457599999999999</v>
      </c>
      <c r="T55" s="85" t="s">
        <v>107</v>
      </c>
      <c r="U55" s="86" t="s">
        <v>603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55.869500000000002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55.281399999999998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54.693300000000008</v>
      </c>
      <c r="T58" s="85" t="s">
        <v>108</v>
      </c>
      <c r="U58" s="86" t="s">
        <v>541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54.105200000000004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53.517100000000006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52.929000000000002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89" priority="11">
      <formula>F27&gt;0</formula>
    </cfRule>
    <cfRule type="expression" dxfId="788" priority="12">
      <formula>F27&lt;0</formula>
    </cfRule>
  </conditionalFormatting>
  <conditionalFormatting sqref="H27:H29">
    <cfRule type="expression" dxfId="787" priority="9">
      <formula>H27&gt;0</formula>
    </cfRule>
    <cfRule type="expression" dxfId="786" priority="10">
      <formula>H27&lt;0</formula>
    </cfRule>
  </conditionalFormatting>
  <conditionalFormatting sqref="F23:F26">
    <cfRule type="expression" dxfId="785" priority="7">
      <formula>F23&gt;0</formula>
    </cfRule>
    <cfRule type="expression" dxfId="784" priority="8">
      <formula>F23&lt;0</formula>
    </cfRule>
  </conditionalFormatting>
  <conditionalFormatting sqref="H23:H26">
    <cfRule type="expression" dxfId="783" priority="5">
      <formula>H23&gt;0</formula>
    </cfRule>
    <cfRule type="expression" dxfId="782" priority="6">
      <formula>H23&lt;0</formula>
    </cfRule>
  </conditionalFormatting>
  <conditionalFormatting sqref="Q8">
    <cfRule type="expression" dxfId="781" priority="1">
      <formula>Q8&gt;0</formula>
    </cfRule>
    <cfRule type="expression" dxfId="780" priority="2">
      <formula>Q8&lt;0</formula>
    </cfRule>
  </conditionalFormatting>
  <conditionalFormatting sqref="Q7">
    <cfRule type="expression" dxfId="779" priority="3">
      <formula>Q7&gt;0</formula>
    </cfRule>
    <cfRule type="expression" dxfId="77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55.05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55.05</v>
      </c>
      <c r="R4" s="490">
        <v>3.0999999999999999E-3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50" t="s">
        <v>78</v>
      </c>
      <c r="P40" s="85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60.555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60.0045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59.454000000000001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58.903500000000001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58.353000000000002</v>
      </c>
      <c r="Q45" s="2"/>
      <c r="T45" s="85" t="s">
        <v>99</v>
      </c>
      <c r="U45" s="86" t="s">
        <v>604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57.802500000000002</v>
      </c>
      <c r="Q46" s="2"/>
      <c r="T46" s="85" t="s">
        <v>100</v>
      </c>
      <c r="U46" s="86" t="s">
        <v>605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57.252000000000002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56.701499999999996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56.150999999999996</v>
      </c>
      <c r="Q49" s="2"/>
      <c r="T49" s="85" t="s">
        <v>103</v>
      </c>
      <c r="U49" s="87" t="s">
        <v>424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55.600499999999997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55.05</v>
      </c>
      <c r="Q51" s="2"/>
      <c r="T51" s="85" t="s">
        <v>104</v>
      </c>
      <c r="U51" s="86" t="s">
        <v>606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54.499499999999998</v>
      </c>
      <c r="Q52" s="2"/>
      <c r="T52" s="85" t="s">
        <v>105</v>
      </c>
      <c r="U52" s="86" t="s">
        <v>508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53.948999999999998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53.398499999999999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52.847999999999992</v>
      </c>
      <c r="T55" s="85" t="s">
        <v>107</v>
      </c>
      <c r="U55" s="86" t="s">
        <v>607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52.297499999999992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51.746999999999993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51.1965</v>
      </c>
      <c r="T58" s="85" t="s">
        <v>108</v>
      </c>
      <c r="U58" s="86" t="s">
        <v>542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50.646000000000001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50.095500000000001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49.545000000000002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77" priority="7">
      <formula>F21&gt;0</formula>
    </cfRule>
    <cfRule type="expression" dxfId="776" priority="8">
      <formula>F21&lt;0</formula>
    </cfRule>
  </conditionalFormatting>
  <conditionalFormatting sqref="F22">
    <cfRule type="expression" dxfId="775" priority="5">
      <formula>F22&gt;0</formula>
    </cfRule>
    <cfRule type="expression" dxfId="774" priority="6">
      <formula>F22&lt;0</formula>
    </cfRule>
  </conditionalFormatting>
  <conditionalFormatting sqref="Q8">
    <cfRule type="expression" dxfId="773" priority="1">
      <formula>Q8&gt;0</formula>
    </cfRule>
    <cfRule type="expression" dxfId="772" priority="2">
      <formula>Q8&lt;0</formula>
    </cfRule>
  </conditionalFormatting>
  <conditionalFormatting sqref="Q7">
    <cfRule type="expression" dxfId="771" priority="3">
      <formula>Q7&gt;0</formula>
    </cfRule>
    <cfRule type="expression" dxfId="77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61.84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61.84</v>
      </c>
      <c r="R4" s="475">
        <v>2.4500000000000001E-2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50" t="s">
        <v>78</v>
      </c>
      <c r="P44" s="85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68.024000000000015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67.405600000000007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66.787200000000013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66.168800000000005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65.55040000000001</v>
      </c>
      <c r="Q49" s="2"/>
      <c r="R49" s="33"/>
      <c r="T49" s="106" t="s">
        <v>121</v>
      </c>
      <c r="U49" s="104" t="s">
        <v>372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64.932000000000002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64.313600000000008</v>
      </c>
      <c r="Q51" s="2"/>
      <c r="R51" s="33"/>
      <c r="T51" s="106" t="s">
        <v>104</v>
      </c>
      <c r="U51" s="104" t="s">
        <v>608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63.695200000000007</v>
      </c>
      <c r="Q52" s="2"/>
      <c r="R52" s="33"/>
      <c r="T52" s="106" t="s">
        <v>105</v>
      </c>
      <c r="U52" s="104" t="s">
        <v>524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63.076800000000006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62.458400000000005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61.84</v>
      </c>
      <c r="Q55" s="2"/>
      <c r="R55" s="33"/>
      <c r="T55" s="106" t="s">
        <v>107</v>
      </c>
      <c r="U55" s="104" t="s">
        <v>609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61.221600000000002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60.603200000000001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59.9848</v>
      </c>
      <c r="Q58" s="2"/>
      <c r="R58" s="33"/>
      <c r="T58" s="106" t="s">
        <v>108</v>
      </c>
      <c r="U58" s="104" t="s">
        <v>543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59.366399999999999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58.747999999999998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58.129599999999996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57.511200000000009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56.892800000000008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56.274400000000007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55.656000000000006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69" priority="17">
      <formula>F38&gt;0</formula>
    </cfRule>
    <cfRule type="expression" dxfId="768" priority="18">
      <formula>F38&lt;0</formula>
    </cfRule>
  </conditionalFormatting>
  <conditionalFormatting sqref="H38:H72">
    <cfRule type="expression" dxfId="767" priority="9">
      <formula>H38&gt;0</formula>
    </cfRule>
    <cfRule type="expression" dxfId="766" priority="10">
      <formula>H38&lt;0</formula>
    </cfRule>
  </conditionalFormatting>
  <conditionalFormatting sqref="F21:F37">
    <cfRule type="expression" dxfId="765" priority="7">
      <formula>F21&gt;0</formula>
    </cfRule>
    <cfRule type="expression" dxfId="764" priority="8">
      <formula>F21&lt;0</formula>
    </cfRule>
  </conditionalFormatting>
  <conditionalFormatting sqref="H21:H37">
    <cfRule type="expression" dxfId="763" priority="5">
      <formula>H21&gt;0</formula>
    </cfRule>
    <cfRule type="expression" dxfId="762" priority="6">
      <formula>H21&lt;0</formula>
    </cfRule>
  </conditionalFormatting>
  <conditionalFormatting sqref="Q8">
    <cfRule type="expression" dxfId="761" priority="1">
      <formula>Q8&gt;0</formula>
    </cfRule>
    <cfRule type="expression" dxfId="760" priority="2">
      <formula>Q8&lt;0</formula>
    </cfRule>
  </conditionalFormatting>
  <conditionalFormatting sqref="Q7">
    <cfRule type="expression" dxfId="759" priority="3">
      <formula>Q7&gt;0</formula>
    </cfRule>
    <cfRule type="expression" dxfId="75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144.52000000000001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144.52000000000001</v>
      </c>
      <c r="R4" s="490">
        <v>8.3000000000000001E-3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50" t="s">
        <v>78</v>
      </c>
      <c r="P46" s="850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158.97200000000004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157.52680000000001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156.08160000000001</v>
      </c>
      <c r="Q49" s="33"/>
      <c r="R49"/>
      <c r="T49" s="85" t="s">
        <v>103</v>
      </c>
      <c r="U49" s="92" t="s">
        <v>610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154.63640000000001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153.19120000000001</v>
      </c>
      <c r="Q51" s="81"/>
      <c r="R51"/>
      <c r="T51" s="85" t="s">
        <v>104</v>
      </c>
      <c r="U51" s="127" t="s">
        <v>611</v>
      </c>
    </row>
    <row r="52" spans="1:21" x14ac:dyDescent="0.25">
      <c r="O52" s="81">
        <v>1.05</v>
      </c>
      <c r="P52" s="81">
        <f t="shared" si="1"/>
        <v>151.74600000000001</v>
      </c>
      <c r="Q52" s="81"/>
      <c r="R52"/>
      <c r="T52" s="85" t="s">
        <v>105</v>
      </c>
      <c r="U52" s="127" t="s">
        <v>502</v>
      </c>
    </row>
    <row r="53" spans="1:21" x14ac:dyDescent="0.25">
      <c r="O53" s="81">
        <v>1.04</v>
      </c>
      <c r="P53" s="81">
        <f t="shared" si="1"/>
        <v>150.30080000000001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148.85560000000001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147.41040000000001</v>
      </c>
      <c r="Q55" s="81"/>
      <c r="R55"/>
      <c r="T55" s="85" t="s">
        <v>107</v>
      </c>
      <c r="U55" s="127" t="s">
        <v>612</v>
      </c>
    </row>
    <row r="56" spans="1:21" x14ac:dyDescent="0.25">
      <c r="O56" s="81">
        <v>1.01</v>
      </c>
      <c r="P56" s="81">
        <f t="shared" si="1"/>
        <v>145.96520000000001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144.52000000000001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143.07480000000001</v>
      </c>
      <c r="Q58" s="81"/>
      <c r="R58"/>
      <c r="T58" s="85" t="s">
        <v>108</v>
      </c>
      <c r="U58" s="127" t="s">
        <v>544</v>
      </c>
    </row>
    <row r="59" spans="1:21" x14ac:dyDescent="0.25">
      <c r="O59" s="81">
        <v>0.98</v>
      </c>
      <c r="P59" s="81">
        <f t="shared" si="1"/>
        <v>141.62960000000001</v>
      </c>
      <c r="Q59" s="81"/>
      <c r="R59"/>
    </row>
    <row r="60" spans="1:21" x14ac:dyDescent="0.25">
      <c r="O60" s="81">
        <v>0.97</v>
      </c>
      <c r="P60" s="81">
        <f t="shared" si="1"/>
        <v>140.18440000000001</v>
      </c>
      <c r="Q60" s="81"/>
      <c r="R60"/>
    </row>
    <row r="61" spans="1:21" x14ac:dyDescent="0.25">
      <c r="O61" s="81">
        <v>0.96</v>
      </c>
      <c r="P61" s="81">
        <f t="shared" si="1"/>
        <v>138.73920000000001</v>
      </c>
      <c r="Q61" s="81"/>
      <c r="R61"/>
    </row>
    <row r="62" spans="1:21" x14ac:dyDescent="0.25">
      <c r="O62" s="81">
        <v>0.95</v>
      </c>
      <c r="P62" s="81">
        <f t="shared" si="1"/>
        <v>137.29400000000001</v>
      </c>
      <c r="Q62" s="81"/>
      <c r="R62"/>
    </row>
    <row r="63" spans="1:21" x14ac:dyDescent="0.25">
      <c r="O63" s="81">
        <v>0.94</v>
      </c>
      <c r="P63" s="81">
        <f t="shared" si="1"/>
        <v>135.84880000000001</v>
      </c>
      <c r="Q63" s="81"/>
      <c r="R63"/>
      <c r="T63" s="84"/>
    </row>
    <row r="64" spans="1:21" x14ac:dyDescent="0.25">
      <c r="O64" s="81">
        <v>0.93</v>
      </c>
      <c r="P64" s="81">
        <f t="shared" si="1"/>
        <v>134.40360000000001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132.95840000000001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131.51320000000001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130.06800000000001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57" priority="11">
      <formula>F24&gt;0</formula>
    </cfRule>
    <cfRule type="expression" dxfId="756" priority="12">
      <formula>F24&lt;0</formula>
    </cfRule>
  </conditionalFormatting>
  <conditionalFormatting sqref="H27:H30">
    <cfRule type="expression" dxfId="755" priority="9">
      <formula>H27&gt;0</formula>
    </cfRule>
    <cfRule type="expression" dxfId="754" priority="10">
      <formula>H27&lt;0</formula>
    </cfRule>
  </conditionalFormatting>
  <conditionalFormatting sqref="F25">
    <cfRule type="expression" dxfId="753" priority="7">
      <formula>F25&gt;0</formula>
    </cfRule>
    <cfRule type="expression" dxfId="752" priority="8">
      <formula>F25&lt;0</formula>
    </cfRule>
  </conditionalFormatting>
  <conditionalFormatting sqref="H24:H26">
    <cfRule type="expression" dxfId="751" priority="5">
      <formula>H24&gt;0</formula>
    </cfRule>
    <cfRule type="expression" dxfId="750" priority="6">
      <formula>H24&lt;0</formula>
    </cfRule>
  </conditionalFormatting>
  <conditionalFormatting sqref="Q7">
    <cfRule type="expression" dxfId="749" priority="3">
      <formula>Q7&gt;0</formula>
    </cfRule>
    <cfRule type="expression" dxfId="748" priority="4">
      <formula>Q7&lt;0</formula>
    </cfRule>
  </conditionalFormatting>
  <conditionalFormatting sqref="Q8">
    <cfRule type="expression" dxfId="747" priority="1">
      <formula>Q8&gt;0</formula>
    </cfRule>
    <cfRule type="expression" dxfId="74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51.75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51.75</v>
      </c>
      <c r="R4" s="491">
        <v>2.0000000000000001E-4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268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50" t="s">
        <v>78</v>
      </c>
      <c r="Q39" s="850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56.925000000000004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56.407500000000006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55.89</v>
      </c>
      <c r="R42" s="33"/>
      <c r="T42" s="85" t="s">
        <v>99</v>
      </c>
      <c r="U42" s="127" t="s">
        <v>613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55.372500000000002</v>
      </c>
      <c r="R43" s="81"/>
      <c r="T43" s="85" t="s">
        <v>100</v>
      </c>
      <c r="U43" s="127" t="s">
        <v>614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54.855000000000004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54.337500000000006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53.82</v>
      </c>
      <c r="R46" s="81"/>
      <c r="T46" s="85" t="s">
        <v>121</v>
      </c>
      <c r="U46" s="223" t="s">
        <v>421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53.302500000000002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52.785000000000004</v>
      </c>
      <c r="R48" s="81"/>
      <c r="T48" s="85" t="s">
        <v>104</v>
      </c>
      <c r="U48" s="127" t="s">
        <v>615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52.267499999999998</v>
      </c>
      <c r="R49" s="81"/>
      <c r="T49" s="85" t="s">
        <v>105</v>
      </c>
      <c r="U49" s="127" t="s">
        <v>545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51.75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51.232500000000002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50.714999999999996</v>
      </c>
      <c r="R52" s="81"/>
      <c r="T52" s="85" t="s">
        <v>107</v>
      </c>
      <c r="U52" s="127" t="s">
        <v>616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50.197499999999998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49.68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49.162499999999994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48.644999999999996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48.127500000000005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47.61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47.092500000000001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46.575000000000003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45" priority="17">
      <formula>F28&gt;0</formula>
    </cfRule>
    <cfRule type="expression" dxfId="744" priority="18">
      <formula>F28&lt;0</formula>
    </cfRule>
  </conditionalFormatting>
  <conditionalFormatting sqref="F28 F33:F35">
    <cfRule type="expression" dxfId="743" priority="19">
      <formula>F28&gt;0</formula>
    </cfRule>
    <cfRule type="expression" dxfId="742" priority="20">
      <formula>F28&lt;0</formula>
    </cfRule>
  </conditionalFormatting>
  <conditionalFormatting sqref="H28 H33:H35">
    <cfRule type="expression" dxfId="741" priority="15">
      <formula>H28&gt;0</formula>
    </cfRule>
    <cfRule type="expression" dxfId="740" priority="16">
      <formula>H28&lt;0</formula>
    </cfRule>
  </conditionalFormatting>
  <conditionalFormatting sqref="F21:F27">
    <cfRule type="expression" dxfId="739" priority="13">
      <formula>F21&gt;0</formula>
    </cfRule>
    <cfRule type="expression" dxfId="738" priority="14">
      <formula>F21&lt;0</formula>
    </cfRule>
  </conditionalFormatting>
  <conditionalFormatting sqref="H21:H27">
    <cfRule type="expression" dxfId="737" priority="11">
      <formula>H21&gt;0</formula>
    </cfRule>
    <cfRule type="expression" dxfId="736" priority="12">
      <formula>H21&lt;0</formula>
    </cfRule>
  </conditionalFormatting>
  <conditionalFormatting sqref="Q8">
    <cfRule type="expression" dxfId="735" priority="7">
      <formula>Q8&gt;0</formula>
    </cfRule>
    <cfRule type="expression" dxfId="734" priority="8">
      <formula>Q8&lt;0</formula>
    </cfRule>
  </conditionalFormatting>
  <conditionalFormatting sqref="Q7">
    <cfRule type="expression" dxfId="733" priority="9">
      <formula>Q7&gt;0</formula>
    </cfRule>
    <cfRule type="expression" dxfId="732" priority="10">
      <formula>Q7&lt;0</formula>
    </cfRule>
  </conditionalFormatting>
  <conditionalFormatting sqref="F29:F32">
    <cfRule type="expression" dxfId="731" priority="5">
      <formula>F29&gt;0</formula>
    </cfRule>
    <cfRule type="expression" dxfId="730" priority="6">
      <formula>F29&lt;0</formula>
    </cfRule>
  </conditionalFormatting>
  <conditionalFormatting sqref="H29:H32">
    <cfRule type="expression" dxfId="729" priority="3">
      <formula>H29&gt;0</formula>
    </cfRule>
    <cfRule type="expression" dxfId="728" priority="4">
      <formula>H29&lt;0</formula>
    </cfRule>
  </conditionalFormatting>
  <conditionalFormatting sqref="M37">
    <cfRule type="expression" dxfId="727" priority="1">
      <formula>M37&gt;0</formula>
    </cfRule>
    <cfRule type="expression" dxfId="72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1"/>
  <sheetViews>
    <sheetView topLeftCell="I1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7" si="1"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256.39640000000009</v>
      </c>
      <c r="T3" s="118"/>
      <c r="AD3" s="225"/>
    </row>
    <row r="4" spans="1:30" x14ac:dyDescent="0.25">
      <c r="B4" s="434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278.56</v>
      </c>
      <c r="R4" s="475">
        <v>1.2999999999999999E-3</v>
      </c>
      <c r="T4" s="118"/>
      <c r="AA4" s="225"/>
      <c r="AD4" s="225"/>
    </row>
    <row r="5" spans="1:30" x14ac:dyDescent="0.25">
      <c r="B5" s="434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13928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12819.820000000003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3">
        <f>Q10+Q8</f>
        <v>1269.0099999999966</v>
      </c>
      <c r="R7">
        <v>50</v>
      </c>
      <c r="T7" s="83"/>
      <c r="AA7" s="225"/>
      <c r="AD7" s="225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"/>
      <c r="H8" s="176"/>
      <c r="I8" s="3"/>
      <c r="J8" s="3"/>
      <c r="K8" s="3"/>
      <c r="O8" s="11" t="s">
        <v>180</v>
      </c>
      <c r="Q8" s="20">
        <f>K18+M18-F18+Q2*Q4</f>
        <v>1108.1799999999967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8.6442711364121835E-2</v>
      </c>
      <c r="AA9" s="225"/>
      <c r="AD9" s="225"/>
    </row>
    <row r="10" spans="1:30" ht="12.75" customHeight="1" x14ac:dyDescent="0.25">
      <c r="B10" s="72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M46</f>
        <v>160.82999999999993</v>
      </c>
    </row>
    <row r="11" spans="1:30" x14ac:dyDescent="0.25">
      <c r="B11" s="72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975</v>
      </c>
      <c r="Q13">
        <v>17</v>
      </c>
      <c r="R13" s="22" t="s">
        <v>980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50" t="s">
        <v>78</v>
      </c>
      <c r="Q17" s="850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85</v>
      </c>
      <c r="I18" s="18"/>
      <c r="J18" s="18"/>
      <c r="K18" s="18">
        <f>SUM(K2:K8)</f>
        <v>22507.39</v>
      </c>
      <c r="L18" s="18"/>
      <c r="M18" s="18">
        <f>SUM(M2:M6)</f>
        <v>54.84</v>
      </c>
      <c r="P18" s="81">
        <v>1.1000000000000001</v>
      </c>
      <c r="Q18" s="81">
        <f>P18*$Q$4</f>
        <v>306.41600000000005</v>
      </c>
      <c r="R18" s="81"/>
    </row>
    <row r="19" spans="1:30" x14ac:dyDescent="0.25">
      <c r="P19" s="81">
        <v>1.0900000000000001</v>
      </c>
      <c r="Q19" s="81">
        <f t="shared" ref="Q19:Q38" si="3">P19*$Q$4</f>
        <v>303.63040000000001</v>
      </c>
      <c r="R19" s="81"/>
      <c r="AA19" s="225"/>
      <c r="AD19" s="225"/>
    </row>
    <row r="20" spans="1:3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J20" s="220" t="s">
        <v>150</v>
      </c>
      <c r="K20" s="220"/>
      <c r="P20" s="81">
        <v>1.08</v>
      </c>
      <c r="Q20" s="81">
        <f t="shared" si="3"/>
        <v>300.84480000000002</v>
      </c>
      <c r="R20" s="81"/>
    </row>
    <row r="21" spans="1:30" x14ac:dyDescent="0.25">
      <c r="B21" s="184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2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298.05920000000003</v>
      </c>
      <c r="R21" s="81"/>
      <c r="AA21" s="225"/>
      <c r="AD21" s="225"/>
    </row>
    <row r="22" spans="1:30" x14ac:dyDescent="0.25">
      <c r="B22" s="184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2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295.27360000000004</v>
      </c>
      <c r="R22" s="81"/>
    </row>
    <row r="23" spans="1:30" x14ac:dyDescent="0.25">
      <c r="B23" s="184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2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292.488</v>
      </c>
      <c r="R23" s="81"/>
      <c r="AA23" s="225"/>
    </row>
    <row r="24" spans="1:30" x14ac:dyDescent="0.25">
      <c r="B24" s="184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2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289.70240000000001</v>
      </c>
      <c r="R24" s="81"/>
    </row>
    <row r="25" spans="1:30" x14ac:dyDescent="0.25">
      <c r="B25" s="184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2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286.91680000000002</v>
      </c>
      <c r="R25" s="81"/>
    </row>
    <row r="26" spans="1:30" x14ac:dyDescent="0.25">
      <c r="B26" s="184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2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284.13120000000004</v>
      </c>
      <c r="R26" s="81"/>
    </row>
    <row r="27" spans="1:30" x14ac:dyDescent="0.25">
      <c r="B27" s="184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2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281.34559999999999</v>
      </c>
      <c r="R27" s="81"/>
    </row>
    <row r="28" spans="1:30" x14ac:dyDescent="0.25">
      <c r="B28" s="184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2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278.56</v>
      </c>
      <c r="R28" s="81"/>
    </row>
    <row r="29" spans="1:30" x14ac:dyDescent="0.25">
      <c r="A29">
        <v>35</v>
      </c>
      <c r="B29" s="184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2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275.77440000000001</v>
      </c>
      <c r="R29" s="81"/>
    </row>
    <row r="30" spans="1:30" x14ac:dyDescent="0.25">
      <c r="A30">
        <v>35</v>
      </c>
      <c r="B30" s="184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2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272.98879999999997</v>
      </c>
      <c r="R30" s="81"/>
    </row>
    <row r="31" spans="1:30" x14ac:dyDescent="0.25">
      <c r="A31">
        <v>20</v>
      </c>
      <c r="B31" s="184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2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270.20319999999998</v>
      </c>
      <c r="R31" s="81"/>
    </row>
    <row r="32" spans="1:30" x14ac:dyDescent="0.25">
      <c r="A32">
        <v>10</v>
      </c>
      <c r="B32" s="184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2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267.41759999999999</v>
      </c>
      <c r="R32" s="81"/>
    </row>
    <row r="33" spans="1:18" x14ac:dyDescent="0.25">
      <c r="A33">
        <v>0</v>
      </c>
      <c r="B33" s="184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2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264.63200000000001</v>
      </c>
      <c r="R33" s="81"/>
    </row>
    <row r="34" spans="1:18" x14ac:dyDescent="0.25">
      <c r="A34">
        <v>10</v>
      </c>
      <c r="B34" s="184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2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261.84639999999996</v>
      </c>
      <c r="R34" s="81"/>
    </row>
    <row r="35" spans="1:18" x14ac:dyDescent="0.25">
      <c r="A35">
        <v>10</v>
      </c>
      <c r="B35" s="184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2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259.06080000000003</v>
      </c>
      <c r="R35" s="81"/>
    </row>
    <row r="36" spans="1:18" x14ac:dyDescent="0.25">
      <c r="A36">
        <v>25</v>
      </c>
      <c r="B36" s="184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2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256.27520000000004</v>
      </c>
    </row>
    <row r="37" spans="1:18" x14ac:dyDescent="0.25">
      <c r="A37">
        <v>30</v>
      </c>
      <c r="B37" s="184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2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253.48960000000002</v>
      </c>
    </row>
    <row r="38" spans="1:18" x14ac:dyDescent="0.25">
      <c r="B38" s="184">
        <v>43236</v>
      </c>
      <c r="C38" s="10">
        <v>50</v>
      </c>
      <c r="D38" s="39">
        <v>256.39999999999998</v>
      </c>
      <c r="E38" s="39">
        <v>272.24</v>
      </c>
      <c r="F38" s="39">
        <f t="shared" ref="F38" si="13">C38*(E38-D38)</f>
        <v>792.00000000000159</v>
      </c>
      <c r="G38" s="39">
        <f t="shared" ref="G38" si="14">D38*C38</f>
        <v>12819.999999999998</v>
      </c>
      <c r="H38" s="222">
        <f t="shared" ref="H38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250.70400000000001</v>
      </c>
    </row>
    <row r="39" spans="1:18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O39" s="11"/>
    </row>
    <row r="40" spans="1:18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O40" s="2"/>
    </row>
    <row r="41" spans="1:18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O41" s="2"/>
    </row>
    <row r="42" spans="1:18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O45" s="2"/>
    </row>
    <row r="46" spans="1:18" x14ac:dyDescent="0.25">
      <c r="L46" t="s">
        <v>208</v>
      </c>
      <c r="M46" s="2">
        <f>M64+K64-F64</f>
        <v>160.82999999999993</v>
      </c>
      <c r="O46" s="2"/>
    </row>
    <row r="47" spans="1:18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90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89</v>
      </c>
      <c r="K47" s="253" t="s">
        <v>61</v>
      </c>
      <c r="L47" s="252" t="s">
        <v>77</v>
      </c>
      <c r="M47" s="252" t="s">
        <v>38</v>
      </c>
      <c r="O47" s="2"/>
    </row>
    <row r="48" spans="1:18" x14ac:dyDescent="0.25">
      <c r="A48" s="254" t="s">
        <v>175</v>
      </c>
      <c r="B48" s="255">
        <v>42377</v>
      </c>
      <c r="C48" s="250">
        <v>20</v>
      </c>
      <c r="D48" s="251">
        <v>192.9</v>
      </c>
      <c r="E48" s="251">
        <v>0</v>
      </c>
      <c r="F48" s="251">
        <f>C48*D48+E48</f>
        <v>3858</v>
      </c>
      <c r="G48" s="255">
        <v>42398</v>
      </c>
      <c r="H48" s="256">
        <v>20</v>
      </c>
      <c r="I48" s="251">
        <v>192.22</v>
      </c>
      <c r="J48" s="251">
        <v>7.0000000000000007E-2</v>
      </c>
      <c r="K48" s="251">
        <f>H48*I48-J48</f>
        <v>3844.33</v>
      </c>
      <c r="L48" s="255"/>
      <c r="M48" s="251"/>
      <c r="O48" s="2"/>
    </row>
    <row r="49" spans="1:15" x14ac:dyDescent="0.25">
      <c r="A49" s="257" t="s">
        <v>71</v>
      </c>
      <c r="B49" s="255">
        <v>42384</v>
      </c>
      <c r="C49" s="250">
        <v>5</v>
      </c>
      <c r="D49" s="251">
        <v>186.79</v>
      </c>
      <c r="E49" s="251">
        <v>0</v>
      </c>
      <c r="F49" s="251">
        <f>C49*D49+E49</f>
        <v>933.94999999999993</v>
      </c>
      <c r="G49" s="255">
        <v>42416</v>
      </c>
      <c r="H49" s="256">
        <v>10</v>
      </c>
      <c r="I49" s="251">
        <v>189.25</v>
      </c>
      <c r="J49" s="251">
        <v>0.04</v>
      </c>
      <c r="K49" s="251">
        <f>H49*I49-J49</f>
        <v>1892.46</v>
      </c>
      <c r="L49" s="250"/>
      <c r="M49" s="250"/>
      <c r="O49" s="2"/>
    </row>
    <row r="50" spans="1:15" x14ac:dyDescent="0.25">
      <c r="A50" s="250"/>
      <c r="B50" s="255">
        <v>42405</v>
      </c>
      <c r="C50" s="250">
        <v>15</v>
      </c>
      <c r="D50" s="251">
        <v>187.8</v>
      </c>
      <c r="E50" s="251">
        <v>0</v>
      </c>
      <c r="F50" s="251">
        <f>C50*D50+E50</f>
        <v>2817</v>
      </c>
      <c r="G50" s="255">
        <v>42424</v>
      </c>
      <c r="H50" s="256">
        <v>10</v>
      </c>
      <c r="I50" s="251">
        <v>194.3</v>
      </c>
      <c r="J50" s="251">
        <v>0.04</v>
      </c>
      <c r="K50" s="251">
        <f>H50*I50-J50</f>
        <v>1942.96</v>
      </c>
      <c r="L50" s="250"/>
      <c r="M50" s="250"/>
      <c r="O50" s="2"/>
    </row>
    <row r="51" spans="1:15" x14ac:dyDescent="0.25">
      <c r="A51" s="250"/>
      <c r="B51" s="255">
        <v>42408</v>
      </c>
      <c r="C51" s="250">
        <v>5</v>
      </c>
      <c r="D51" s="251">
        <v>183.55</v>
      </c>
      <c r="E51" s="251">
        <v>0</v>
      </c>
      <c r="F51" s="251">
        <f>C51*D51+E51</f>
        <v>917.75</v>
      </c>
      <c r="G51" s="255">
        <v>42440</v>
      </c>
      <c r="H51" s="256">
        <v>5</v>
      </c>
      <c r="I51" s="251">
        <v>201.56</v>
      </c>
      <c r="J51" s="251">
        <v>0.02</v>
      </c>
      <c r="K51" s="251">
        <f>H51*I51-J51</f>
        <v>1007.78</v>
      </c>
      <c r="L51" s="250"/>
      <c r="M51" s="250"/>
      <c r="O51" s="2"/>
    </row>
    <row r="52" spans="1:15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31" t="s">
        <v>81</v>
      </c>
      <c r="B64" s="14"/>
      <c r="C64" s="14">
        <f>SUM(C48:C52)</f>
        <v>45</v>
      </c>
      <c r="D64" s="14"/>
      <c r="E64" s="14"/>
      <c r="F64" s="18">
        <f>SUM(F48:F52)</f>
        <v>8526.7000000000007</v>
      </c>
      <c r="G64" s="18"/>
      <c r="H64" s="71">
        <f>SUM(H48:H52)</f>
        <v>45</v>
      </c>
      <c r="I64" s="18"/>
      <c r="J64" s="18"/>
      <c r="K64" s="18">
        <f>SUM(K48:K52)</f>
        <v>8687.5300000000007</v>
      </c>
      <c r="L64" s="18"/>
      <c r="M64" s="18">
        <f>SUM(M48:M52)</f>
        <v>0</v>
      </c>
    </row>
    <row r="66" spans="2:9" x14ac:dyDescent="0.25">
      <c r="B66" s="776" t="s">
        <v>113</v>
      </c>
      <c r="C66" s="776" t="s">
        <v>146</v>
      </c>
      <c r="D66" s="777" t="s">
        <v>145</v>
      </c>
      <c r="E66" s="778" t="s">
        <v>147</v>
      </c>
      <c r="F66" s="778" t="s">
        <v>65</v>
      </c>
      <c r="G66" s="779" t="s">
        <v>151</v>
      </c>
      <c r="H66" s="779" t="s">
        <v>88</v>
      </c>
      <c r="I66" s="779" t="s">
        <v>154</v>
      </c>
    </row>
    <row r="67" spans="2:9" x14ac:dyDescent="0.25">
      <c r="B67" s="635">
        <v>42377</v>
      </c>
      <c r="C67" s="634">
        <v>20</v>
      </c>
      <c r="D67" s="636">
        <v>192.9</v>
      </c>
      <c r="E67" s="636">
        <v>191.92</v>
      </c>
      <c r="F67" s="636">
        <f>C67*(E67-D67)</f>
        <v>-19.600000000000364</v>
      </c>
      <c r="G67" s="636">
        <f>D67*C67</f>
        <v>3858</v>
      </c>
      <c r="H67" s="637">
        <f>(E67-D67)/D67</f>
        <v>-5.0803525142561852E-3</v>
      </c>
      <c r="I67" s="636"/>
    </row>
    <row r="68" spans="2:9" x14ac:dyDescent="0.25">
      <c r="B68" s="635">
        <v>42384</v>
      </c>
      <c r="C68" s="634">
        <v>25</v>
      </c>
      <c r="D68" s="636">
        <v>191.678</v>
      </c>
      <c r="E68" s="636">
        <v>187.81</v>
      </c>
      <c r="F68" s="636">
        <f t="shared" ref="F68:F74" si="16">C68*(E68-D68)</f>
        <v>-96.699999999999875</v>
      </c>
      <c r="G68" s="636">
        <f t="shared" ref="G68:G74" si="17">D68*C68</f>
        <v>4791.95</v>
      </c>
      <c r="H68" s="637">
        <f t="shared" ref="H68:H74" si="18">(E68-D68)/D68</f>
        <v>-2.0179676332182071E-2</v>
      </c>
      <c r="I68" s="636"/>
    </row>
    <row r="69" spans="2:9" x14ac:dyDescent="0.25">
      <c r="B69" s="635">
        <v>42398</v>
      </c>
      <c r="C69" s="634">
        <v>5</v>
      </c>
      <c r="D69" s="636">
        <v>189.52</v>
      </c>
      <c r="E69" s="636">
        <v>191.87</v>
      </c>
      <c r="F69" s="636">
        <f t="shared" si="16"/>
        <v>11.749999999999972</v>
      </c>
      <c r="G69" s="636">
        <f t="shared" si="17"/>
        <v>947.6</v>
      </c>
      <c r="H69" s="637">
        <f t="shared" si="18"/>
        <v>1.2399746728577429E-2</v>
      </c>
      <c r="I69" s="636"/>
    </row>
    <row r="70" spans="2:9" x14ac:dyDescent="0.25">
      <c r="B70" s="635">
        <v>42405</v>
      </c>
      <c r="C70" s="634">
        <v>20</v>
      </c>
      <c r="D70" s="636">
        <v>188.23099999999999</v>
      </c>
      <c r="E70" s="636">
        <v>187.8</v>
      </c>
      <c r="F70" s="636">
        <f t="shared" si="16"/>
        <v>-8.6199999999996635</v>
      </c>
      <c r="G70" s="636">
        <f t="shared" si="17"/>
        <v>3764.62</v>
      </c>
      <c r="H70" s="637">
        <f t="shared" si="18"/>
        <v>-2.2897397346876083E-3</v>
      </c>
      <c r="I70" s="636"/>
    </row>
    <row r="71" spans="2:9" x14ac:dyDescent="0.25">
      <c r="B71" s="635">
        <v>42408</v>
      </c>
      <c r="C71" s="634">
        <v>25</v>
      </c>
      <c r="D71" s="636">
        <v>187.29480000000001</v>
      </c>
      <c r="E71" s="636">
        <v>185.42</v>
      </c>
      <c r="F71" s="636">
        <f t="shared" si="16"/>
        <v>-46.870000000000545</v>
      </c>
      <c r="G71" s="636">
        <f t="shared" si="17"/>
        <v>4682.37</v>
      </c>
      <c r="H71" s="637">
        <f t="shared" si="18"/>
        <v>-1.0009888154930204E-2</v>
      </c>
      <c r="I71" s="636"/>
    </row>
    <row r="72" spans="2:9" x14ac:dyDescent="0.25">
      <c r="B72" s="635">
        <v>42416</v>
      </c>
      <c r="C72" s="634">
        <v>15</v>
      </c>
      <c r="D72" s="636">
        <v>185.994</v>
      </c>
      <c r="E72" s="636">
        <v>189.78</v>
      </c>
      <c r="F72" s="636">
        <f t="shared" si="16"/>
        <v>56.79000000000002</v>
      </c>
      <c r="G72" s="636">
        <f t="shared" si="17"/>
        <v>2789.91</v>
      </c>
      <c r="H72" s="637">
        <f t="shared" si="18"/>
        <v>2.0355495338559317E-2</v>
      </c>
      <c r="I72" s="636"/>
    </row>
    <row r="73" spans="2:9" x14ac:dyDescent="0.25">
      <c r="B73" s="635">
        <v>42424</v>
      </c>
      <c r="C73" s="634">
        <v>5</v>
      </c>
      <c r="D73" s="636">
        <v>169.39</v>
      </c>
      <c r="E73" s="636">
        <v>193.2</v>
      </c>
      <c r="F73" s="636">
        <f t="shared" si="16"/>
        <v>119.05000000000001</v>
      </c>
      <c r="G73" s="636">
        <f t="shared" si="17"/>
        <v>846.94999999999993</v>
      </c>
      <c r="H73" s="637">
        <f t="shared" si="18"/>
        <v>0.1405631973552158</v>
      </c>
      <c r="I73" s="636"/>
    </row>
    <row r="74" spans="2:9" x14ac:dyDescent="0.25">
      <c r="B74" s="635">
        <v>42431</v>
      </c>
      <c r="C74" s="634">
        <v>5</v>
      </c>
      <c r="D74" s="636">
        <v>169.39</v>
      </c>
      <c r="E74" s="636">
        <v>199</v>
      </c>
      <c r="F74" s="636">
        <f t="shared" si="16"/>
        <v>148.05000000000007</v>
      </c>
      <c r="G74" s="636">
        <f t="shared" si="17"/>
        <v>846.94999999999993</v>
      </c>
      <c r="H74" s="637">
        <f t="shared" si="18"/>
        <v>0.17480370742074511</v>
      </c>
      <c r="I74" s="636"/>
    </row>
    <row r="75" spans="2:9" x14ac:dyDescent="0.25">
      <c r="B75" s="635">
        <v>42440</v>
      </c>
      <c r="C75" s="634">
        <v>0</v>
      </c>
      <c r="D75" s="636"/>
      <c r="E75" s="636"/>
      <c r="F75" s="636">
        <v>160.83000000000001</v>
      </c>
      <c r="G75" s="636"/>
      <c r="H75" s="637"/>
      <c r="I75" s="636"/>
    </row>
    <row r="76" spans="2:9" x14ac:dyDescent="0.25">
      <c r="B76" s="635"/>
      <c r="C76" s="634"/>
      <c r="D76" s="636"/>
      <c r="E76" s="636"/>
      <c r="F76" s="636"/>
      <c r="G76" s="636"/>
      <c r="H76" s="637"/>
      <c r="I76" s="636"/>
    </row>
    <row r="77" spans="2:9" x14ac:dyDescent="0.25">
      <c r="B77" s="635"/>
      <c r="C77" s="634"/>
      <c r="D77" s="636"/>
      <c r="E77" s="636"/>
      <c r="F77" s="636"/>
      <c r="G77" s="636"/>
      <c r="H77" s="637"/>
      <c r="I77" s="636"/>
    </row>
    <row r="78" spans="2:9" x14ac:dyDescent="0.25">
      <c r="B78" s="635"/>
      <c r="C78" s="634"/>
      <c r="D78" s="636"/>
      <c r="E78" s="636"/>
      <c r="F78" s="636"/>
      <c r="G78" s="636"/>
      <c r="H78" s="637"/>
      <c r="I78" s="636"/>
    </row>
    <row r="79" spans="2:9" x14ac:dyDescent="0.25">
      <c r="B79" s="635"/>
      <c r="C79" s="634"/>
      <c r="D79" s="636"/>
      <c r="E79" s="636"/>
      <c r="F79" s="636"/>
      <c r="G79" s="636"/>
      <c r="H79" s="637"/>
      <c r="I79" s="636"/>
    </row>
    <row r="80" spans="2:9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</sheetData>
  <mergeCells count="1">
    <mergeCell ref="P17:Q17"/>
  </mergeCells>
  <conditionalFormatting sqref="H43:H45 F43:F45 F25:F33 H25:H33 J27:J38 J42:J43">
    <cfRule type="expression" dxfId="725" priority="45">
      <formula>F25&gt;0</formula>
    </cfRule>
    <cfRule type="expression" dxfId="724" priority="46">
      <formula>F25&lt;0</formula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23" priority="33">
      <formula>F21&gt;0</formula>
    </cfRule>
    <cfRule type="expression" dxfId="722" priority="34">
      <formula>F21&lt;0</formula>
    </cfRule>
  </conditionalFormatting>
  <conditionalFormatting sqref="H21:H24">
    <cfRule type="expression" dxfId="721" priority="31">
      <formula>H21&gt;0</formula>
    </cfRule>
    <cfRule type="expression" dxfId="720" priority="32">
      <formula>H21&lt;0</formula>
    </cfRule>
  </conditionalFormatting>
  <conditionalFormatting sqref="Q8">
    <cfRule type="expression" dxfId="719" priority="27">
      <formula>Q8&gt;0</formula>
    </cfRule>
    <cfRule type="expression" dxfId="718" priority="28">
      <formula>Q8&lt;0</formula>
    </cfRule>
  </conditionalFormatting>
  <conditionalFormatting sqref="Q7">
    <cfRule type="expression" dxfId="717" priority="29">
      <formula>Q7&gt;0</formula>
    </cfRule>
    <cfRule type="expression" dxfId="716" priority="30">
      <formula>Q7&lt;0</formula>
    </cfRule>
  </conditionalFormatting>
  <conditionalFormatting sqref="F71:F73">
    <cfRule type="expression" dxfId="715" priority="25">
      <formula>F71&gt;0</formula>
    </cfRule>
    <cfRule type="expression" dxfId="714" priority="26">
      <formula>F71&lt;0</formula>
    </cfRule>
  </conditionalFormatting>
  <conditionalFormatting sqref="F74:F81">
    <cfRule type="expression" dxfId="713" priority="21">
      <formula>F74&gt;0</formula>
    </cfRule>
    <cfRule type="expression" dxfId="712" priority="22">
      <formula>F74&lt;0</formula>
    </cfRule>
  </conditionalFormatting>
  <conditionalFormatting sqref="F74:F81">
    <cfRule type="expression" dxfId="711" priority="23">
      <formula>F74&gt;0</formula>
    </cfRule>
    <cfRule type="expression" dxfId="710" priority="24">
      <formula>F74&lt;0</formula>
    </cfRule>
  </conditionalFormatting>
  <conditionalFormatting sqref="H71:H81">
    <cfRule type="expression" dxfId="709" priority="19">
      <formula>H71&gt;0</formula>
    </cfRule>
    <cfRule type="expression" dxfId="708" priority="20">
      <formula>H71&lt;0</formula>
    </cfRule>
  </conditionalFormatting>
  <conditionalFormatting sqref="F67:F70">
    <cfRule type="expression" dxfId="707" priority="17">
      <formula>F67&gt;0</formula>
    </cfRule>
    <cfRule type="expression" dxfId="706" priority="18">
      <formula>F67&lt;0</formula>
    </cfRule>
  </conditionalFormatting>
  <conditionalFormatting sqref="H67:H70">
    <cfRule type="expression" dxfId="705" priority="15">
      <formula>H67&gt;0</formula>
    </cfRule>
    <cfRule type="expression" dxfId="704" priority="16">
      <formula>H67&lt;0</formula>
    </cfRule>
  </conditionalFormatting>
  <conditionalFormatting sqref="Q10">
    <cfRule type="expression" dxfId="703" priority="13">
      <formula>Q10&gt;0</formula>
    </cfRule>
    <cfRule type="expression" dxfId="702" priority="14">
      <formula>Q10&lt;0</formula>
    </cfRule>
  </conditionalFormatting>
  <conditionalFormatting sqref="H42 F42">
    <cfRule type="expression" dxfId="701" priority="9">
      <formula>F42&gt;0</formula>
    </cfRule>
    <cfRule type="expression" dxfId="700" priority="10">
      <formula>F42&lt;0</formula>
    </cfRule>
  </conditionalFormatting>
  <conditionalFormatting sqref="H36:H38 F36:F38">
    <cfRule type="expression" dxfId="699" priority="7">
      <formula>F36&gt;0</formula>
    </cfRule>
    <cfRule type="expression" dxfId="698" priority="8">
      <formula>F36&lt;0</formula>
    </cfRule>
  </conditionalFormatting>
  <conditionalFormatting sqref="H34:H35 F34:F35">
    <cfRule type="expression" dxfId="697" priority="5">
      <formula>F34&gt;0</formula>
    </cfRule>
    <cfRule type="expression" dxfId="696" priority="6">
      <formula>F34&lt;0</formula>
    </cfRule>
  </conditionalFormatting>
  <conditionalFormatting sqref="H40:H41 F40:F41 J39:J40">
    <cfRule type="expression" dxfId="695" priority="3">
      <formula>F39&gt;0</formula>
    </cfRule>
    <cfRule type="expression" dxfId="694" priority="4">
      <formula>F39&lt;0</formula>
    </cfRule>
  </conditionalFormatting>
  <conditionalFormatting sqref="H39 F39">
    <cfRule type="expression" dxfId="693" priority="1">
      <formula>F39&gt;0</formula>
    </cfRule>
    <cfRule type="expression" dxfId="692" priority="2">
      <formula>F39&lt;0</formula>
    </cfRule>
  </conditionalFormatting>
  <hyperlinks>
    <hyperlink ref="A3" location="ACTIVE!A1" display="Back"/>
    <hyperlink ref="A49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99.81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99.81</v>
      </c>
      <c r="R4" s="475">
        <v>8.8000000000000005E-3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246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109.79100000000001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108.79290000000002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107.79480000000001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106.79670000000002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105.79860000000001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104.80050000000001</v>
      </c>
      <c r="R42" s="81"/>
      <c r="T42" s="85" t="s">
        <v>99</v>
      </c>
      <c r="U42" s="127" t="s">
        <v>617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103.80240000000001</v>
      </c>
      <c r="R43" s="81"/>
      <c r="T43" s="85" t="s">
        <v>100</v>
      </c>
      <c r="U43" s="127" t="s">
        <v>618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102.80430000000001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101.8062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100.80810000000001</v>
      </c>
      <c r="R46" s="81"/>
      <c r="T46" s="85" t="s">
        <v>121</v>
      </c>
      <c r="U46" s="92" t="s">
        <v>370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99.81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98.811899999999994</v>
      </c>
      <c r="R48" s="81"/>
      <c r="T48" s="85" t="s">
        <v>104</v>
      </c>
      <c r="U48" s="127" t="s">
        <v>619</v>
      </c>
      <c r="W48" s="92">
        <v>42766</v>
      </c>
      <c r="X48" s="10" t="s">
        <v>312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97.813800000000001</v>
      </c>
      <c r="R49" s="81"/>
      <c r="T49" s="85" t="s">
        <v>105</v>
      </c>
      <c r="U49" s="127" t="s">
        <v>620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96.815699999999993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95.817599999999999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94.819499999999991</v>
      </c>
      <c r="R52" s="81"/>
      <c r="T52" s="85" t="s">
        <v>107</v>
      </c>
      <c r="U52" s="127" t="s">
        <v>621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93.821399999999997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92.823300000000003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91.825200000000009</v>
      </c>
      <c r="R55" s="81"/>
      <c r="T55" s="85" t="s">
        <v>108</v>
      </c>
      <c r="U55" s="127" t="s">
        <v>533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90.827100000000002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89.829000000000008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91" priority="29">
      <formula>F40&gt;0</formula>
    </cfRule>
    <cfRule type="expression" dxfId="690" priority="30">
      <formula>F40&lt;0</formula>
    </cfRule>
  </conditionalFormatting>
  <conditionalFormatting sqref="F40:F45">
    <cfRule type="expression" dxfId="689" priority="31">
      <formula>F40&gt;0</formula>
    </cfRule>
    <cfRule type="expression" dxfId="688" priority="32">
      <formula>F40&lt;0</formula>
    </cfRule>
  </conditionalFormatting>
  <conditionalFormatting sqref="H40:H45">
    <cfRule type="expression" dxfId="687" priority="27">
      <formula>H40&gt;0</formula>
    </cfRule>
    <cfRule type="expression" dxfId="686" priority="28">
      <formula>H40&lt;0</formula>
    </cfRule>
  </conditionalFormatting>
  <conditionalFormatting sqref="F23:F39">
    <cfRule type="expression" dxfId="685" priority="13">
      <formula>F23&gt;0</formula>
    </cfRule>
    <cfRule type="expression" dxfId="684" priority="14">
      <formula>F23&lt;0</formula>
    </cfRule>
  </conditionalFormatting>
  <conditionalFormatting sqref="H23:H39">
    <cfRule type="expression" dxfId="683" priority="11">
      <formula>H23&gt;0</formula>
    </cfRule>
    <cfRule type="expression" dxfId="682" priority="12">
      <formula>H23&lt;0</formula>
    </cfRule>
  </conditionalFormatting>
  <conditionalFormatting sqref="Q7">
    <cfRule type="expression" dxfId="681" priority="9">
      <formula>Q7&gt;0</formula>
    </cfRule>
    <cfRule type="expression" dxfId="680" priority="10">
      <formula>Q7&lt;0</formula>
    </cfRule>
  </conditionalFormatting>
  <conditionalFormatting sqref="Q8">
    <cfRule type="expression" dxfId="679" priority="7">
      <formula>Q8&gt;0</formula>
    </cfRule>
    <cfRule type="expression" dxfId="678" priority="8">
      <formula>Q8&lt;0</formula>
    </cfRule>
  </conditionalFormatting>
  <conditionalFormatting sqref="Q10">
    <cfRule type="expression" dxfId="677" priority="1">
      <formula>Q10&gt;0</formula>
    </cfRule>
    <cfRule type="expression" dxfId="67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83.35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83.35</v>
      </c>
      <c r="R4" s="475">
        <v>9.4999999999999998E-3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479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91.685000000000002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90.851500000000001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90.018000000000001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89.1845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88.350999999999999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87.517499999999998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86.683999999999997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85.850499999999997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85.016999999999996</v>
      </c>
      <c r="Q51" s="2"/>
      <c r="T51" s="106" t="s">
        <v>104</v>
      </c>
      <c r="U51" s="104" t="s">
        <v>622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84.183499999999995</v>
      </c>
      <c r="Q52" s="2"/>
      <c r="T52" s="106" t="s">
        <v>105</v>
      </c>
      <c r="U52" s="104" t="s">
        <v>623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83.35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82.516499999999994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81.682999999999993</v>
      </c>
      <c r="T55" s="106" t="s">
        <v>107</v>
      </c>
      <c r="U55" s="104" t="s">
        <v>624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80.849499999999992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80.015999999999991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79.18249999999999</v>
      </c>
      <c r="T58" s="106" t="s">
        <v>108</v>
      </c>
      <c r="U58" s="104" t="s">
        <v>519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78.34899999999999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77.515500000000003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76.682000000000002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75.848500000000001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75.015000000000001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75" priority="39">
      <formula>Q12&gt;0</formula>
    </cfRule>
    <cfRule type="expression" dxfId="67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73" priority="33">
      <formula>F25&gt;0</formula>
    </cfRule>
    <cfRule type="expression" dxfId="672" priority="34">
      <formula>F25&lt;0</formula>
    </cfRule>
  </conditionalFormatting>
  <conditionalFormatting sqref="F30">
    <cfRule type="expression" dxfId="671" priority="31">
      <formula>F30&gt;0</formula>
    </cfRule>
    <cfRule type="expression" dxfId="670" priority="32">
      <formula>F30&lt;0</formula>
    </cfRule>
  </conditionalFormatting>
  <conditionalFormatting sqref="F31">
    <cfRule type="expression" dxfId="669" priority="29">
      <formula>F31&gt;0</formula>
    </cfRule>
    <cfRule type="expression" dxfId="668" priority="30">
      <formula>F31&lt;0</formula>
    </cfRule>
  </conditionalFormatting>
  <conditionalFormatting sqref="F32:F34">
    <cfRule type="expression" dxfId="667" priority="27">
      <formula>F32&gt;0</formula>
    </cfRule>
    <cfRule type="expression" dxfId="666" priority="28">
      <formula>F32&lt;0</formula>
    </cfRule>
  </conditionalFormatting>
  <conditionalFormatting sqref="H25:H29">
    <cfRule type="expression" dxfId="665" priority="25">
      <formula>H25&gt;0</formula>
    </cfRule>
    <cfRule type="expression" dxfId="664" priority="26">
      <formula>H25&lt;0</formula>
    </cfRule>
  </conditionalFormatting>
  <conditionalFormatting sqref="H30">
    <cfRule type="expression" dxfId="663" priority="23">
      <formula>H30&gt;0</formula>
    </cfRule>
    <cfRule type="expression" dxfId="662" priority="24">
      <formula>H30&lt;0</formula>
    </cfRule>
  </conditionalFormatting>
  <conditionalFormatting sqref="H31">
    <cfRule type="expression" dxfId="661" priority="21">
      <formula>H31&gt;0</formula>
    </cfRule>
    <cfRule type="expression" dxfId="660" priority="22">
      <formula>H31&lt;0</formula>
    </cfRule>
  </conditionalFormatting>
  <conditionalFormatting sqref="H32:H34">
    <cfRule type="expression" dxfId="659" priority="19">
      <formula>H32&gt;0</formula>
    </cfRule>
    <cfRule type="expression" dxfId="658" priority="20">
      <formula>H32&lt;0</formula>
    </cfRule>
  </conditionalFormatting>
  <conditionalFormatting sqref="F35">
    <cfRule type="expression" dxfId="657" priority="17">
      <formula>F35&gt;0</formula>
    </cfRule>
    <cfRule type="expression" dxfId="656" priority="18">
      <formula>F35&lt;0</formula>
    </cfRule>
  </conditionalFormatting>
  <conditionalFormatting sqref="H35">
    <cfRule type="expression" dxfId="655" priority="15">
      <formula>H35&gt;0</formula>
    </cfRule>
    <cfRule type="expression" dxfId="654" priority="16">
      <formula>H35&lt;0</formula>
    </cfRule>
  </conditionalFormatting>
  <conditionalFormatting sqref="F36">
    <cfRule type="expression" dxfId="653" priority="13">
      <formula>F36&gt;0</formula>
    </cfRule>
    <cfRule type="expression" dxfId="652" priority="14">
      <formula>F36&lt;0</formula>
    </cfRule>
  </conditionalFormatting>
  <conditionalFormatting sqref="H36">
    <cfRule type="expression" dxfId="651" priority="11">
      <formula>H36&gt;0</formula>
    </cfRule>
    <cfRule type="expression" dxfId="650" priority="12">
      <formula>H36&lt;0</formula>
    </cfRule>
  </conditionalFormatting>
  <conditionalFormatting sqref="H23:H24">
    <cfRule type="expression" dxfId="649" priority="5">
      <formula>H23&gt;0</formula>
    </cfRule>
    <cfRule type="expression" dxfId="648" priority="6">
      <formula>H23&lt;0</formula>
    </cfRule>
  </conditionalFormatting>
  <conditionalFormatting sqref="F23:F24">
    <cfRule type="expression" dxfId="647" priority="7">
      <formula>F23&gt;0</formula>
    </cfRule>
    <cfRule type="expression" dxfId="646" priority="8">
      <formula>F23&lt;0</formula>
    </cfRule>
  </conditionalFormatting>
  <conditionalFormatting sqref="Q7">
    <cfRule type="expression" dxfId="645" priority="3">
      <formula>Q7&gt;0</formula>
    </cfRule>
    <cfRule type="expression" dxfId="644" priority="4">
      <formula>Q7&lt;0</formula>
    </cfRule>
  </conditionalFormatting>
  <conditionalFormatting sqref="Q8">
    <cfRule type="expression" dxfId="643" priority="1">
      <formula>Q8&gt;0</formula>
    </cfRule>
    <cfRule type="expression" dxfId="6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9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8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250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52.084920000000011</v>
      </c>
      <c r="T3" s="118"/>
      <c r="W3" s="2"/>
      <c r="X3" s="134"/>
      <c r="AG3" s="225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>H4*I4-J4</f>
        <v>4437.72</v>
      </c>
      <c r="L4" s="72">
        <v>43252</v>
      </c>
      <c r="M4" s="43">
        <v>78</v>
      </c>
      <c r="O4" s="11" t="s">
        <v>66</v>
      </c>
      <c r="Q4" s="54">
        <v>55.51</v>
      </c>
      <c r="R4" s="475">
        <v>-3.0999999999999999E-3</v>
      </c>
      <c r="T4" s="819">
        <v>43203</v>
      </c>
      <c r="U4" t="s">
        <v>1002</v>
      </c>
      <c r="W4" s="2"/>
      <c r="X4" s="134"/>
      <c r="AD4" s="225"/>
      <c r="AG4" s="225"/>
    </row>
    <row r="5" spans="1:33" x14ac:dyDescent="0.25">
      <c r="B5" s="434">
        <v>43181</v>
      </c>
      <c r="C5" s="4">
        <v>80</v>
      </c>
      <c r="D5" s="3">
        <v>53</v>
      </c>
      <c r="E5" s="3">
        <v>0</v>
      </c>
      <c r="F5" s="3">
        <f t="shared" si="0"/>
        <v>4240</v>
      </c>
      <c r="G5" s="72"/>
      <c r="H5" s="374"/>
      <c r="I5" s="73"/>
      <c r="J5" s="73"/>
      <c r="K5" s="3"/>
      <c r="L5" s="4"/>
      <c r="M5" s="4"/>
      <c r="O5" s="11" t="s">
        <v>67</v>
      </c>
      <c r="Q5" s="3">
        <f>Q4*Q2</f>
        <v>13877.5</v>
      </c>
      <c r="U5" t="s">
        <v>1004</v>
      </c>
      <c r="W5" s="2"/>
      <c r="X5" s="134"/>
      <c r="AD5" s="225"/>
      <c r="AG5" s="225"/>
    </row>
    <row r="6" spans="1:33" x14ac:dyDescent="0.25">
      <c r="B6" s="474">
        <v>43237</v>
      </c>
      <c r="C6" s="7">
        <v>80</v>
      </c>
      <c r="D6" s="43">
        <v>54.05</v>
      </c>
      <c r="E6" s="43">
        <v>0</v>
      </c>
      <c r="F6" s="43">
        <f t="shared" si="0"/>
        <v>4324</v>
      </c>
      <c r="G6" s="72"/>
      <c r="H6" s="176"/>
      <c r="I6" s="3"/>
      <c r="J6" s="3"/>
      <c r="K6" s="73"/>
      <c r="L6" s="4"/>
      <c r="M6" s="4"/>
      <c r="O6" s="11" t="s">
        <v>64</v>
      </c>
      <c r="Q6" s="2">
        <f>Q3*Q2</f>
        <v>13021.230000000003</v>
      </c>
      <c r="W6" s="2"/>
      <c r="X6" s="134"/>
    </row>
    <row r="7" spans="1:33" x14ac:dyDescent="0.25">
      <c r="B7" s="474">
        <v>43244</v>
      </c>
      <c r="C7" s="4">
        <v>80</v>
      </c>
      <c r="D7" s="3">
        <v>54.48</v>
      </c>
      <c r="E7" s="3">
        <v>0</v>
      </c>
      <c r="F7" s="3">
        <f t="shared" si="0"/>
        <v>4358.3999999999996</v>
      </c>
      <c r="G7" s="72"/>
      <c r="H7" s="176"/>
      <c r="I7" s="3"/>
      <c r="J7" s="3"/>
      <c r="K7" s="73"/>
      <c r="L7" s="4"/>
      <c r="M7" s="4"/>
      <c r="O7" s="11" t="s">
        <v>178</v>
      </c>
      <c r="P7"/>
      <c r="Q7" s="2">
        <f>Q10+Q8</f>
        <v>2460.8499999999985</v>
      </c>
      <c r="R7">
        <v>40</v>
      </c>
      <c r="T7" s="83">
        <v>43237</v>
      </c>
      <c r="U7" t="s">
        <v>1088</v>
      </c>
      <c r="W7" s="2"/>
      <c r="X7" s="134"/>
      <c r="AD7" s="225"/>
      <c r="AG7" s="225"/>
    </row>
    <row r="8" spans="1:33" x14ac:dyDescent="0.25">
      <c r="B8" s="474">
        <v>43249</v>
      </c>
      <c r="C8" s="4">
        <v>50</v>
      </c>
      <c r="D8" s="2">
        <v>53.08</v>
      </c>
      <c r="E8" s="2">
        <v>0</v>
      </c>
      <c r="F8" s="2">
        <f t="shared" si="0"/>
        <v>2654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856.2699999999968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P9"/>
      <c r="Q9" s="134">
        <f>IF(Q2=0, 0, Q8/Q6)</f>
        <v>6.5759532701595513E-2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Q10" s="2">
        <f>M57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2.8103044496487123E-2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948</v>
      </c>
      <c r="Q12" s="1" t="s">
        <v>1128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975</v>
      </c>
      <c r="Q13" s="2">
        <f>Q4/4.52</f>
        <v>12.280973451327434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8" t="s">
        <v>78</v>
      </c>
      <c r="Q16" s="818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61.061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450</v>
      </c>
      <c r="D18" s="18"/>
      <c r="E18" s="18"/>
      <c r="F18" s="18">
        <f>SUM(F2:F17)</f>
        <v>24280.400000000001</v>
      </c>
      <c r="G18" s="14"/>
      <c r="H18" s="71">
        <f>SUM(H2:H17)</f>
        <v>200</v>
      </c>
      <c r="I18" s="18"/>
      <c r="J18" s="18"/>
      <c r="K18" s="18">
        <f>SUM(K2:K17)</f>
        <v>11103.169999999998</v>
      </c>
      <c r="L18" s="18"/>
      <c r="M18" s="18">
        <f>SUM(M2:M17)</f>
        <v>156</v>
      </c>
      <c r="P18" s="81">
        <v>1.0900000000000001</v>
      </c>
      <c r="Q18" s="81">
        <f t="shared" ref="Q18:Q37" si="1">P18*$Q$4</f>
        <v>60.505900000000004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10716</v>
      </c>
      <c r="G19" s="343"/>
      <c r="H19" s="343">
        <f>SumByColor($A$19,H2:H17)</f>
        <v>200</v>
      </c>
      <c r="I19" s="343"/>
      <c r="J19" s="343"/>
      <c r="K19" s="344">
        <f>SumByColor($A$19,K2:K17)</f>
        <v>11103</v>
      </c>
      <c r="L19" s="343"/>
      <c r="M19" s="344">
        <f>SumByColor($A$19,M2:M17)</f>
        <v>156</v>
      </c>
      <c r="P19" s="81">
        <v>1.08</v>
      </c>
      <c r="Q19" s="81">
        <f t="shared" si="1"/>
        <v>59.950800000000001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1"/>
        <v>59.395699999999998</v>
      </c>
      <c r="W20" s="2"/>
      <c r="X20" s="134"/>
    </row>
    <row r="21" spans="1:33" x14ac:dyDescent="0.25">
      <c r="P21" s="81">
        <v>1.06</v>
      </c>
      <c r="Q21" s="81">
        <f t="shared" si="1"/>
        <v>58.840600000000002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1"/>
        <v>58.285499999999999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498</v>
      </c>
      <c r="L23" s="220" t="s">
        <v>975</v>
      </c>
      <c r="M23" s="10"/>
      <c r="P23" s="81">
        <v>1.04</v>
      </c>
      <c r="Q23" s="81">
        <f t="shared" si="1"/>
        <v>57.730400000000003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2">
        <f t="shared" ref="H24" si="4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1"/>
        <v>57.1753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2">
        <f t="shared" ref="H25" si="7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1"/>
        <v>56.620199999999997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2">
        <f t="shared" ref="H26" si="10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1"/>
        <v>56.065100000000001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2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1"/>
        <v>55.51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2">
        <f t="shared" ref="H28" si="16">(E28-D28)/D28</f>
        <v>0.10901498946238426</v>
      </c>
      <c r="I28" s="39" t="s">
        <v>771</v>
      </c>
      <c r="J28" s="39">
        <v>2047</v>
      </c>
      <c r="K28" s="39"/>
      <c r="L28" s="10"/>
      <c r="M28" s="10"/>
      <c r="P28" s="81">
        <v>0.99</v>
      </c>
      <c r="Q28" s="81">
        <f t="shared" si="1"/>
        <v>54.954899999999995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2">
        <f t="shared" ref="H29" si="19">(E29-D29)/D29</f>
        <v>0.22425782822502341</v>
      </c>
      <c r="I29" s="39" t="s">
        <v>856</v>
      </c>
      <c r="J29" s="39">
        <v>2514</v>
      </c>
      <c r="K29" s="39"/>
      <c r="L29" s="10"/>
      <c r="M29" s="10"/>
      <c r="P29" s="81">
        <v>0.98</v>
      </c>
      <c r="Q29" s="81">
        <f t="shared" si="1"/>
        <v>54.399799999999999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2">
        <f t="shared" ref="H30" si="22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1"/>
        <v>53.844699999999996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2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1"/>
        <v>53.289599999999993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2">
        <f t="shared" ref="H32" si="28">(E32-D32)/D32</f>
        <v>5.0956620572078004E-2</v>
      </c>
      <c r="I32" s="193" t="s">
        <v>964</v>
      </c>
      <c r="J32" s="39">
        <v>1927</v>
      </c>
      <c r="K32" s="39"/>
      <c r="L32" s="10"/>
      <c r="M32" s="10"/>
      <c r="P32" s="81">
        <v>0.95</v>
      </c>
      <c r="Q32" s="81">
        <f t="shared" si="1"/>
        <v>52.734499999999997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2">
        <f t="shared" ref="H33" si="31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1"/>
        <v>52.179399999999994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2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1"/>
        <v>51.624299999999998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2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1"/>
        <v>51.069200000000002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38">C36*(E36-D36)</f>
        <v>-128.00000000000011</v>
      </c>
      <c r="G36" s="39">
        <f t="shared" ref="G36" si="39">D36*C36</f>
        <v>10574</v>
      </c>
      <c r="H36" s="222">
        <f t="shared" ref="H36" si="40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1"/>
        <v>50.514099999999999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1">C37*(E37-D37)</f>
        <v>-396.8599999999995</v>
      </c>
      <c r="G37" s="39">
        <f t="shared" ref="G37" si="42">D37*C37</f>
        <v>10574.859999999999</v>
      </c>
      <c r="H37" s="222">
        <f t="shared" ref="H37" si="43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1"/>
        <v>49.958999999999996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4">C38*(E38-D38)</f>
        <v>-86.86000000000007</v>
      </c>
      <c r="G38" s="39">
        <f t="shared" ref="G38" si="45">D38*C38</f>
        <v>10574.859999999999</v>
      </c>
      <c r="H38" s="222">
        <f t="shared" ref="H38" si="46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ref="F39" si="47">C39*(E39-D39)</f>
        <v>357.44399999999956</v>
      </c>
      <c r="G39" s="39">
        <f t="shared" ref="G39" si="48">D39*C39</f>
        <v>6200.5560000000005</v>
      </c>
      <c r="H39" s="222">
        <f t="shared" ref="H39" si="49">(E39-D39)/D39</f>
        <v>5.7647088422393016E-2</v>
      </c>
      <c r="I39" s="840" t="s">
        <v>1086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" si="50">C40*(E40-D40)</f>
        <v>319.44000000000017</v>
      </c>
      <c r="G40" s="39">
        <f t="shared" ref="G40" si="51">D40*C40</f>
        <v>10524.56</v>
      </c>
      <c r="H40" s="222">
        <f t="shared" ref="H40" si="52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ref="F41" si="53">C41*(E41-D41)</f>
        <v>544.36800000000005</v>
      </c>
      <c r="G41" s="39">
        <f t="shared" ref="G41" si="54">D41*C41</f>
        <v>6086.8319999999994</v>
      </c>
      <c r="H41" s="222">
        <f t="shared" ref="H41" si="55">(E41-D41)/D41</f>
        <v>8.9433715272575307E-2</v>
      </c>
      <c r="I41" s="840" t="s">
        <v>1099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ref="F42" si="56">C42*(E42-D42)</f>
        <v>488.76000000000062</v>
      </c>
      <c r="G42" s="39">
        <f t="shared" ref="G42" si="57">D42*C42</f>
        <v>10445.24</v>
      </c>
      <c r="H42" s="222">
        <f t="shared" ref="H42" si="58">(E42-D42)/D42</f>
        <v>4.6792606010010361E-2</v>
      </c>
      <c r="I42" s="840" t="s">
        <v>1103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ref="F43" si="59">C43*(E43-D43)</f>
        <v>138.27500000000015</v>
      </c>
      <c r="G43" s="39">
        <f t="shared" ref="G43" si="60">D43*C43</f>
        <v>13099.225</v>
      </c>
      <c r="H43" s="222">
        <f t="shared" ref="H43" si="61">(E43-D43)/D43</f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ref="F44" si="62">C44*(E44-D44)</f>
        <v>651.27500000000009</v>
      </c>
      <c r="G44" s="39">
        <f t="shared" ref="G44" si="63">D44*C44</f>
        <v>13021.224999999999</v>
      </c>
      <c r="H44" s="222">
        <f t="shared" ref="H44" si="64">(E44-D44)/D44</f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A48" s="10"/>
      <c r="B48" s="10"/>
      <c r="C48" s="10"/>
      <c r="D48" s="39"/>
      <c r="E48" s="39"/>
      <c r="F48" s="39"/>
      <c r="G48" s="10"/>
      <c r="H48" s="10"/>
      <c r="I48" s="39"/>
      <c r="J48" s="39"/>
      <c r="K48" s="39"/>
      <c r="L48" s="10"/>
      <c r="M48" s="10"/>
      <c r="O48" s="2"/>
      <c r="R48" s="81"/>
      <c r="X48" s="134"/>
    </row>
    <row r="49" spans="1:24" x14ac:dyDescent="0.25">
      <c r="A49" s="10"/>
      <c r="B49" s="10"/>
      <c r="C49" s="10"/>
      <c r="D49" s="39"/>
      <c r="E49" s="39"/>
      <c r="F49" s="39"/>
      <c r="G49" s="10"/>
      <c r="H49" s="10"/>
      <c r="I49" s="39"/>
      <c r="J49" s="39"/>
      <c r="K49" s="39"/>
      <c r="L49" s="10"/>
      <c r="M49" s="10"/>
      <c r="R49" s="81"/>
      <c r="X49" s="134"/>
    </row>
    <row r="50" spans="1:24" x14ac:dyDescent="0.25">
      <c r="A50" s="10"/>
      <c r="B50" s="10"/>
      <c r="C50" s="10"/>
      <c r="D50" s="39"/>
      <c r="E50" s="39"/>
      <c r="F50" s="39"/>
      <c r="G50" s="10"/>
      <c r="H50" s="10"/>
      <c r="I50" s="39"/>
      <c r="J50" s="39"/>
      <c r="K50" s="39"/>
      <c r="L50" s="10"/>
      <c r="M50" s="10"/>
      <c r="R50" s="81"/>
      <c r="X50" s="134"/>
    </row>
    <row r="51" spans="1:24" x14ac:dyDescent="0.25">
      <c r="A51" s="10"/>
      <c r="B51" s="10"/>
      <c r="C51" s="10"/>
      <c r="D51" s="39"/>
      <c r="E51" s="39"/>
      <c r="F51" s="39"/>
      <c r="G51" s="10"/>
      <c r="H51" s="10"/>
      <c r="I51" s="39"/>
      <c r="J51" s="39"/>
      <c r="K51" s="39"/>
      <c r="L51" s="10"/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R55" s="81"/>
      <c r="X55" s="134"/>
    </row>
    <row r="56" spans="1:24" x14ac:dyDescent="0.25">
      <c r="O56" s="2"/>
      <c r="R56" s="81"/>
      <c r="X56" s="134"/>
    </row>
    <row r="57" spans="1:24" x14ac:dyDescent="0.25">
      <c r="L57" t="s">
        <v>65</v>
      </c>
      <c r="M57" s="39">
        <f>M98+K98-F98</f>
        <v>1604.5800000000017</v>
      </c>
      <c r="O57" s="2"/>
      <c r="R57" s="81"/>
      <c r="X57" s="134"/>
    </row>
    <row r="58" spans="1:24" x14ac:dyDescent="0.25">
      <c r="A58" s="252" t="s">
        <v>1</v>
      </c>
      <c r="B58" s="252" t="s">
        <v>2</v>
      </c>
      <c r="C58" s="252" t="s">
        <v>4</v>
      </c>
      <c r="D58" s="253" t="s">
        <v>5</v>
      </c>
      <c r="E58" s="253" t="s">
        <v>90</v>
      </c>
      <c r="F58" s="253" t="s">
        <v>60</v>
      </c>
      <c r="G58" s="252" t="s">
        <v>3</v>
      </c>
      <c r="H58" s="252" t="s">
        <v>6</v>
      </c>
      <c r="I58" s="253" t="s">
        <v>7</v>
      </c>
      <c r="J58" s="253" t="s">
        <v>89</v>
      </c>
      <c r="K58" s="253" t="s">
        <v>61</v>
      </c>
      <c r="L58" s="252" t="s">
        <v>77</v>
      </c>
      <c r="M58" s="252" t="s">
        <v>38</v>
      </c>
      <c r="O58" s="2"/>
      <c r="R58" s="81"/>
      <c r="X58" s="134"/>
    </row>
    <row r="59" spans="1:24" x14ac:dyDescent="0.25">
      <c r="A59" s="254" t="s">
        <v>173</v>
      </c>
      <c r="B59" s="255">
        <v>42376</v>
      </c>
      <c r="C59" s="250">
        <v>40</v>
      </c>
      <c r="D59" s="251">
        <v>50.5</v>
      </c>
      <c r="E59" s="251">
        <v>0</v>
      </c>
      <c r="F59" s="251">
        <f t="shared" ref="F59:F67" si="65">C59*D59+E59</f>
        <v>2020</v>
      </c>
      <c r="G59" s="250"/>
      <c r="H59" s="250"/>
      <c r="I59" s="251"/>
      <c r="J59" s="251"/>
      <c r="K59" s="251"/>
      <c r="L59" s="255">
        <v>42430</v>
      </c>
      <c r="M59" s="251">
        <v>15</v>
      </c>
      <c r="O59" s="2"/>
      <c r="R59" s="81"/>
      <c r="X59" s="134"/>
    </row>
    <row r="60" spans="1:24" x14ac:dyDescent="0.25">
      <c r="A60" s="257" t="s">
        <v>71</v>
      </c>
      <c r="B60" s="255">
        <v>42466</v>
      </c>
      <c r="C60" s="250">
        <v>40</v>
      </c>
      <c r="D60" s="251">
        <v>47.38</v>
      </c>
      <c r="E60" s="251">
        <v>0</v>
      </c>
      <c r="F60" s="251">
        <f t="shared" si="65"/>
        <v>1895.2</v>
      </c>
      <c r="G60" s="255">
        <v>42473</v>
      </c>
      <c r="H60" s="256">
        <v>40</v>
      </c>
      <c r="I60" s="251">
        <v>48.91</v>
      </c>
      <c r="J60" s="251">
        <v>0.04</v>
      </c>
      <c r="K60" s="251">
        <f t="shared" ref="K60:K66" si="66">I60*H60-J60</f>
        <v>1956.36</v>
      </c>
      <c r="L60" s="255">
        <v>42522</v>
      </c>
      <c r="M60" s="251">
        <v>30.4</v>
      </c>
      <c r="O60" s="2"/>
      <c r="R60" s="81"/>
      <c r="X60" s="134"/>
    </row>
    <row r="61" spans="1:24" x14ac:dyDescent="0.25">
      <c r="A61" s="250"/>
      <c r="B61" s="255">
        <v>42474</v>
      </c>
      <c r="C61" s="250">
        <v>40</v>
      </c>
      <c r="D61" s="251">
        <v>48.55</v>
      </c>
      <c r="E61" s="251">
        <v>0</v>
      </c>
      <c r="F61" s="251">
        <f t="shared" si="65"/>
        <v>1942</v>
      </c>
      <c r="G61" s="255">
        <v>42487</v>
      </c>
      <c r="H61" s="256">
        <v>40</v>
      </c>
      <c r="I61" s="251">
        <v>50.97</v>
      </c>
      <c r="J61" s="251">
        <v>0.04</v>
      </c>
      <c r="K61" s="251">
        <f t="shared" si="66"/>
        <v>2038.76</v>
      </c>
      <c r="L61" s="255">
        <v>42614</v>
      </c>
      <c r="M61" s="251">
        <v>41.8</v>
      </c>
      <c r="O61" s="2"/>
      <c r="X61" s="134"/>
    </row>
    <row r="62" spans="1:24" x14ac:dyDescent="0.25">
      <c r="A62" s="250"/>
      <c r="B62" s="255">
        <v>42489</v>
      </c>
      <c r="C62" s="250">
        <v>40</v>
      </c>
      <c r="D62" s="251">
        <v>50.01</v>
      </c>
      <c r="E62" s="251">
        <v>0</v>
      </c>
      <c r="F62" s="251">
        <f t="shared" si="65"/>
        <v>2000.3999999999999</v>
      </c>
      <c r="G62" s="255">
        <v>42514</v>
      </c>
      <c r="H62" s="392">
        <v>40</v>
      </c>
      <c r="I62" s="354">
        <v>49.29</v>
      </c>
      <c r="J62" s="354">
        <v>0.04</v>
      </c>
      <c r="K62" s="354">
        <f t="shared" si="66"/>
        <v>1971.56</v>
      </c>
      <c r="L62" s="250"/>
      <c r="M62" s="250"/>
      <c r="O62" s="2"/>
      <c r="X62" s="134"/>
    </row>
    <row r="63" spans="1:24" x14ac:dyDescent="0.25">
      <c r="A63" s="250"/>
      <c r="B63" s="255">
        <v>42503</v>
      </c>
      <c r="C63" s="250">
        <v>10</v>
      </c>
      <c r="D63" s="251">
        <v>48.2</v>
      </c>
      <c r="E63" s="251">
        <v>0</v>
      </c>
      <c r="F63" s="251">
        <f t="shared" si="65"/>
        <v>482</v>
      </c>
      <c r="G63" s="255">
        <v>42517</v>
      </c>
      <c r="H63" s="256">
        <v>20</v>
      </c>
      <c r="I63" s="251">
        <v>50.72</v>
      </c>
      <c r="J63" s="251">
        <v>0.02</v>
      </c>
      <c r="K63" s="354">
        <f t="shared" si="66"/>
        <v>1014.38</v>
      </c>
      <c r="L63" s="250"/>
      <c r="M63" s="250"/>
      <c r="O63" s="2"/>
      <c r="X63" s="134"/>
    </row>
    <row r="64" spans="1:24" x14ac:dyDescent="0.25">
      <c r="A64" s="250"/>
      <c r="B64" s="255">
        <v>42503</v>
      </c>
      <c r="C64" s="250">
        <v>20</v>
      </c>
      <c r="D64" s="251">
        <v>48.2</v>
      </c>
      <c r="E64" s="251">
        <v>0</v>
      </c>
      <c r="F64" s="251">
        <f t="shared" si="65"/>
        <v>964</v>
      </c>
      <c r="G64" s="255">
        <v>42527</v>
      </c>
      <c r="H64" s="256">
        <v>30</v>
      </c>
      <c r="I64" s="251">
        <v>50.59</v>
      </c>
      <c r="J64" s="251">
        <v>0.03</v>
      </c>
      <c r="K64" s="354">
        <f t="shared" si="66"/>
        <v>1517.67</v>
      </c>
      <c r="L64" s="250"/>
      <c r="M64" s="250"/>
      <c r="O64" s="2"/>
      <c r="X64" s="134"/>
    </row>
    <row r="65" spans="1:24" x14ac:dyDescent="0.25">
      <c r="A65" s="250"/>
      <c r="B65" s="255">
        <v>42524</v>
      </c>
      <c r="C65" s="250">
        <v>30</v>
      </c>
      <c r="D65" s="251">
        <v>50.01</v>
      </c>
      <c r="E65" s="251">
        <v>0</v>
      </c>
      <c r="F65" s="251">
        <f t="shared" si="65"/>
        <v>1500.3</v>
      </c>
      <c r="G65" s="255">
        <v>42587</v>
      </c>
      <c r="H65" s="256">
        <v>30</v>
      </c>
      <c r="I65" s="251">
        <v>48.68</v>
      </c>
      <c r="J65" s="251">
        <v>0.03</v>
      </c>
      <c r="K65" s="251">
        <f t="shared" si="66"/>
        <v>1460.3700000000001</v>
      </c>
      <c r="L65" s="250"/>
      <c r="M65" s="250"/>
      <c r="O65" s="2"/>
      <c r="X65" s="134"/>
    </row>
    <row r="66" spans="1:24" x14ac:dyDescent="0.25">
      <c r="A66" s="250"/>
      <c r="B66" s="255">
        <v>42531</v>
      </c>
      <c r="C66" s="250">
        <v>30</v>
      </c>
      <c r="D66" s="251">
        <v>48.51</v>
      </c>
      <c r="E66" s="251">
        <v>0</v>
      </c>
      <c r="F66" s="251">
        <f t="shared" si="65"/>
        <v>1455.3</v>
      </c>
      <c r="G66" s="255">
        <v>42611</v>
      </c>
      <c r="H66" s="256">
        <v>80</v>
      </c>
      <c r="I66" s="251">
        <v>49.71</v>
      </c>
      <c r="J66" s="251">
        <v>0.09</v>
      </c>
      <c r="K66" s="251">
        <f t="shared" si="66"/>
        <v>3976.71</v>
      </c>
      <c r="L66" s="250"/>
      <c r="M66" s="250"/>
      <c r="O66" s="2"/>
      <c r="X66" s="134"/>
    </row>
    <row r="67" spans="1:24" x14ac:dyDescent="0.25">
      <c r="A67" s="250"/>
      <c r="B67" s="255">
        <v>42566</v>
      </c>
      <c r="C67" s="250">
        <v>30</v>
      </c>
      <c r="D67" s="251">
        <v>47.58</v>
      </c>
      <c r="E67" s="251">
        <v>0</v>
      </c>
      <c r="F67" s="251">
        <f t="shared" si="65"/>
        <v>1427.3999999999999</v>
      </c>
      <c r="G67" s="250"/>
      <c r="H67" s="250"/>
      <c r="I67" s="251"/>
      <c r="J67" s="251"/>
      <c r="K67" s="251"/>
      <c r="L67" s="250"/>
      <c r="M67" s="250"/>
      <c r="O67" s="2"/>
      <c r="X67" s="134"/>
    </row>
    <row r="68" spans="1:24" x14ac:dyDescent="0.25">
      <c r="A68" s="250"/>
      <c r="B68" s="255">
        <v>42627</v>
      </c>
      <c r="C68" s="250">
        <v>40</v>
      </c>
      <c r="D68" s="251">
        <v>46.47</v>
      </c>
      <c r="E68" s="251">
        <v>0</v>
      </c>
      <c r="F68" s="251">
        <f>D68*C68+E68</f>
        <v>1858.8</v>
      </c>
      <c r="G68" s="255">
        <v>42670</v>
      </c>
      <c r="H68" s="256">
        <v>40</v>
      </c>
      <c r="I68" s="251">
        <v>46.48</v>
      </c>
      <c r="J68" s="251">
        <v>0.04</v>
      </c>
      <c r="K68" s="251">
        <f>I68*H68-J68</f>
        <v>1859.1599999999999</v>
      </c>
      <c r="L68" s="255">
        <v>42705</v>
      </c>
      <c r="M68" s="251">
        <v>15.2</v>
      </c>
      <c r="X68" s="134"/>
    </row>
    <row r="69" spans="1:24" x14ac:dyDescent="0.25">
      <c r="A69" s="250"/>
      <c r="B69" s="255">
        <v>42639</v>
      </c>
      <c r="C69" s="250">
        <v>40</v>
      </c>
      <c r="D69" s="251">
        <v>44.8</v>
      </c>
      <c r="E69" s="251">
        <v>0</v>
      </c>
      <c r="F69" s="251">
        <f>D69*C69+E69</f>
        <v>1792</v>
      </c>
      <c r="G69" s="255">
        <v>42683</v>
      </c>
      <c r="H69" s="256">
        <v>40</v>
      </c>
      <c r="I69" s="251">
        <v>46.58</v>
      </c>
      <c r="J69" s="251">
        <v>0.04</v>
      </c>
      <c r="K69" s="251">
        <f>I69*H69-J69</f>
        <v>1863.1599999999999</v>
      </c>
      <c r="L69" s="255"/>
      <c r="M69" s="251"/>
      <c r="X69" s="134"/>
    </row>
    <row r="70" spans="1:24" x14ac:dyDescent="0.25">
      <c r="A70" s="250"/>
      <c r="B70" s="255">
        <v>42678</v>
      </c>
      <c r="C70" s="250">
        <v>40</v>
      </c>
      <c r="D70" s="251">
        <v>44.95</v>
      </c>
      <c r="E70" s="251">
        <v>0</v>
      </c>
      <c r="F70" s="251">
        <f>D70*C70+E70</f>
        <v>1798</v>
      </c>
      <c r="G70" s="255">
        <v>42710</v>
      </c>
      <c r="H70" s="256">
        <v>40</v>
      </c>
      <c r="I70" s="251">
        <v>55.08</v>
      </c>
      <c r="J70" s="251">
        <v>0.05</v>
      </c>
      <c r="K70" s="251">
        <f>I70*H70-J70</f>
        <v>2203.1499999999996</v>
      </c>
      <c r="L70" s="255"/>
      <c r="M70" s="250"/>
    </row>
    <row r="71" spans="1:24" x14ac:dyDescent="0.25">
      <c r="A71" s="250"/>
      <c r="B71" s="255"/>
      <c r="C71" s="250"/>
      <c r="D71" s="251"/>
      <c r="E71" s="251"/>
      <c r="F71" s="251"/>
      <c r="G71" s="255"/>
      <c r="H71" s="392"/>
      <c r="I71" s="354"/>
      <c r="J71" s="354"/>
      <c r="K71" s="354"/>
      <c r="L71" s="250"/>
      <c r="M71" s="250"/>
    </row>
    <row r="72" spans="1:24" x14ac:dyDescent="0.25">
      <c r="A72" s="250"/>
      <c r="B72" s="434">
        <v>42718</v>
      </c>
      <c r="C72" s="7">
        <v>40</v>
      </c>
      <c r="D72" s="43">
        <v>54.28</v>
      </c>
      <c r="E72" s="43">
        <v>0</v>
      </c>
      <c r="F72" s="43">
        <f>C72*D72+E72</f>
        <v>2171.1999999999998</v>
      </c>
      <c r="G72" s="434">
        <v>42759</v>
      </c>
      <c r="H72" s="80">
        <v>40</v>
      </c>
      <c r="I72" s="43">
        <v>54.92</v>
      </c>
      <c r="J72" s="43">
        <v>0.05</v>
      </c>
      <c r="K72" s="43">
        <f>H72*I72-J72</f>
        <v>2196.75</v>
      </c>
      <c r="L72" s="250"/>
      <c r="M72" s="250"/>
    </row>
    <row r="73" spans="1:24" x14ac:dyDescent="0.25">
      <c r="A73" s="250"/>
      <c r="B73" s="434">
        <v>42733</v>
      </c>
      <c r="C73" s="7">
        <v>40</v>
      </c>
      <c r="D73" s="43">
        <v>54.58</v>
      </c>
      <c r="E73" s="43">
        <v>0</v>
      </c>
      <c r="F73" s="43">
        <f>C73*D73+E73</f>
        <v>2183.1999999999998</v>
      </c>
      <c r="G73" s="571">
        <v>42767</v>
      </c>
      <c r="H73" s="80">
        <v>40</v>
      </c>
      <c r="I73" s="43">
        <v>57.05</v>
      </c>
      <c r="J73" s="43">
        <v>0.05</v>
      </c>
      <c r="K73" s="43">
        <f>H73*I73-J73</f>
        <v>2281.9499999999998</v>
      </c>
      <c r="L73" s="250"/>
      <c r="M73" s="250"/>
    </row>
    <row r="74" spans="1:24" x14ac:dyDescent="0.25">
      <c r="A74" s="250"/>
      <c r="B74" s="434">
        <v>42740</v>
      </c>
      <c r="C74" s="7">
        <v>40</v>
      </c>
      <c r="D74" s="43">
        <v>54.9</v>
      </c>
      <c r="E74" s="43">
        <v>0</v>
      </c>
      <c r="F74" s="43">
        <f>C74*D74+E74</f>
        <v>2196</v>
      </c>
      <c r="G74" s="434">
        <v>42781</v>
      </c>
      <c r="H74" s="80">
        <v>40</v>
      </c>
      <c r="I74" s="43">
        <v>58.48</v>
      </c>
      <c r="J74" s="43">
        <v>0.05</v>
      </c>
      <c r="K74" s="43">
        <f>H74*I74-J74</f>
        <v>2339.1499999999996</v>
      </c>
      <c r="L74" s="250"/>
      <c r="M74" s="250"/>
    </row>
    <row r="75" spans="1:24" x14ac:dyDescent="0.25">
      <c r="A75" s="250"/>
      <c r="B75" s="255"/>
      <c r="C75" s="250"/>
      <c r="D75" s="251"/>
      <c r="E75" s="251"/>
      <c r="F75" s="251"/>
      <c r="G75" s="255"/>
      <c r="H75" s="256"/>
      <c r="I75" s="251"/>
      <c r="J75" s="251"/>
      <c r="K75" s="354"/>
      <c r="L75" s="250"/>
      <c r="M75" s="250"/>
    </row>
    <row r="76" spans="1:24" x14ac:dyDescent="0.25">
      <c r="A76" s="250"/>
      <c r="B76" s="434">
        <v>42767</v>
      </c>
      <c r="C76" s="7">
        <v>40</v>
      </c>
      <c r="D76" s="43">
        <v>56.68</v>
      </c>
      <c r="E76" s="43">
        <v>0</v>
      </c>
      <c r="F76" s="43">
        <f>C76*D76+E76</f>
        <v>2267.1999999999998</v>
      </c>
      <c r="G76" s="434">
        <v>42803</v>
      </c>
      <c r="H76" s="7">
        <v>40</v>
      </c>
      <c r="I76" s="43">
        <v>58.65</v>
      </c>
      <c r="J76" s="43">
        <v>0.05</v>
      </c>
      <c r="K76" s="43">
        <f>H76*I76-J76</f>
        <v>2345.9499999999998</v>
      </c>
      <c r="L76" s="72">
        <v>42795</v>
      </c>
      <c r="M76" s="43">
        <v>30.4</v>
      </c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434">
        <v>42782</v>
      </c>
      <c r="C78" s="7">
        <v>40</v>
      </c>
      <c r="D78" s="43">
        <v>57.85</v>
      </c>
      <c r="E78" s="43">
        <v>0</v>
      </c>
      <c r="F78" s="43">
        <f t="shared" ref="F78:F83" si="67">C78*D78+E78</f>
        <v>2314</v>
      </c>
      <c r="G78" s="434">
        <v>42915</v>
      </c>
      <c r="H78" s="7">
        <v>80</v>
      </c>
      <c r="I78" s="43">
        <v>55.8</v>
      </c>
      <c r="J78" s="43">
        <v>0.1</v>
      </c>
      <c r="K78" s="43">
        <f>H78*I78-J78</f>
        <v>4463.8999999999996</v>
      </c>
      <c r="L78" s="72">
        <v>42888</v>
      </c>
      <c r="M78" s="43">
        <v>45.6</v>
      </c>
    </row>
    <row r="79" spans="1:24" x14ac:dyDescent="0.25">
      <c r="A79" s="250"/>
      <c r="B79" s="434">
        <v>42815</v>
      </c>
      <c r="C79" s="7">
        <v>40</v>
      </c>
      <c r="D79" s="43">
        <v>57.28</v>
      </c>
      <c r="E79" s="43">
        <v>0</v>
      </c>
      <c r="F79" s="43">
        <f t="shared" si="67"/>
        <v>2291.1999999999998</v>
      </c>
      <c r="G79" s="434">
        <v>42997</v>
      </c>
      <c r="H79" s="80">
        <v>80</v>
      </c>
      <c r="I79" s="43">
        <v>53.18</v>
      </c>
      <c r="J79" s="43">
        <v>0.1</v>
      </c>
      <c r="K79" s="43">
        <f>H79*I79-J79</f>
        <v>4254.2999999999993</v>
      </c>
      <c r="L79" s="1">
        <v>42979</v>
      </c>
      <c r="M79" s="43">
        <v>62.4</v>
      </c>
    </row>
    <row r="80" spans="1:24" x14ac:dyDescent="0.25">
      <c r="A80" s="250"/>
      <c r="B80" s="434">
        <v>42836</v>
      </c>
      <c r="C80" s="7">
        <v>40</v>
      </c>
      <c r="D80" s="43">
        <v>53.6</v>
      </c>
      <c r="E80" s="43">
        <v>0</v>
      </c>
      <c r="F80" s="43">
        <f t="shared" si="67"/>
        <v>2144</v>
      </c>
      <c r="G80" s="434">
        <v>43005</v>
      </c>
      <c r="H80" s="80">
        <v>40</v>
      </c>
      <c r="I80" s="43">
        <v>54.42</v>
      </c>
      <c r="J80" s="43">
        <v>0.05</v>
      </c>
      <c r="K80" s="43">
        <f>H80*I80-J80</f>
        <v>2176.75</v>
      </c>
      <c r="L80" s="72"/>
      <c r="M80" s="4"/>
    </row>
    <row r="81" spans="1:13" x14ac:dyDescent="0.25">
      <c r="A81" s="250"/>
      <c r="B81" s="434">
        <v>42886</v>
      </c>
      <c r="C81" s="7">
        <v>80</v>
      </c>
      <c r="D81" s="43">
        <v>50.88</v>
      </c>
      <c r="E81" s="43">
        <v>0</v>
      </c>
      <c r="F81" s="43">
        <f t="shared" si="67"/>
        <v>4070.4</v>
      </c>
      <c r="G81" s="434">
        <v>43006</v>
      </c>
      <c r="H81" s="726">
        <v>40</v>
      </c>
      <c r="I81" s="45">
        <v>54.3</v>
      </c>
      <c r="J81" s="45">
        <v>0.05</v>
      </c>
      <c r="K81" s="43">
        <f>H81*I81-J81</f>
        <v>2171.9499999999998</v>
      </c>
      <c r="L81" s="4"/>
      <c r="M81" s="4"/>
    </row>
    <row r="82" spans="1:13" x14ac:dyDescent="0.25">
      <c r="A82" s="250"/>
      <c r="B82" s="434">
        <v>42944</v>
      </c>
      <c r="C82" s="7">
        <v>40</v>
      </c>
      <c r="D82" s="43">
        <v>53.37</v>
      </c>
      <c r="E82" s="43">
        <v>-0.1</v>
      </c>
      <c r="F82" s="43">
        <f t="shared" si="67"/>
        <v>2134.6999999999998</v>
      </c>
      <c r="G82" s="434">
        <v>43007</v>
      </c>
      <c r="H82" s="80">
        <v>80</v>
      </c>
      <c r="I82" s="43">
        <v>54.85</v>
      </c>
      <c r="J82" s="43">
        <v>0.1</v>
      </c>
      <c r="K82" s="45">
        <f>H82*I82-J82</f>
        <v>4387.8999999999996</v>
      </c>
      <c r="L82" s="4"/>
      <c r="M82" s="4"/>
    </row>
    <row r="83" spans="1:13" x14ac:dyDescent="0.25">
      <c r="A83" s="250"/>
      <c r="B83" s="434">
        <v>42951</v>
      </c>
      <c r="C83" s="7">
        <v>80</v>
      </c>
      <c r="D83" s="43">
        <v>52.61</v>
      </c>
      <c r="E83" s="43">
        <v>0</v>
      </c>
      <c r="F83" s="43">
        <f t="shared" si="67"/>
        <v>4208.8</v>
      </c>
      <c r="G83" s="72"/>
      <c r="H83" s="176"/>
      <c r="I83" s="3"/>
      <c r="J83" s="3"/>
      <c r="K83" s="73"/>
      <c r="L83" s="4"/>
      <c r="M83" s="4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0"/>
      <c r="C97" s="250"/>
      <c r="D97" s="251"/>
      <c r="E97" s="251"/>
      <c r="F97" s="251"/>
      <c r="G97" s="250"/>
      <c r="H97" s="256"/>
      <c r="I97" s="251"/>
      <c r="J97" s="251"/>
      <c r="K97" s="251"/>
      <c r="L97" s="250"/>
      <c r="M97" s="250"/>
    </row>
    <row r="98" spans="1:13" x14ac:dyDescent="0.25">
      <c r="A98" s="31" t="s">
        <v>81</v>
      </c>
      <c r="B98" s="14"/>
      <c r="C98" s="14">
        <f>SUM(C59:C97)</f>
        <v>880</v>
      </c>
      <c r="D98" s="18"/>
      <c r="E98" s="18"/>
      <c r="F98" s="18">
        <f>SUM(F59:F97)</f>
        <v>45116.1</v>
      </c>
      <c r="G98" s="14"/>
      <c r="H98" s="71">
        <f>SUM(H60:H97)</f>
        <v>880</v>
      </c>
      <c r="I98" s="18"/>
      <c r="J98" s="18"/>
      <c r="K98" s="18">
        <f>SUM(K60:K97)</f>
        <v>46479.88</v>
      </c>
      <c r="L98" s="18"/>
      <c r="M98" s="18">
        <f>SUM(M59:M97)</f>
        <v>240.79999999999998</v>
      </c>
    </row>
    <row r="99" spans="1:13" ht="15.75" thickBot="1" x14ac:dyDescent="0.3">
      <c r="A99" s="439" t="s">
        <v>193</v>
      </c>
      <c r="B99" s="440"/>
      <c r="C99" s="441">
        <f>SumByColor($A$19,C59:C97)</f>
        <v>480</v>
      </c>
      <c r="D99" s="441"/>
      <c r="E99" s="441"/>
      <c r="F99" s="442">
        <f>SumByColor($A$19,F59:F97)</f>
        <v>25980</v>
      </c>
      <c r="G99" s="441"/>
      <c r="H99" s="441">
        <f>SumByColor($A$19,H59:H97)</f>
        <v>480</v>
      </c>
      <c r="I99" s="441"/>
      <c r="J99" s="441"/>
      <c r="K99" s="442">
        <f>SumByColor($A$19,K59:K97)</f>
        <v>26619</v>
      </c>
      <c r="L99" s="441"/>
      <c r="M99" s="442">
        <f>SumByColor($A$19,M59:M97)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41" priority="63">
      <formula>Q8&gt;0</formula>
    </cfRule>
    <cfRule type="expression" dxfId="640" priority="64">
      <formula>Q8&lt;0</formula>
    </cfRule>
  </conditionalFormatting>
  <conditionalFormatting sqref="Q7">
    <cfRule type="expression" dxfId="639" priority="65">
      <formula>Q7&gt;0</formula>
    </cfRule>
    <cfRule type="expression" dxfId="638" priority="66">
      <formula>Q7&lt;0</formula>
    </cfRule>
  </conditionalFormatting>
  <conditionalFormatting sqref="M57">
    <cfRule type="expression" dxfId="637" priority="53">
      <formula>M57&gt;0</formula>
    </cfRule>
    <cfRule type="expression" dxfId="636" priority="54">
      <formula>M57&lt;0</formula>
    </cfRule>
  </conditionalFormatting>
  <conditionalFormatting sqref="M57">
    <cfRule type="expression" dxfId="635" priority="55">
      <formula>M57&gt;0</formula>
    </cfRule>
    <cfRule type="expression" dxfId="634" priority="56">
      <formula>M57&lt;0</formula>
    </cfRule>
  </conditionalFormatting>
  <conditionalFormatting sqref="F24:F44">
    <cfRule type="expression" dxfId="633" priority="41">
      <formula>F24&gt;0</formula>
    </cfRule>
    <cfRule type="expression" dxfId="632" priority="42">
      <formula>F24&lt;0</formula>
    </cfRule>
  </conditionalFormatting>
  <conditionalFormatting sqref="F24:F44">
    <cfRule type="expression" dxfId="631" priority="43">
      <formula>F24&gt;0</formula>
    </cfRule>
    <cfRule type="expression" dxfId="630" priority="44">
      <formula>F24&lt;0</formula>
    </cfRule>
  </conditionalFormatting>
  <conditionalFormatting sqref="H24:H44">
    <cfRule type="expression" dxfId="629" priority="39">
      <formula>H24&gt;0</formula>
    </cfRule>
    <cfRule type="expression" dxfId="628" priority="40">
      <formula>H24&lt;0</formula>
    </cfRule>
  </conditionalFormatting>
  <conditionalFormatting sqref="J27:J38">
    <cfRule type="expression" dxfId="627" priority="9">
      <formula>J27&gt;0</formula>
    </cfRule>
    <cfRule type="expression" dxfId="626" priority="10">
      <formula>J27&lt;0</formula>
    </cfRule>
  </conditionalFormatting>
  <conditionalFormatting sqref="J27:J38">
    <cfRule type="expression" dxfId="625" priority="11">
      <formula>J27&gt;0</formula>
    </cfRule>
    <cfRule type="expression" dxfId="624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23" priority="5">
      <formula>J39&gt;0</formula>
    </cfRule>
    <cfRule type="expression" dxfId="622" priority="6">
      <formula>J39&lt;0</formula>
    </cfRule>
  </conditionalFormatting>
  <conditionalFormatting sqref="J39">
    <cfRule type="expression" dxfId="621" priority="7">
      <formula>J39&gt;0</formula>
    </cfRule>
    <cfRule type="expression" dxfId="620" priority="8">
      <formula>J39&lt;0</formula>
    </cfRule>
  </conditionalFormatting>
  <conditionalFormatting sqref="J40:J54">
    <cfRule type="expression" dxfId="619" priority="1">
      <formula>J40&gt;0</formula>
    </cfRule>
    <cfRule type="expression" dxfId="618" priority="2">
      <formula>J40&lt;0</formula>
    </cfRule>
  </conditionalFormatting>
  <conditionalFormatting sqref="J40:J54">
    <cfRule type="expression" dxfId="617" priority="3">
      <formula>J40&gt;0</formula>
    </cfRule>
    <cfRule type="expression" dxfId="616" priority="4">
      <formula>J40&lt;0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48.52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48.52</v>
      </c>
      <c r="R4" s="475">
        <v>1.04E-2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50" t="s">
        <v>78</v>
      </c>
      <c r="Q39" s="85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53.372000000000007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52.886800000000008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52.401600000000009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51.916400000000003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51.431200000000004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50.946000000000005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50.460800000000006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49.975600000000007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49.490400000000001</v>
      </c>
      <c r="R48" s="81"/>
      <c r="T48" s="85" t="s">
        <v>104</v>
      </c>
      <c r="U48" s="86" t="s">
        <v>625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49.005200000000002</v>
      </c>
      <c r="R49" s="81"/>
      <c r="T49" s="85" t="s">
        <v>105</v>
      </c>
      <c r="U49" s="86" t="s">
        <v>425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48.52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48.034800000000004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47.549600000000005</v>
      </c>
      <c r="R52" s="81"/>
      <c r="T52" s="85" t="s">
        <v>107</v>
      </c>
      <c r="U52" s="86" t="s">
        <v>626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47.064399999999999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46.5792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46.094000000000001</v>
      </c>
      <c r="R55" s="81"/>
      <c r="T55" s="85" t="s">
        <v>108</v>
      </c>
      <c r="U55" s="86" t="s">
        <v>509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45.608800000000002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45.123600000000003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44.638400000000004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44.153200000000005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43.668000000000006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231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15" priority="66">
      <formula>F22&gt;0</formula>
    </cfRule>
    <cfRule type="expression" dxfId="61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13" priority="53">
      <formula>F41&gt;0</formula>
    </cfRule>
    <cfRule type="expression" dxfId="612" priority="54">
      <formula>F41&lt;0</formula>
    </cfRule>
  </conditionalFormatting>
  <conditionalFormatting sqref="F41">
    <cfRule type="expression" dxfId="611" priority="57">
      <formula>F41&gt;0</formula>
    </cfRule>
    <cfRule type="expression" dxfId="610" priority="58">
      <formula>F41&lt;0</formula>
    </cfRule>
  </conditionalFormatting>
  <conditionalFormatting sqref="H41">
    <cfRule type="expression" dxfId="609" priority="35">
      <formula>H41&gt;0</formula>
    </cfRule>
    <cfRule type="expression" dxfId="608" priority="36">
      <formula>H41&lt;0</formula>
    </cfRule>
  </conditionalFormatting>
  <conditionalFormatting sqref="F89:F95">
    <cfRule type="expression" dxfId="607" priority="29">
      <formula>F89&gt;0</formula>
    </cfRule>
    <cfRule type="expression" dxfId="606" priority="30">
      <formula>F89&lt;0</formula>
    </cfRule>
  </conditionalFormatting>
  <conditionalFormatting sqref="F96:F110">
    <cfRule type="expression" dxfId="605" priority="25">
      <formula>F96&gt;0</formula>
    </cfRule>
    <cfRule type="expression" dxfId="604" priority="26">
      <formula>F96&lt;0</formula>
    </cfRule>
  </conditionalFormatting>
  <conditionalFormatting sqref="F96:F110">
    <cfRule type="expression" dxfId="603" priority="27">
      <formula>F96&gt;0</formula>
    </cfRule>
    <cfRule type="expression" dxfId="602" priority="28">
      <formula>F96&lt;0</formula>
    </cfRule>
  </conditionalFormatting>
  <conditionalFormatting sqref="H89:H100">
    <cfRule type="expression" dxfId="601" priority="23">
      <formula>H89&gt;0</formula>
    </cfRule>
    <cfRule type="expression" dxfId="600" priority="24">
      <formula>H89&lt;0</formula>
    </cfRule>
  </conditionalFormatting>
  <conditionalFormatting sqref="H101">
    <cfRule type="expression" dxfId="599" priority="21">
      <formula>H101&gt;0</formula>
    </cfRule>
    <cfRule type="expression" dxfId="598" priority="22">
      <formula>H101&lt;0</formula>
    </cfRule>
  </conditionalFormatting>
  <conditionalFormatting sqref="F111:F116">
    <cfRule type="expression" dxfId="597" priority="19">
      <formula>F111&gt;0</formula>
    </cfRule>
    <cfRule type="expression" dxfId="596" priority="20">
      <formula>F111&lt;0</formula>
    </cfRule>
  </conditionalFormatting>
  <conditionalFormatting sqref="H103:H116">
    <cfRule type="expression" dxfId="595" priority="17">
      <formula>H103&gt;0</formula>
    </cfRule>
    <cfRule type="expression" dxfId="594" priority="18">
      <formula>H103&lt;0</formula>
    </cfRule>
  </conditionalFormatting>
  <conditionalFormatting sqref="H102">
    <cfRule type="expression" dxfId="593" priority="15">
      <formula>H102&gt;0</formula>
    </cfRule>
    <cfRule type="expression" dxfId="592" priority="16">
      <formula>H102&lt;0</formula>
    </cfRule>
  </conditionalFormatting>
  <conditionalFormatting sqref="M42">
    <cfRule type="expression" dxfId="591" priority="13">
      <formula>M42&gt;0</formula>
    </cfRule>
    <cfRule type="expression" dxfId="590" priority="14">
      <formula>M42&lt;0</formula>
    </cfRule>
  </conditionalFormatting>
  <conditionalFormatting sqref="Q7">
    <cfRule type="expression" dxfId="589" priority="9">
      <formula>Q7&gt;0</formula>
    </cfRule>
    <cfRule type="expression" dxfId="588" priority="10">
      <formula>Q7&lt;0</formula>
    </cfRule>
  </conditionalFormatting>
  <conditionalFormatting sqref="Q8">
    <cfRule type="expression" dxfId="587" priority="7">
      <formula>Q8&gt;0</formula>
    </cfRule>
    <cfRule type="expression" dxfId="586" priority="8">
      <formula>Q8&lt;0</formula>
    </cfRule>
  </conditionalFormatting>
  <conditionalFormatting sqref="F117:F130 H117:H130">
    <cfRule type="expression" dxfId="585" priority="1">
      <formula>F117&gt;0</formula>
    </cfRule>
    <cfRule type="expression" dxfId="58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43.18</v>
      </c>
      <c r="T3" s="1" t="s">
        <v>239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43.18</v>
      </c>
      <c r="R4" s="493">
        <v>1.3599999999999999E-2</v>
      </c>
      <c r="T4" s="156">
        <v>42633</v>
      </c>
      <c r="U4" s="1" t="s">
        <v>271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325</v>
      </c>
      <c r="U6" t="s">
        <v>455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454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456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997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504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47.498000000000005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47.066200000000002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46.634399999999999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46.202600000000004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45.770800000000001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45.338999999999999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44.907200000000003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44.4754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44.043599999999998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43.611800000000002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43.18</v>
      </c>
      <c r="W39" s="134"/>
    </row>
    <row r="40" spans="1:23" x14ac:dyDescent="0.25">
      <c r="O40" s="81">
        <v>0.99</v>
      </c>
      <c r="P40" s="81">
        <f t="shared" si="0"/>
        <v>42.748199999999997</v>
      </c>
      <c r="W40" s="134"/>
    </row>
    <row r="41" spans="1:23" x14ac:dyDescent="0.25">
      <c r="O41" s="81">
        <v>0.98</v>
      </c>
      <c r="P41" s="81">
        <f t="shared" si="0"/>
        <v>42.316400000000002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41.884599999999999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41.452799999999996</v>
      </c>
      <c r="W43" s="134"/>
    </row>
    <row r="44" spans="1:23" x14ac:dyDescent="0.25">
      <c r="A44" s="687" t="s">
        <v>223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41.021000000000001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40.589199999999998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40.157400000000003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39.7256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39.293800000000005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38.862000000000002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422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627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472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628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546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226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504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283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284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284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309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504</v>
      </c>
    </row>
    <row r="167" spans="1:10" x14ac:dyDescent="0.25">
      <c r="A167" t="s">
        <v>339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339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427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441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446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359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674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675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679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708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83" priority="84">
      <formula>F7&gt;0</formula>
    </cfRule>
    <cfRule type="expression" dxfId="582" priority="85">
      <formula>F7&lt;0</formula>
    </cfRule>
  </conditionalFormatting>
  <conditionalFormatting sqref="Q8">
    <cfRule type="expression" dxfId="581" priority="82">
      <formula>Q8&gt;0</formula>
    </cfRule>
    <cfRule type="expression" dxfId="580" priority="83">
      <formula>Q8&lt;0</formula>
    </cfRule>
  </conditionalFormatting>
  <conditionalFormatting sqref="F29:F36">
    <cfRule type="expression" dxfId="579" priority="62">
      <formula>F29&gt;0</formula>
    </cfRule>
    <cfRule type="expression" dxfId="578" priority="63">
      <formula>F29&lt;0</formula>
    </cfRule>
  </conditionalFormatting>
  <conditionalFormatting sqref="J32:J38">
    <cfRule type="expression" dxfId="577" priority="57">
      <formula>J32&gt;0</formula>
    </cfRule>
    <cfRule type="expression" dxfId="576" priority="58">
      <formula>J32&lt;0</formula>
    </cfRule>
  </conditionalFormatting>
  <conditionalFormatting sqref="M42">
    <cfRule type="expression" dxfId="575" priority="55">
      <formula>M42&gt;0</formula>
    </cfRule>
    <cfRule type="expression" dxfId="574" priority="56">
      <formula>M42&lt;0</formula>
    </cfRule>
  </conditionalFormatting>
  <conditionalFormatting sqref="F98:F134 H98:H134 H137:H142 F137:F142 F144:F153 H144:H153">
    <cfRule type="expression" dxfId="573" priority="53">
      <formula>F98&gt;0</formula>
    </cfRule>
    <cfRule type="expression" dxfId="572" priority="54">
      <formula>F98&lt;0</formula>
    </cfRule>
  </conditionalFormatting>
  <conditionalFormatting sqref="F90:F97">
    <cfRule type="expression" dxfId="571" priority="51">
      <formula>F90&gt;0</formula>
    </cfRule>
    <cfRule type="expression" dxfId="570" priority="52">
      <formula>F90&lt;0</formula>
    </cfRule>
  </conditionalFormatting>
  <conditionalFormatting sqref="H90:H97">
    <cfRule type="expression" dxfId="569" priority="49">
      <formula>H90&gt;0</formula>
    </cfRule>
    <cfRule type="expression" dxfId="568" priority="50">
      <formula>H90&lt;0</formula>
    </cfRule>
  </conditionalFormatting>
  <conditionalFormatting sqref="F135:F136 H135:H136">
    <cfRule type="expression" dxfId="567" priority="47">
      <formula>F135&gt;0</formula>
    </cfRule>
    <cfRule type="expression" dxfId="566" priority="48">
      <formula>F135&lt;0</formula>
    </cfRule>
  </conditionalFormatting>
  <conditionalFormatting sqref="H143 F143">
    <cfRule type="expression" dxfId="565" priority="45">
      <formula>F143&gt;0</formula>
    </cfRule>
    <cfRule type="expression" dxfId="564" priority="46">
      <formula>F143&lt;0</formula>
    </cfRule>
  </conditionalFormatting>
  <conditionalFormatting sqref="F154:F161">
    <cfRule type="expression" dxfId="563" priority="31">
      <formula>F154&gt;0</formula>
    </cfRule>
    <cfRule type="expression" dxfId="562" priority="32">
      <formula>F154&lt;0</formula>
    </cfRule>
  </conditionalFormatting>
  <conditionalFormatting sqref="H154:H161">
    <cfRule type="expression" dxfId="561" priority="29">
      <formula>H154&gt;0</formula>
    </cfRule>
    <cfRule type="expression" dxfId="560" priority="30">
      <formula>H154&lt;0</formula>
    </cfRule>
  </conditionalFormatting>
  <conditionalFormatting sqref="Q10">
    <cfRule type="expression" dxfId="559" priority="27">
      <formula>Q10&gt;0</formula>
    </cfRule>
    <cfRule type="expression" dxfId="558" priority="28">
      <formula>Q10&lt;0</formula>
    </cfRule>
  </conditionalFormatting>
  <conditionalFormatting sqref="F37:F38">
    <cfRule type="expression" dxfId="557" priority="25">
      <formula>F37&gt;0</formula>
    </cfRule>
    <cfRule type="expression" dxfId="556" priority="26">
      <formula>F37&lt;0</formula>
    </cfRule>
  </conditionalFormatting>
  <conditionalFormatting sqref="H37:H38">
    <cfRule type="expression" dxfId="555" priority="23">
      <formula>H37&gt;0</formula>
    </cfRule>
    <cfRule type="expression" dxfId="554" priority="24">
      <formula>H37&lt;0</formula>
    </cfRule>
  </conditionalFormatting>
  <conditionalFormatting sqref="F167">
    <cfRule type="expression" dxfId="553" priority="21">
      <formula>F167&gt;0</formula>
    </cfRule>
    <cfRule type="expression" dxfId="552" priority="22">
      <formula>F167&lt;0</formula>
    </cfRule>
  </conditionalFormatting>
  <conditionalFormatting sqref="F168:F179">
    <cfRule type="expression" dxfId="551" priority="19">
      <formula>F168&gt;0</formula>
    </cfRule>
    <cfRule type="expression" dxfId="550" priority="20">
      <formula>F168&lt;0</formula>
    </cfRule>
  </conditionalFormatting>
  <conditionalFormatting sqref="H167:H179">
    <cfRule type="expression" dxfId="549" priority="17">
      <formula>H167&gt;0</formula>
    </cfRule>
    <cfRule type="expression" dxfId="548" priority="18">
      <formula>H167&lt;0</formula>
    </cfRule>
  </conditionalFormatting>
  <conditionalFormatting sqref="J175:J197 J201">
    <cfRule type="expression" dxfId="547" priority="15">
      <formula>J175&gt;0</formula>
    </cfRule>
    <cfRule type="expression" dxfId="546" priority="16">
      <formula>J175&lt;0</formula>
    </cfRule>
  </conditionalFormatting>
  <conditionalFormatting sqref="F180:F197 F201">
    <cfRule type="expression" dxfId="545" priority="13">
      <formula>F180&gt;0</formula>
    </cfRule>
    <cfRule type="expression" dxfId="544" priority="14">
      <formula>F180&lt;0</formula>
    </cfRule>
  </conditionalFormatting>
  <conditionalFormatting sqref="H180:H197 H201">
    <cfRule type="expression" dxfId="543" priority="11">
      <formula>H180&gt;0</formula>
    </cfRule>
    <cfRule type="expression" dxfId="542" priority="12">
      <formula>H180&lt;0</formula>
    </cfRule>
  </conditionalFormatting>
  <conditionalFormatting sqref="I32:J35">
    <cfRule type="expression" dxfId="541" priority="9">
      <formula>I32&gt;0</formula>
    </cfRule>
    <cfRule type="expression" dxfId="540" priority="10">
      <formula>I32&lt;0</formula>
    </cfRule>
  </conditionalFormatting>
  <conditionalFormatting sqref="F198:F200">
    <cfRule type="expression" dxfId="539" priority="7">
      <formula>F198&gt;0</formula>
    </cfRule>
    <cfRule type="expression" dxfId="538" priority="8">
      <formula>F198&lt;0</formula>
    </cfRule>
  </conditionalFormatting>
  <conditionalFormatting sqref="H198:H200">
    <cfRule type="expression" dxfId="537" priority="5">
      <formula>H198&gt;0</formula>
    </cfRule>
    <cfRule type="expression" dxfId="536" priority="6">
      <formula>H198&lt;0</formula>
    </cfRule>
  </conditionalFormatting>
  <conditionalFormatting sqref="J198:J200">
    <cfRule type="expression" dxfId="535" priority="3">
      <formula>J198&gt;0</formula>
    </cfRule>
    <cfRule type="expression" dxfId="534" priority="4">
      <formula>J198&lt;0</formula>
    </cfRule>
  </conditionalFormatting>
  <conditionalFormatting sqref="F202:F211 H202:H211 J202:J211">
    <cfRule type="expression" dxfId="533" priority="1">
      <formula>F202&gt;0</formula>
    </cfRule>
    <cfRule type="expression" dxfId="532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341</v>
      </c>
      <c r="B2" s="827">
        <v>43165</v>
      </c>
      <c r="C2" s="825">
        <v>50</v>
      </c>
      <c r="D2" s="826">
        <v>70.28</v>
      </c>
      <c r="E2" s="826">
        <v>0</v>
      </c>
      <c r="F2" s="826">
        <f>C2*D2+E2</f>
        <v>3514</v>
      </c>
      <c r="G2" s="827">
        <v>43217</v>
      </c>
      <c r="H2" s="825">
        <v>50</v>
      </c>
      <c r="I2" s="826">
        <v>72.88</v>
      </c>
      <c r="J2" s="826">
        <v>0.08</v>
      </c>
      <c r="K2" s="826">
        <f>H2*I2-J2</f>
        <v>3643.92</v>
      </c>
      <c r="L2" s="751"/>
      <c r="M2" s="750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78.02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78.02</v>
      </c>
      <c r="R4" s="493">
        <v>8.0999999999999996E-3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948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975</v>
      </c>
      <c r="Q13">
        <f>Q4/5.25</f>
        <v>14.86095238095238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689</v>
      </c>
      <c r="Q15" s="679" t="s">
        <v>690</v>
      </c>
      <c r="R15" s="677" t="s">
        <v>683</v>
      </c>
      <c r="S15" s="677" t="s">
        <v>684</v>
      </c>
      <c r="T15" s="679" t="s">
        <v>686</v>
      </c>
      <c r="U15" s="679" t="s">
        <v>687</v>
      </c>
      <c r="V15" s="677" t="s">
        <v>685</v>
      </c>
      <c r="W15" s="678" t="s">
        <v>688</v>
      </c>
    </row>
    <row r="16" spans="1:23" x14ac:dyDescent="0.25">
      <c r="G16" s="29"/>
      <c r="H16" s="70"/>
      <c r="O16" s="680">
        <v>42963</v>
      </c>
      <c r="P16" s="676" t="s">
        <v>691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693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50" t="s">
        <v>78</v>
      </c>
      <c r="P40" s="850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85.822000000000003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85.041799999999995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84.261600000000001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83.481399999999994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82.7012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81.920999999999992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81.140799999999999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80.360599999999991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79.580399999999997</v>
      </c>
      <c r="Q49" s="2"/>
      <c r="T49" s="91" t="s">
        <v>103</v>
      </c>
      <c r="U49" s="127" t="s">
        <v>480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78.80019999999999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78.02</v>
      </c>
      <c r="Q51" s="2"/>
      <c r="T51" s="91" t="s">
        <v>104</v>
      </c>
      <c r="U51" s="127" t="s">
        <v>629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77.239800000000002</v>
      </c>
      <c r="Q52" s="2"/>
      <c r="T52" s="91" t="s">
        <v>105</v>
      </c>
      <c r="U52" s="127" t="s">
        <v>630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76.459599999999995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75.679400000000001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74.899199999999993</v>
      </c>
      <c r="T55" s="91" t="s">
        <v>107</v>
      </c>
      <c r="U55" s="127" t="s">
        <v>631</v>
      </c>
    </row>
    <row r="56" spans="1:21" x14ac:dyDescent="0.25">
      <c r="O56" s="81">
        <v>0.95</v>
      </c>
      <c r="P56" s="81">
        <f t="shared" si="0"/>
        <v>74.119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73.338799999999992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72.558599999999998</v>
      </c>
      <c r="T58" s="91" t="s">
        <v>108</v>
      </c>
      <c r="U58" s="127" t="s">
        <v>547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71.778400000000005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70.998199999999997</v>
      </c>
    </row>
    <row r="61" spans="1:21" x14ac:dyDescent="0.25">
      <c r="A61" s="371" t="s">
        <v>341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70.218000000000004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449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449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474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31" priority="80">
      <formula>Q7&gt;0</formula>
    </cfRule>
    <cfRule type="expression" dxfId="530" priority="81">
      <formula>Q7&lt;0</formula>
    </cfRule>
  </conditionalFormatting>
  <conditionalFormatting sqref="Q8">
    <cfRule type="expression" dxfId="529" priority="78">
      <formula>Q8&gt;0</formula>
    </cfRule>
    <cfRule type="expression" dxfId="528" priority="79">
      <formula>Q8&lt;0</formula>
    </cfRule>
  </conditionalFormatting>
  <conditionalFormatting sqref="F29:F43">
    <cfRule type="expression" dxfId="527" priority="62">
      <formula>F29&gt;0</formula>
    </cfRule>
    <cfRule type="expression" dxfId="526" priority="63">
      <formula>F29&lt;0</formula>
    </cfRule>
  </conditionalFormatting>
  <conditionalFormatting sqref="H45 H47:H48 H50:H51 H53 H29:H43">
    <cfRule type="expression" dxfId="525" priority="60">
      <formula>H29&gt;0</formula>
    </cfRule>
    <cfRule type="expression" dxfId="524" priority="61">
      <formula>H29&lt;0</formula>
    </cfRule>
  </conditionalFormatting>
  <conditionalFormatting sqref="J35">
    <cfRule type="expression" dxfId="523" priority="56">
      <formula>J35&gt;0</formula>
    </cfRule>
    <cfRule type="expression" dxfId="522" priority="57">
      <formula>J35&lt;0</formula>
    </cfRule>
  </conditionalFormatting>
  <conditionalFormatting sqref="J36:J37">
    <cfRule type="expression" dxfId="521" priority="54">
      <formula>J36&gt;0</formula>
    </cfRule>
    <cfRule type="expression" dxfId="520" priority="55">
      <formula>J36&lt;0</formula>
    </cfRule>
  </conditionalFormatting>
  <conditionalFormatting sqref="J38:J45 J48 J51">
    <cfRule type="expression" dxfId="519" priority="52">
      <formula>J38&gt;0</formula>
    </cfRule>
    <cfRule type="expression" dxfId="518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17" priority="49">
      <formula>M59&gt;0</formula>
    </cfRule>
    <cfRule type="expression" dxfId="516" priority="50">
      <formula>M59&lt;0</formula>
    </cfRule>
  </conditionalFormatting>
  <conditionalFormatting sqref="Q10">
    <cfRule type="expression" dxfId="515" priority="47">
      <formula>Q10&gt;0</formula>
    </cfRule>
    <cfRule type="expression" dxfId="514" priority="48">
      <formula>Q10&lt;0</formula>
    </cfRule>
  </conditionalFormatting>
  <conditionalFormatting sqref="F84:F103">
    <cfRule type="expression" dxfId="513" priority="45">
      <formula>F84&gt;0</formula>
    </cfRule>
    <cfRule type="expression" dxfId="512" priority="46">
      <formula>F84&lt;0</formula>
    </cfRule>
  </conditionalFormatting>
  <conditionalFormatting sqref="H107 H84:H103">
    <cfRule type="expression" dxfId="511" priority="43">
      <formula>H84&gt;0</formula>
    </cfRule>
    <cfRule type="expression" dxfId="510" priority="44">
      <formula>H84&lt;0</formula>
    </cfRule>
  </conditionalFormatting>
  <conditionalFormatting sqref="J89">
    <cfRule type="expression" dxfId="509" priority="41">
      <formula>J89&gt;0</formula>
    </cfRule>
    <cfRule type="expression" dxfId="508" priority="42">
      <formula>J89&lt;0</formula>
    </cfRule>
  </conditionalFormatting>
  <conditionalFormatting sqref="J90:J95">
    <cfRule type="expression" dxfId="507" priority="39">
      <formula>J90&gt;0</formula>
    </cfRule>
    <cfRule type="expression" dxfId="506" priority="40">
      <formula>J90&lt;0</formula>
    </cfRule>
  </conditionalFormatting>
  <conditionalFormatting sqref="J96:J97">
    <cfRule type="expression" dxfId="505" priority="37">
      <formula>J96&gt;0</formula>
    </cfRule>
    <cfRule type="expression" dxfId="504" priority="38">
      <formula>J96&lt;0</formula>
    </cfRule>
  </conditionalFormatting>
  <conditionalFormatting sqref="J98:J104">
    <cfRule type="expression" dxfId="503" priority="35">
      <formula>J98&gt;0</formula>
    </cfRule>
    <cfRule type="expression" dxfId="502" priority="36">
      <formula>J98&lt;0</formula>
    </cfRule>
  </conditionalFormatting>
  <conditionalFormatting sqref="J25">
    <cfRule type="expression" dxfId="501" priority="31">
      <formula>J25&gt;0</formula>
    </cfRule>
    <cfRule type="expression" dxfId="500" priority="32">
      <formula>J25&lt;0</formula>
    </cfRule>
  </conditionalFormatting>
  <conditionalFormatting sqref="F105:F106">
    <cfRule type="expression" dxfId="499" priority="29">
      <formula>F105&gt;0</formula>
    </cfRule>
    <cfRule type="expression" dxfId="498" priority="30">
      <formula>F105&lt;0</formula>
    </cfRule>
  </conditionalFormatting>
  <conditionalFormatting sqref="H105:H106">
    <cfRule type="expression" dxfId="497" priority="27">
      <formula>H105&gt;0</formula>
    </cfRule>
    <cfRule type="expression" dxfId="496" priority="28">
      <formula>H105&lt;0</formula>
    </cfRule>
  </conditionalFormatting>
  <conditionalFormatting sqref="J105">
    <cfRule type="expression" dxfId="495" priority="25">
      <formula>J105&gt;0</formula>
    </cfRule>
    <cfRule type="expression" dxfId="494" priority="26">
      <formula>J105&lt;0</formula>
    </cfRule>
  </conditionalFormatting>
  <conditionalFormatting sqref="J106">
    <cfRule type="expression" dxfId="493" priority="23">
      <formula>J106&gt;0</formula>
    </cfRule>
    <cfRule type="expression" dxfId="492" priority="24">
      <formula>J106&lt;0</formula>
    </cfRule>
  </conditionalFormatting>
  <conditionalFormatting sqref="F24 F27:F28">
    <cfRule type="expression" dxfId="491" priority="21">
      <formula>F24&gt;0</formula>
    </cfRule>
    <cfRule type="expression" dxfId="490" priority="22">
      <formula>F24&lt;0</formula>
    </cfRule>
  </conditionalFormatting>
  <conditionalFormatting sqref="H24:H28">
    <cfRule type="expression" dxfId="489" priority="19">
      <formula>H24&gt;0</formula>
    </cfRule>
    <cfRule type="expression" dxfId="488" priority="20">
      <formula>H24&lt;0</formula>
    </cfRule>
  </conditionalFormatting>
  <conditionalFormatting sqref="J26:J34">
    <cfRule type="expression" dxfId="487" priority="17">
      <formula>J26&gt;0</formula>
    </cfRule>
    <cfRule type="expression" dxfId="486" priority="18">
      <formula>J26&lt;0</formula>
    </cfRule>
  </conditionalFormatting>
  <conditionalFormatting sqref="F113">
    <cfRule type="expression" dxfId="485" priority="15">
      <formula>F113&gt;0</formula>
    </cfRule>
    <cfRule type="expression" dxfId="484" priority="16">
      <formula>F113&lt;0</formula>
    </cfRule>
  </conditionalFormatting>
  <conditionalFormatting sqref="H113">
    <cfRule type="expression" dxfId="483" priority="13">
      <formula>H113&gt;0</formula>
    </cfRule>
    <cfRule type="expression" dxfId="482" priority="14">
      <formula>H113&lt;0</formula>
    </cfRule>
  </conditionalFormatting>
  <conditionalFormatting sqref="J109">
    <cfRule type="expression" dxfId="481" priority="11">
      <formula>J109&gt;0</formula>
    </cfRule>
    <cfRule type="expression" dxfId="480" priority="12">
      <formula>J109&lt;0</formula>
    </cfRule>
  </conditionalFormatting>
  <conditionalFormatting sqref="F108:F112">
    <cfRule type="expression" dxfId="479" priority="9">
      <formula>F108&gt;0</formula>
    </cfRule>
    <cfRule type="expression" dxfId="478" priority="10">
      <formula>F108&lt;0</formula>
    </cfRule>
  </conditionalFormatting>
  <conditionalFormatting sqref="H108:H112">
    <cfRule type="expression" dxfId="477" priority="7">
      <formula>H108&gt;0</formula>
    </cfRule>
    <cfRule type="expression" dxfId="476" priority="8">
      <formula>H108&lt;0</formula>
    </cfRule>
  </conditionalFormatting>
  <conditionalFormatting sqref="J110:J113">
    <cfRule type="expression" dxfId="475" priority="5">
      <formula>J110&gt;0</formula>
    </cfRule>
    <cfRule type="expression" dxfId="474" priority="6">
      <formula>J110&lt;0</formula>
    </cfRule>
  </conditionalFormatting>
  <conditionalFormatting sqref="F25:F26">
    <cfRule type="expression" dxfId="473" priority="3">
      <formula>F25&gt;0</formula>
    </cfRule>
    <cfRule type="expression" dxfId="472" priority="4">
      <formula>F25&lt;0</formula>
    </cfRule>
  </conditionalFormatting>
  <conditionalFormatting sqref="Q9">
    <cfRule type="expression" dxfId="471" priority="1">
      <formula>Q9&gt;0</formula>
    </cfRule>
    <cfRule type="expression" dxfId="470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2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33.588315789473661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2">
        <v>25.5899</v>
      </c>
      <c r="R4" s="223">
        <v>3.6900000000000002E-2</v>
      </c>
      <c r="T4" s="1">
        <v>43096</v>
      </c>
      <c r="U4" t="s">
        <v>786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9724.1620000000003</v>
      </c>
      <c r="U5" t="s">
        <v>787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12763.55999999999</v>
      </c>
      <c r="U6" t="s">
        <v>788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-2964.3779999999902</v>
      </c>
      <c r="R7">
        <v>260</v>
      </c>
      <c r="U7" t="s">
        <v>789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-3039.3979999999901</v>
      </c>
      <c r="U8" t="s">
        <v>790</v>
      </c>
    </row>
    <row r="9" spans="1:29" x14ac:dyDescent="0.25">
      <c r="B9" s="43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-0.23813089764924461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M70</f>
        <v>75.019999999999982</v>
      </c>
      <c r="T10" s="1">
        <v>43103</v>
      </c>
      <c r="U10" t="s">
        <v>837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3.5951684062852922E-2</v>
      </c>
      <c r="R11">
        <f>0.23</f>
        <v>0.23</v>
      </c>
      <c r="U11" t="s">
        <v>838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9" si="3">C12*D12</f>
        <v>2270.4</v>
      </c>
      <c r="G12" s="1">
        <v>43262</v>
      </c>
      <c r="H12" s="80">
        <v>120</v>
      </c>
      <c r="I12" s="43">
        <v>25.68</v>
      </c>
      <c r="J12" s="43">
        <v>0.04</v>
      </c>
      <c r="K12" s="43">
        <f t="shared" si="1"/>
        <v>3081.56</v>
      </c>
      <c r="O12" s="11" t="s">
        <v>948</v>
      </c>
      <c r="Q12" s="1"/>
      <c r="T12" s="1">
        <v>43110</v>
      </c>
      <c r="U12" t="s">
        <v>866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O13" s="11" t="s">
        <v>975</v>
      </c>
      <c r="Q13">
        <f>Q4/2.67</f>
        <v>9.5842322097378272</v>
      </c>
      <c r="T13" s="1">
        <v>43112</v>
      </c>
      <c r="U13" t="s">
        <v>862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863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865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72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902</v>
      </c>
    </row>
    <row r="18" spans="1:21" ht="20.25" thickBot="1" x14ac:dyDescent="0.35">
      <c r="B18" s="72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6" t="s">
        <v>78</v>
      </c>
      <c r="P18" s="236"/>
    </row>
    <row r="19" spans="1:21" ht="15.75" thickTop="1" x14ac:dyDescent="0.25">
      <c r="B19" s="474">
        <v>43249</v>
      </c>
      <c r="C19" s="7">
        <v>120</v>
      </c>
      <c r="D19" s="43">
        <v>24.65</v>
      </c>
      <c r="E19" s="43">
        <v>0</v>
      </c>
      <c r="F19" s="43">
        <f t="shared" si="3"/>
        <v>2958</v>
      </c>
      <c r="O19" s="81">
        <v>1.1000000000000001</v>
      </c>
      <c r="P19" s="81">
        <f>O19*$Q$4</f>
        <v>28.148890000000002</v>
      </c>
      <c r="T19" s="1">
        <v>43125</v>
      </c>
      <c r="U19" t="s">
        <v>916</v>
      </c>
    </row>
    <row r="20" spans="1:21" x14ac:dyDescent="0.25">
      <c r="C20" s="4"/>
      <c r="D20" s="3"/>
      <c r="E20" s="3"/>
      <c r="F20" s="3"/>
      <c r="O20" s="81">
        <v>1.0900000000000001</v>
      </c>
      <c r="P20" s="81">
        <f t="shared" ref="P20:P39" si="4">O20*$Q$4</f>
        <v>27.892991000000002</v>
      </c>
      <c r="T20" s="1">
        <v>43126</v>
      </c>
      <c r="U20" t="s">
        <v>914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27.637092000000003</v>
      </c>
      <c r="U21" t="s">
        <v>915</v>
      </c>
    </row>
    <row r="22" spans="1:21" x14ac:dyDescent="0.25">
      <c r="O22" s="81">
        <v>1.07</v>
      </c>
      <c r="P22" s="81">
        <f t="shared" si="4"/>
        <v>27.381193000000003</v>
      </c>
    </row>
    <row r="23" spans="1:21" x14ac:dyDescent="0.25">
      <c r="A23" s="35" t="s">
        <v>81</v>
      </c>
      <c r="B23" s="36"/>
      <c r="C23" s="36">
        <f>SUM(C2:C22)</f>
        <v>1500</v>
      </c>
      <c r="D23" s="37"/>
      <c r="E23" s="37"/>
      <c r="F23" s="37">
        <f>SUM(F2:F22)</f>
        <v>44358.69999999999</v>
      </c>
      <c r="G23" s="36"/>
      <c r="H23" s="175">
        <f>SUM(H2:H22)</f>
        <v>1120</v>
      </c>
      <c r="I23" s="37"/>
      <c r="J23" s="37"/>
      <c r="K23" s="37">
        <f>SUM(K2:K22)</f>
        <v>31415.739999999998</v>
      </c>
      <c r="L23" s="37"/>
      <c r="M23" s="37">
        <f>SUM(M2:M3)</f>
        <v>179.4</v>
      </c>
      <c r="O23" s="81">
        <v>1.06</v>
      </c>
      <c r="P23" s="81">
        <f t="shared" si="4"/>
        <v>27.125294</v>
      </c>
      <c r="T23" s="1">
        <v>43128</v>
      </c>
      <c r="U23" t="s">
        <v>917</v>
      </c>
    </row>
    <row r="24" spans="1:21" ht="15.75" thickBot="1" x14ac:dyDescent="0.3">
      <c r="A24" s="341" t="s">
        <v>193</v>
      </c>
      <c r="B24" s="342"/>
      <c r="C24" s="343">
        <f>SumByColor($A$24,C2:C22)</f>
        <v>1080</v>
      </c>
      <c r="D24" s="343"/>
      <c r="E24" s="343"/>
      <c r="F24" s="344">
        <f>SumByColor($A$24,F2:F23)</f>
        <v>29688</v>
      </c>
      <c r="G24" s="343"/>
      <c r="H24" s="343">
        <f>SumByColor($A$24,H2:H22)</f>
        <v>1120</v>
      </c>
      <c r="I24" s="343"/>
      <c r="J24" s="343"/>
      <c r="K24" s="344">
        <f>SumByColor($A$24,K2:K22)</f>
        <v>31417</v>
      </c>
      <c r="L24" s="343"/>
      <c r="M24" s="344">
        <f>SumByColor($A$24,M2:M22)</f>
        <v>179</v>
      </c>
      <c r="O24" s="81">
        <v>1.05</v>
      </c>
      <c r="P24" s="81">
        <f t="shared" si="4"/>
        <v>26.869395000000001</v>
      </c>
    </row>
    <row r="25" spans="1:21" x14ac:dyDescent="0.25">
      <c r="O25" s="81">
        <v>1.04</v>
      </c>
      <c r="P25" s="81">
        <f t="shared" si="4"/>
        <v>26.613496000000001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498</v>
      </c>
      <c r="K26" s="186" t="s">
        <v>150</v>
      </c>
      <c r="L26" s="186" t="s">
        <v>975</v>
      </c>
      <c r="O26" s="81">
        <v>1.03</v>
      </c>
      <c r="P26" s="81">
        <f t="shared" si="4"/>
        <v>26.357597000000002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4"/>
        <v>26.101697999999999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L28" s="222"/>
      <c r="O28" s="81">
        <v>1.01</v>
      </c>
      <c r="P28" s="81">
        <f t="shared" si="4"/>
        <v>25.845799</v>
      </c>
      <c r="T28" s="772">
        <v>43136</v>
      </c>
      <c r="U28" t="s">
        <v>864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L29" s="222"/>
      <c r="O29" s="81">
        <v>1</v>
      </c>
      <c r="P29" s="81">
        <f t="shared" si="4"/>
        <v>25.5899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L30" s="222"/>
      <c r="O30" s="81">
        <v>0.99</v>
      </c>
      <c r="P30" s="81">
        <f t="shared" si="4"/>
        <v>25.334001000000001</v>
      </c>
      <c r="T30" s="1">
        <v>43175</v>
      </c>
      <c r="U30" t="s">
        <v>1123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L31" s="223"/>
      <c r="O31" s="81">
        <v>0.98</v>
      </c>
      <c r="P31" s="81">
        <f t="shared" si="4"/>
        <v>25.078102000000001</v>
      </c>
      <c r="T31" s="1">
        <v>43178</v>
      </c>
      <c r="U31" t="s">
        <v>963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L32" s="223"/>
      <c r="O32" s="81">
        <v>0.97</v>
      </c>
      <c r="P32" s="81">
        <f t="shared" si="4"/>
        <v>24.822202999999998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L33" s="223"/>
      <c r="O33" s="81">
        <v>0.96</v>
      </c>
      <c r="P33" s="81">
        <f t="shared" si="4"/>
        <v>24.566303999999999</v>
      </c>
      <c r="T33" s="1">
        <v>43217</v>
      </c>
      <c r="U33" t="s">
        <v>1037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4"/>
        <v>24.310404999999999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4"/>
        <v>24.054506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4"/>
        <v>23.798607000000001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L37" s="39"/>
      <c r="O37" s="81">
        <v>0.92</v>
      </c>
      <c r="P37" s="81">
        <f t="shared" si="4"/>
        <v>23.542708000000001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L38" s="39"/>
      <c r="O38" s="81">
        <v>0.91</v>
      </c>
      <c r="P38" s="81">
        <f t="shared" si="4"/>
        <v>23.286809000000002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780</v>
      </c>
      <c r="J39" s="39"/>
      <c r="K39" s="39"/>
      <c r="L39" s="39"/>
      <c r="O39" s="81">
        <v>0.9</v>
      </c>
      <c r="P39" s="81">
        <f t="shared" si="4"/>
        <v>23.030910000000002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1048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ref="F59:F60" si="29">C59*(E59-D59)</f>
        <v>-2858.8539999999998</v>
      </c>
      <c r="G59" s="39">
        <f t="shared" ref="G59:G60" si="30">D59*C59</f>
        <v>12887.054</v>
      </c>
      <c r="H59" s="223">
        <f t="shared" ref="H59:H60" si="31">(E59-D59)/D59</f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A60">
        <v>180</v>
      </c>
      <c r="B60" s="184">
        <v>43249</v>
      </c>
      <c r="C60" s="10">
        <v>500</v>
      </c>
      <c r="D60" s="39">
        <v>31.690200000000001</v>
      </c>
      <c r="E60" s="39">
        <v>24.83</v>
      </c>
      <c r="F60" s="39">
        <f t="shared" si="29"/>
        <v>-3430.1000000000013</v>
      </c>
      <c r="G60" s="39">
        <f t="shared" si="30"/>
        <v>15845.1</v>
      </c>
      <c r="H60" s="223">
        <f t="shared" si="31"/>
        <v>-0.21647701813178846</v>
      </c>
      <c r="I60" s="39"/>
      <c r="J60" s="39"/>
      <c r="K60" s="39">
        <v>-3355</v>
      </c>
      <c r="L60" s="193">
        <v>9.3000000000000007</v>
      </c>
      <c r="Q60" s="81"/>
    </row>
    <row r="61" spans="1:18" x14ac:dyDescent="0.25">
      <c r="A61">
        <v>380</v>
      </c>
      <c r="B61" s="184">
        <v>43254</v>
      </c>
      <c r="C61" s="10">
        <v>500</v>
      </c>
      <c r="D61" s="39">
        <v>31.690200000000001</v>
      </c>
      <c r="E61" s="39">
        <v>23.12</v>
      </c>
      <c r="F61" s="39">
        <f t="shared" ref="F61:F62" si="32">C61*(E61-D61)</f>
        <v>-4285.1000000000004</v>
      </c>
      <c r="G61" s="39">
        <f t="shared" ref="G61:G62" si="33">D61*C61</f>
        <v>15845.1</v>
      </c>
      <c r="H61" s="223">
        <f t="shared" ref="H61:H62" si="34">(E61-D61)/D61</f>
        <v>-0.27043691740664305</v>
      </c>
      <c r="I61" s="39"/>
      <c r="J61" s="39"/>
      <c r="K61" s="39">
        <v>-4210</v>
      </c>
      <c r="L61" s="193">
        <v>8.66</v>
      </c>
      <c r="Q61" s="81"/>
    </row>
    <row r="62" spans="1:18" x14ac:dyDescent="0.25">
      <c r="A62">
        <v>260</v>
      </c>
      <c r="B62" s="184">
        <v>43262</v>
      </c>
      <c r="C62" s="425">
        <v>380</v>
      </c>
      <c r="D62" s="426">
        <v>33.588299999999997</v>
      </c>
      <c r="E62" s="39">
        <v>25.59</v>
      </c>
      <c r="F62" s="39">
        <f t="shared" si="32"/>
        <v>-3039.3539999999989</v>
      </c>
      <c r="G62" s="39">
        <f t="shared" si="33"/>
        <v>12763.553999999998</v>
      </c>
      <c r="H62" s="223">
        <f t="shared" si="34"/>
        <v>-0.23812756227614967</v>
      </c>
      <c r="I62" s="39"/>
      <c r="J62" s="39"/>
      <c r="K62" s="39">
        <v>-2964</v>
      </c>
      <c r="L62" s="193">
        <v>9.58</v>
      </c>
      <c r="Q62" s="81"/>
    </row>
    <row r="63" spans="1:18" x14ac:dyDescent="0.25">
      <c r="B63" s="184"/>
      <c r="C63" s="10"/>
      <c r="D63" s="39"/>
      <c r="E63" s="39"/>
      <c r="F63" s="39"/>
      <c r="G63" s="39"/>
      <c r="H63" s="223"/>
      <c r="I63" s="39"/>
      <c r="J63" s="39"/>
      <c r="K63" s="39"/>
      <c r="L63" s="193"/>
      <c r="Q63" s="81"/>
    </row>
    <row r="64" spans="1:18" x14ac:dyDescent="0.25">
      <c r="B64" s="184"/>
      <c r="C64" s="10"/>
      <c r="D64" s="39"/>
      <c r="E64" s="39"/>
      <c r="F64" s="39"/>
      <c r="G64" s="39"/>
      <c r="H64" s="223"/>
      <c r="I64" s="39"/>
      <c r="J64" s="39"/>
      <c r="K64" s="39"/>
      <c r="L64" s="193"/>
      <c r="O64" s="33"/>
    </row>
    <row r="65" spans="1:15" x14ac:dyDescent="0.25">
      <c r="B65" s="184"/>
      <c r="C65" s="10"/>
      <c r="D65" s="39"/>
      <c r="E65" s="39"/>
      <c r="F65" s="39"/>
      <c r="G65" s="39"/>
      <c r="H65" s="223"/>
      <c r="I65" s="39"/>
      <c r="J65" s="39"/>
      <c r="K65" s="39"/>
      <c r="L65" s="193"/>
    </row>
    <row r="66" spans="1:15" x14ac:dyDescent="0.25">
      <c r="B66" s="184"/>
      <c r="C66" s="10"/>
      <c r="D66" s="39"/>
      <c r="E66" s="39"/>
      <c r="F66" s="39"/>
      <c r="G66" s="39"/>
      <c r="H66" s="223"/>
      <c r="I66" s="39"/>
      <c r="J66" s="39"/>
      <c r="K66" s="39"/>
      <c r="L66" s="193"/>
    </row>
    <row r="67" spans="1:15" x14ac:dyDescent="0.25">
      <c r="B67" s="184"/>
      <c r="C67" s="10"/>
      <c r="D67" s="39"/>
      <c r="E67" s="39"/>
      <c r="F67" s="39"/>
      <c r="G67" s="39"/>
      <c r="H67" s="223"/>
      <c r="I67" s="39"/>
      <c r="J67" s="39"/>
      <c r="K67" s="39"/>
      <c r="L67" s="193"/>
    </row>
    <row r="68" spans="1:15" x14ac:dyDescent="0.25">
      <c r="B68" s="184"/>
      <c r="C68" s="10"/>
      <c r="D68" s="39"/>
      <c r="E68" s="39"/>
      <c r="F68" s="39"/>
      <c r="G68" s="39"/>
      <c r="H68" s="223"/>
      <c r="I68" s="39"/>
      <c r="J68" s="39"/>
      <c r="K68" s="39"/>
      <c r="L68" s="193"/>
    </row>
    <row r="69" spans="1:15" x14ac:dyDescent="0.25">
      <c r="B69" s="4"/>
      <c r="C69" s="4"/>
      <c r="D69" s="3"/>
      <c r="E69" s="3"/>
      <c r="F69" s="3"/>
      <c r="G69" s="3"/>
      <c r="H69" s="224"/>
      <c r="I69" s="3"/>
      <c r="J69" s="3"/>
      <c r="K69" s="3"/>
      <c r="O69" s="33"/>
    </row>
    <row r="70" spans="1:15" x14ac:dyDescent="0.25">
      <c r="L70" t="s">
        <v>210</v>
      </c>
      <c r="M70" s="2">
        <f>M84+K84-F84</f>
        <v>75.019999999999982</v>
      </c>
    </row>
    <row r="71" spans="1:15" x14ac:dyDescent="0.25">
      <c r="A71" s="368" t="s">
        <v>1</v>
      </c>
      <c r="B71" s="368" t="s">
        <v>2</v>
      </c>
      <c r="C71" s="368" t="s">
        <v>4</v>
      </c>
      <c r="D71" s="370" t="s">
        <v>5</v>
      </c>
      <c r="E71" s="370" t="s">
        <v>94</v>
      </c>
      <c r="F71" s="370" t="s">
        <v>60</v>
      </c>
      <c r="G71" s="368" t="s">
        <v>3</v>
      </c>
      <c r="H71" s="368" t="s">
        <v>6</v>
      </c>
      <c r="I71" s="370" t="s">
        <v>7</v>
      </c>
      <c r="J71" s="370" t="s">
        <v>95</v>
      </c>
      <c r="K71" s="370" t="s">
        <v>61</v>
      </c>
      <c r="L71" s="368" t="s">
        <v>77</v>
      </c>
      <c r="M71" s="368" t="s">
        <v>38</v>
      </c>
    </row>
    <row r="72" spans="1:15" x14ac:dyDescent="0.25">
      <c r="A72" s="371" t="s">
        <v>174</v>
      </c>
      <c r="B72" s="361">
        <v>42376</v>
      </c>
      <c r="C72" s="362">
        <v>60</v>
      </c>
      <c r="D72" s="363">
        <v>41.01</v>
      </c>
      <c r="E72" s="363">
        <v>0</v>
      </c>
      <c r="F72" s="363">
        <f>C72*D72</f>
        <v>2460.6</v>
      </c>
      <c r="G72" s="361">
        <v>42426</v>
      </c>
      <c r="H72" s="366">
        <v>20</v>
      </c>
      <c r="I72" s="363">
        <v>38.450000000000003</v>
      </c>
      <c r="J72" s="363">
        <v>0.02</v>
      </c>
      <c r="K72" s="363">
        <f>H72*I72-J72</f>
        <v>768.98</v>
      </c>
      <c r="L72" s="361">
        <v>42444</v>
      </c>
      <c r="M72" s="363">
        <v>15.2</v>
      </c>
    </row>
    <row r="73" spans="1:15" x14ac:dyDescent="0.25">
      <c r="A73" s="372" t="s">
        <v>71</v>
      </c>
      <c r="B73" s="361">
        <v>42403</v>
      </c>
      <c r="C73" s="362">
        <v>20</v>
      </c>
      <c r="D73" s="363">
        <v>35.5</v>
      </c>
      <c r="E73" s="363">
        <v>0</v>
      </c>
      <c r="F73" s="363">
        <f>C73*D73</f>
        <v>710</v>
      </c>
      <c r="G73" s="361">
        <v>42426</v>
      </c>
      <c r="H73" s="366">
        <v>30</v>
      </c>
      <c r="I73" s="363">
        <v>38.75</v>
      </c>
      <c r="J73" s="363">
        <v>0.03</v>
      </c>
      <c r="K73" s="363">
        <f>H73*I73-J73</f>
        <v>1162.47</v>
      </c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1">
        <v>42447</v>
      </c>
      <c r="H74" s="366">
        <v>30</v>
      </c>
      <c r="I74" s="363">
        <v>43.3</v>
      </c>
      <c r="J74" s="363">
        <v>0.03</v>
      </c>
      <c r="K74" s="363">
        <f>H74*I74-J74</f>
        <v>1298.97</v>
      </c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62"/>
      <c r="B76" s="362"/>
      <c r="C76" s="362"/>
      <c r="D76" s="363"/>
      <c r="E76" s="363"/>
      <c r="F76" s="363"/>
      <c r="G76" s="362"/>
      <c r="H76" s="362"/>
      <c r="I76" s="363"/>
      <c r="J76" s="363"/>
      <c r="K76" s="363"/>
      <c r="L76" s="362"/>
      <c r="M76" s="362"/>
    </row>
    <row r="77" spans="1:15" x14ac:dyDescent="0.25">
      <c r="A77" s="362"/>
      <c r="B77" s="362"/>
      <c r="C77" s="362"/>
      <c r="D77" s="363"/>
      <c r="E77" s="363"/>
      <c r="F77" s="363"/>
      <c r="G77" s="362"/>
      <c r="H77" s="362"/>
      <c r="I77" s="363"/>
      <c r="J77" s="363"/>
      <c r="K77" s="363"/>
      <c r="L77" s="362"/>
      <c r="M77" s="362"/>
    </row>
    <row r="78" spans="1:15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2"/>
      <c r="H79" s="362"/>
      <c r="I79" s="363"/>
      <c r="J79" s="363"/>
      <c r="K79" s="363"/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3"/>
      <c r="J83" s="363"/>
      <c r="K83" s="363"/>
      <c r="L83" s="362"/>
      <c r="M83" s="362"/>
    </row>
    <row r="84" spans="1:13" x14ac:dyDescent="0.25">
      <c r="A84" s="35" t="s">
        <v>81</v>
      </c>
      <c r="B84" s="36"/>
      <c r="C84" s="36">
        <f>SUM(C72:C83)</f>
        <v>80</v>
      </c>
      <c r="D84" s="37"/>
      <c r="E84" s="37"/>
      <c r="F84" s="37">
        <f>SUM(F72:F83)</f>
        <v>3170.6</v>
      </c>
      <c r="G84" s="36"/>
      <c r="H84" s="175">
        <f>SUM(H72:H83)</f>
        <v>80</v>
      </c>
      <c r="I84" s="37"/>
      <c r="J84" s="37"/>
      <c r="K84" s="37">
        <f>SUM(K72:K83)</f>
        <v>3230.42</v>
      </c>
      <c r="L84" s="37"/>
      <c r="M84" s="37">
        <f>SUM(M72:M73)</f>
        <v>15.2</v>
      </c>
    </row>
    <row r="85" spans="1:13" x14ac:dyDescent="0.25">
      <c r="G85" s="2"/>
    </row>
    <row r="87" spans="1:13" x14ac:dyDescent="0.25">
      <c r="B87" s="258" t="s">
        <v>113</v>
      </c>
      <c r="C87" s="258" t="s">
        <v>146</v>
      </c>
      <c r="D87" s="259" t="s">
        <v>145</v>
      </c>
      <c r="E87" s="260" t="s">
        <v>147</v>
      </c>
      <c r="F87" s="261" t="s">
        <v>65</v>
      </c>
      <c r="G87" s="262" t="s">
        <v>151</v>
      </c>
      <c r="H87" s="261" t="s">
        <v>88</v>
      </c>
      <c r="I87" s="261" t="s">
        <v>154</v>
      </c>
    </row>
    <row r="88" spans="1:13" x14ac:dyDescent="0.25">
      <c r="B88" s="255">
        <v>42376</v>
      </c>
      <c r="C88" s="250">
        <v>60</v>
      </c>
      <c r="D88" s="251">
        <v>41.01</v>
      </c>
      <c r="E88" s="251">
        <v>40.33</v>
      </c>
      <c r="F88" s="251">
        <f>C88*(E88-D88)</f>
        <v>-40.799999999999983</v>
      </c>
      <c r="G88" s="251">
        <f>D88*C88</f>
        <v>2460.6</v>
      </c>
      <c r="H88" s="265">
        <f>(E88-D88)/D88</f>
        <v>-1.6581321628871E-2</v>
      </c>
      <c r="I88" s="265"/>
    </row>
    <row r="89" spans="1:13" x14ac:dyDescent="0.25">
      <c r="B89" s="255">
        <v>42403</v>
      </c>
      <c r="C89" s="250">
        <v>80</v>
      </c>
      <c r="D89" s="251">
        <v>39.630000000000003</v>
      </c>
      <c r="E89" s="251">
        <v>36.229999999999997</v>
      </c>
      <c r="F89" s="251">
        <f>C89*(E89-D89)</f>
        <v>-272.00000000000045</v>
      </c>
      <c r="G89" s="251">
        <f>D89*C89</f>
        <v>3170.4</v>
      </c>
      <c r="H89" s="265">
        <f>(E89-D89)/D89</f>
        <v>-8.5793590714105611E-2</v>
      </c>
      <c r="I89" s="265"/>
    </row>
    <row r="90" spans="1:13" x14ac:dyDescent="0.25">
      <c r="B90" s="255">
        <v>42421</v>
      </c>
      <c r="C90" s="250">
        <v>80</v>
      </c>
      <c r="D90" s="251">
        <v>39.630000000000003</v>
      </c>
      <c r="E90" s="251">
        <v>37.46</v>
      </c>
      <c r="F90" s="251">
        <f>C90*(E90-D90)</f>
        <v>-173.60000000000014</v>
      </c>
      <c r="G90" s="251">
        <f>D90*C90</f>
        <v>3170.4</v>
      </c>
      <c r="H90" s="265">
        <f>(E90-D90)/D90</f>
        <v>-5.4756497602826179E-2</v>
      </c>
      <c r="I90" s="265"/>
    </row>
    <row r="91" spans="1:13" x14ac:dyDescent="0.25">
      <c r="B91" s="255">
        <v>42426</v>
      </c>
      <c r="C91" s="250">
        <v>60</v>
      </c>
      <c r="D91" s="251">
        <v>40.03</v>
      </c>
      <c r="E91" s="251">
        <v>38.450000000000003</v>
      </c>
      <c r="F91" s="251">
        <f t="shared" ref="F91:F97" si="35">C91*(E91-D91)</f>
        <v>-94.799999999999898</v>
      </c>
      <c r="G91" s="251">
        <f t="shared" ref="G91:G97" si="36">D91*C91</f>
        <v>2401.8000000000002</v>
      </c>
      <c r="H91" s="265">
        <f t="shared" ref="H91:H97" si="37">(E91-D91)/D91</f>
        <v>-3.9470397202098384E-2</v>
      </c>
      <c r="I91" s="265"/>
    </row>
    <row r="92" spans="1:13" x14ac:dyDescent="0.25">
      <c r="B92" s="255">
        <v>42426</v>
      </c>
      <c r="C92" s="250">
        <v>30</v>
      </c>
      <c r="D92" s="251">
        <v>41.31</v>
      </c>
      <c r="E92" s="251">
        <v>38.44</v>
      </c>
      <c r="F92" s="251">
        <f t="shared" si="35"/>
        <v>-86.100000000000136</v>
      </c>
      <c r="G92" s="251">
        <f t="shared" si="36"/>
        <v>1239.3000000000002</v>
      </c>
      <c r="H92" s="263">
        <f t="shared" si="37"/>
        <v>-6.9474703461631676E-2</v>
      </c>
      <c r="I92" s="263"/>
    </row>
    <row r="93" spans="1:13" x14ac:dyDescent="0.25">
      <c r="B93" s="255">
        <v>42430</v>
      </c>
      <c r="C93" s="250">
        <v>30</v>
      </c>
      <c r="D93" s="251">
        <v>41.31</v>
      </c>
      <c r="E93" s="251">
        <v>39.51</v>
      </c>
      <c r="F93" s="251">
        <f t="shared" si="35"/>
        <v>-54.000000000000128</v>
      </c>
      <c r="G93" s="251">
        <f t="shared" si="36"/>
        <v>1239.3000000000002</v>
      </c>
      <c r="H93" s="263">
        <f t="shared" si="37"/>
        <v>-4.3572984749455437E-2</v>
      </c>
      <c r="I93" s="263"/>
    </row>
    <row r="94" spans="1:13" x14ac:dyDescent="0.25">
      <c r="B94" s="255">
        <v>42431</v>
      </c>
      <c r="C94" s="250">
        <v>30</v>
      </c>
      <c r="D94" s="251">
        <v>41.305</v>
      </c>
      <c r="E94" s="251">
        <v>40.31</v>
      </c>
      <c r="F94" s="251">
        <f t="shared" si="35"/>
        <v>-29.849999999999923</v>
      </c>
      <c r="G94" s="251">
        <f t="shared" si="36"/>
        <v>1239.1500000000001</v>
      </c>
      <c r="H94" s="263">
        <f t="shared" si="37"/>
        <v>-2.4089093330105251E-2</v>
      </c>
      <c r="I94" s="263"/>
    </row>
    <row r="95" spans="1:13" x14ac:dyDescent="0.25">
      <c r="B95" s="255">
        <v>42435</v>
      </c>
      <c r="C95" s="250">
        <v>30</v>
      </c>
      <c r="D95" s="251">
        <v>41.305</v>
      </c>
      <c r="E95" s="251">
        <v>40.98</v>
      </c>
      <c r="F95" s="251">
        <f t="shared" si="35"/>
        <v>-9.7500000000000853</v>
      </c>
      <c r="G95" s="251">
        <f t="shared" si="36"/>
        <v>1239.1500000000001</v>
      </c>
      <c r="H95" s="263">
        <f t="shared" si="37"/>
        <v>-7.8682968163661261E-3</v>
      </c>
      <c r="I95" s="263"/>
    </row>
    <row r="96" spans="1:13" x14ac:dyDescent="0.25">
      <c r="B96" s="255">
        <v>42436</v>
      </c>
      <c r="C96" s="250">
        <v>30</v>
      </c>
      <c r="D96" s="251">
        <v>41.305</v>
      </c>
      <c r="E96" s="251">
        <v>39.590000000000003</v>
      </c>
      <c r="F96" s="251">
        <f t="shared" si="35"/>
        <v>-51.449999999999889</v>
      </c>
      <c r="G96" s="251">
        <f t="shared" si="36"/>
        <v>1239.1500000000001</v>
      </c>
      <c r="H96" s="263">
        <f t="shared" si="37"/>
        <v>-4.1520397046362338E-2</v>
      </c>
      <c r="I96" s="263"/>
    </row>
    <row r="97" spans="2:9" x14ac:dyDescent="0.25">
      <c r="B97" s="255">
        <v>42444</v>
      </c>
      <c r="C97" s="250">
        <v>30</v>
      </c>
      <c r="D97" s="251">
        <v>41.305</v>
      </c>
      <c r="E97" s="251">
        <v>41.37</v>
      </c>
      <c r="F97" s="251">
        <f t="shared" si="35"/>
        <v>1.9499999999999318</v>
      </c>
      <c r="G97" s="251">
        <f t="shared" si="36"/>
        <v>1239.1500000000001</v>
      </c>
      <c r="H97" s="263">
        <f t="shared" si="37"/>
        <v>1.5736593632731564E-3</v>
      </c>
      <c r="I97" s="263"/>
    </row>
    <row r="98" spans="2:9" x14ac:dyDescent="0.25">
      <c r="B98" s="255">
        <v>42444</v>
      </c>
      <c r="C98" s="250">
        <v>30</v>
      </c>
      <c r="D98" s="251">
        <v>40.47983</v>
      </c>
      <c r="E98" s="251">
        <v>41.37</v>
      </c>
      <c r="F98" s="251">
        <f>C98*(E98-D98)</f>
        <v>26.705099999999931</v>
      </c>
      <c r="G98" s="251">
        <f>D98*C98</f>
        <v>1214.3949</v>
      </c>
      <c r="H98" s="263">
        <f>(E98-D98)/D98</f>
        <v>2.1990457963879731E-2</v>
      </c>
      <c r="I98" s="263" t="s">
        <v>182</v>
      </c>
    </row>
    <row r="99" spans="2:9" x14ac:dyDescent="0.25">
      <c r="B99" s="255">
        <v>42447</v>
      </c>
      <c r="C99" s="250">
        <v>0</v>
      </c>
      <c r="D99" s="251"/>
      <c r="E99" s="251"/>
      <c r="F99" s="251">
        <v>75.02</v>
      </c>
      <c r="G99" s="251"/>
      <c r="H99" s="263"/>
      <c r="I99" s="263"/>
    </row>
    <row r="100" spans="2:9" x14ac:dyDescent="0.25">
      <c r="B100" s="250"/>
      <c r="C100" s="250"/>
      <c r="D100" s="251"/>
      <c r="E100" s="251"/>
      <c r="F100" s="251"/>
      <c r="G100" s="251"/>
      <c r="H100" s="263"/>
      <c r="I100" s="263"/>
    </row>
    <row r="101" spans="2:9" x14ac:dyDescent="0.25">
      <c r="B101" s="250"/>
      <c r="C101" s="250"/>
      <c r="D101" s="251"/>
      <c r="E101" s="251"/>
      <c r="F101" s="251"/>
      <c r="G101" s="251"/>
      <c r="H101" s="263"/>
      <c r="I101" s="263"/>
    </row>
    <row r="102" spans="2:9" x14ac:dyDescent="0.25">
      <c r="B102" s="250"/>
      <c r="C102" s="250"/>
      <c r="D102" s="251"/>
      <c r="E102" s="251"/>
      <c r="F102" s="251"/>
      <c r="G102" s="251"/>
      <c r="H102" s="263"/>
      <c r="I102" s="263"/>
    </row>
    <row r="103" spans="2:9" x14ac:dyDescent="0.25">
      <c r="B103" s="250"/>
      <c r="C103" s="250"/>
      <c r="D103" s="251"/>
      <c r="E103" s="251"/>
      <c r="F103" s="251"/>
      <c r="G103" s="251"/>
      <c r="H103" s="263"/>
      <c r="I103" s="263"/>
    </row>
    <row r="104" spans="2:9" x14ac:dyDescent="0.25">
      <c r="B104" s="250"/>
      <c r="C104" s="250"/>
      <c r="D104" s="251"/>
      <c r="E104" s="251"/>
      <c r="F104" s="251"/>
      <c r="G104" s="251"/>
      <c r="H104" s="263"/>
      <c r="I104" s="263"/>
    </row>
    <row r="105" spans="2:9" x14ac:dyDescent="0.25">
      <c r="B105" s="250"/>
      <c r="C105" s="250"/>
      <c r="D105" s="251"/>
      <c r="E105" s="251"/>
      <c r="F105" s="251"/>
      <c r="G105" s="251"/>
      <c r="H105" s="263"/>
      <c r="I105" s="263"/>
    </row>
    <row r="106" spans="2:9" x14ac:dyDescent="0.25">
      <c r="B106" s="250"/>
      <c r="C106" s="250"/>
      <c r="D106" s="251"/>
      <c r="E106" s="251"/>
      <c r="F106" s="251"/>
      <c r="G106" s="251"/>
      <c r="H106" s="263"/>
      <c r="I106" s="263"/>
    </row>
  </sheetData>
  <conditionalFormatting sqref="O19:O39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F55:F57 H55:H57 J55:K57 I47:L51 L53:L55 H62:K62 F62 F66:F68 H66:K69">
    <cfRule type="expression" dxfId="469" priority="69">
      <formula>F31&gt;0</formula>
    </cfRule>
    <cfRule type="expression" dxfId="468" priority="70">
      <formula>F31&lt;0</formula>
    </cfRule>
  </conditionalFormatting>
  <conditionalFormatting sqref="H31:H33">
    <cfRule type="expression" dxfId="467" priority="67">
      <formula>H31&gt;0</formula>
    </cfRule>
    <cfRule type="expression" dxfId="466" priority="68">
      <formula>H31&lt;0</formula>
    </cfRule>
  </conditionalFormatting>
  <conditionalFormatting sqref="H34">
    <cfRule type="expression" dxfId="465" priority="65">
      <formula>H34&gt;0</formula>
    </cfRule>
    <cfRule type="expression" dxfId="464" priority="66">
      <formula>H34&lt;0</formula>
    </cfRule>
  </conditionalFormatting>
  <conditionalFormatting sqref="H35">
    <cfRule type="expression" dxfId="463" priority="63">
      <formula>H35&gt;0</formula>
    </cfRule>
    <cfRule type="expression" dxfId="462" priority="64">
      <formula>H35&lt;0</formula>
    </cfRule>
  </conditionalFormatting>
  <conditionalFormatting sqref="F27:F30">
    <cfRule type="expression" dxfId="461" priority="59">
      <formula>F27&gt;0</formula>
    </cfRule>
    <cfRule type="expression" dxfId="460" priority="60">
      <formula>F27&lt;0</formula>
    </cfRule>
  </conditionalFormatting>
  <conditionalFormatting sqref="H27:H30">
    <cfRule type="expression" dxfId="459" priority="57">
      <formula>H27&gt;0</formula>
    </cfRule>
    <cfRule type="expression" dxfId="458" priority="58">
      <formula>H27&lt;0</formula>
    </cfRule>
  </conditionalFormatting>
  <conditionalFormatting sqref="F36:F37">
    <cfRule type="expression" dxfId="457" priority="53">
      <formula>F36&gt;0</formula>
    </cfRule>
    <cfRule type="expression" dxfId="456" priority="54">
      <formula>F36&lt;0</formula>
    </cfRule>
  </conditionalFormatting>
  <conditionalFormatting sqref="I31:L33">
    <cfRule type="expression" dxfId="455" priority="51">
      <formula>I31&gt;0</formula>
    </cfRule>
    <cfRule type="expression" dxfId="454" priority="52">
      <formula>I31&lt;0</formula>
    </cfRule>
  </conditionalFormatting>
  <conditionalFormatting sqref="I40:I45 I37:L38">
    <cfRule type="expression" dxfId="453" priority="45">
      <formula>I37&gt;0</formula>
    </cfRule>
    <cfRule type="expression" dxfId="452" priority="46">
      <formula>I37&lt;0</formula>
    </cfRule>
  </conditionalFormatting>
  <conditionalFormatting sqref="I27:L30">
    <cfRule type="expression" dxfId="451" priority="43">
      <formula>I27&gt;0</formula>
    </cfRule>
    <cfRule type="expression" dxfId="450" priority="44">
      <formula>I27&lt;0</formula>
    </cfRule>
  </conditionalFormatting>
  <conditionalFormatting sqref="F38:F49">
    <cfRule type="expression" dxfId="449" priority="41">
      <formula>F38&gt;0</formula>
    </cfRule>
    <cfRule type="expression" dxfId="448" priority="42">
      <formula>F38&lt;0</formula>
    </cfRule>
  </conditionalFormatting>
  <conditionalFormatting sqref="Q8">
    <cfRule type="expression" dxfId="447" priority="37">
      <formula>Q8&gt;0</formula>
    </cfRule>
    <cfRule type="expression" dxfId="446" priority="38">
      <formula>Q8&lt;0</formula>
    </cfRule>
  </conditionalFormatting>
  <conditionalFormatting sqref="Q7">
    <cfRule type="expression" dxfId="445" priority="39">
      <formula>Q7&gt;0</formula>
    </cfRule>
    <cfRule type="expression" dxfId="444" priority="40">
      <formula>Q7&lt;0</formula>
    </cfRule>
  </conditionalFormatting>
  <conditionalFormatting sqref="F92:F96">
    <cfRule type="expression" dxfId="443" priority="35">
      <formula>F92&gt;0</formula>
    </cfRule>
    <cfRule type="expression" dxfId="442" priority="36">
      <formula>F92&lt;0</formula>
    </cfRule>
  </conditionalFormatting>
  <conditionalFormatting sqref="H92:H94">
    <cfRule type="expression" dxfId="441" priority="33">
      <formula>H92&gt;0</formula>
    </cfRule>
    <cfRule type="expression" dxfId="440" priority="34">
      <formula>H92&lt;0</formula>
    </cfRule>
  </conditionalFormatting>
  <conditionalFormatting sqref="H95">
    <cfRule type="expression" dxfId="439" priority="31">
      <formula>H95&gt;0</formula>
    </cfRule>
    <cfRule type="expression" dxfId="438" priority="32">
      <formula>H95&lt;0</formula>
    </cfRule>
  </conditionalFormatting>
  <conditionalFormatting sqref="H96">
    <cfRule type="expression" dxfId="437" priority="29">
      <formula>H96&gt;0</formula>
    </cfRule>
    <cfRule type="expression" dxfId="436" priority="30">
      <formula>H96&lt;0</formula>
    </cfRule>
  </conditionalFormatting>
  <conditionalFormatting sqref="H97:H106">
    <cfRule type="expression" dxfId="435" priority="27">
      <formula>H97&gt;0</formula>
    </cfRule>
    <cfRule type="expression" dxfId="434" priority="28">
      <formula>H97&lt;0</formula>
    </cfRule>
  </conditionalFormatting>
  <conditionalFormatting sqref="F88:F91">
    <cfRule type="expression" dxfId="433" priority="25">
      <formula>F88&gt;0</formula>
    </cfRule>
    <cfRule type="expression" dxfId="432" priority="26">
      <formula>F88&lt;0</formula>
    </cfRule>
  </conditionalFormatting>
  <conditionalFormatting sqref="H88:H91">
    <cfRule type="expression" dxfId="431" priority="23">
      <formula>H88&gt;0</formula>
    </cfRule>
    <cfRule type="expression" dxfId="430" priority="24">
      <formula>H88&lt;0</formula>
    </cfRule>
  </conditionalFormatting>
  <conditionalFormatting sqref="F97:F98">
    <cfRule type="expression" dxfId="429" priority="21">
      <formula>F97&gt;0</formula>
    </cfRule>
    <cfRule type="expression" dxfId="428" priority="22">
      <formula>F97&lt;0</formula>
    </cfRule>
  </conditionalFormatting>
  <conditionalFormatting sqref="I92:I94">
    <cfRule type="expression" dxfId="427" priority="19">
      <formula>I92&gt;0</formula>
    </cfRule>
    <cfRule type="expression" dxfId="426" priority="20">
      <formula>I92&lt;0</formula>
    </cfRule>
  </conditionalFormatting>
  <conditionalFormatting sqref="I95">
    <cfRule type="expression" dxfId="425" priority="17">
      <formula>I95&gt;0</formula>
    </cfRule>
    <cfRule type="expression" dxfId="424" priority="18">
      <formula>I95&lt;0</formula>
    </cfRule>
  </conditionalFormatting>
  <conditionalFormatting sqref="I96">
    <cfRule type="expression" dxfId="423" priority="15">
      <formula>I96&gt;0</formula>
    </cfRule>
    <cfRule type="expression" dxfId="422" priority="16">
      <formula>I96&lt;0</formula>
    </cfRule>
  </conditionalFormatting>
  <conditionalFormatting sqref="I97:I106">
    <cfRule type="expression" dxfId="421" priority="13">
      <formula>I97&gt;0</formula>
    </cfRule>
    <cfRule type="expression" dxfId="420" priority="14">
      <formula>I97&lt;0</formula>
    </cfRule>
  </conditionalFormatting>
  <conditionalFormatting sqref="I88:I91">
    <cfRule type="expression" dxfId="419" priority="11">
      <formula>I88&gt;0</formula>
    </cfRule>
    <cfRule type="expression" dxfId="418" priority="12">
      <formula>I88&lt;0</formula>
    </cfRule>
  </conditionalFormatting>
  <conditionalFormatting sqref="F99">
    <cfRule type="expression" dxfId="417" priority="9">
      <formula>F99&gt;0</formula>
    </cfRule>
    <cfRule type="expression" dxfId="416" priority="10">
      <formula>F99&lt;0</formula>
    </cfRule>
  </conditionalFormatting>
  <conditionalFormatting sqref="F52:F54 H53:H54 H52:L52">
    <cfRule type="expression" dxfId="415" priority="7">
      <formula>F52&gt;0</formula>
    </cfRule>
    <cfRule type="expression" dxfId="414" priority="8">
      <formula>F52&lt;0</formula>
    </cfRule>
  </conditionalFormatting>
  <conditionalFormatting sqref="R4">
    <cfRule type="expression" dxfId="413" priority="5">
      <formula>R4&gt;0</formula>
    </cfRule>
    <cfRule type="expression" dxfId="412" priority="6">
      <formula>R4&lt;0</formula>
    </cfRule>
  </conditionalFormatting>
  <conditionalFormatting sqref="F58:F61 H58:K61">
    <cfRule type="expression" dxfId="411" priority="3">
      <formula>F58&gt;0</formula>
    </cfRule>
    <cfRule type="expression" dxfId="410" priority="4">
      <formula>F58&lt;0</formula>
    </cfRule>
  </conditionalFormatting>
  <conditionalFormatting sqref="F63:F65 H63:K65">
    <cfRule type="expression" dxfId="1" priority="1">
      <formula>F63&gt;0</formula>
    </cfRule>
    <cfRule type="expression" dxfId="0" priority="2">
      <formula>F63&lt;0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64.650000000000006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64.650000000000006</v>
      </c>
      <c r="R4" s="475">
        <v>1.38E-2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71.115000000000009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70.468500000000006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69.822000000000017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69.175500000000014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68.529000000000011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67.882500000000007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67.236000000000004</v>
      </c>
      <c r="Q49" s="33"/>
      <c r="R49" s="33"/>
      <c r="T49" s="91" t="s">
        <v>121</v>
      </c>
      <c r="U49" s="86" t="s">
        <v>473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66.589500000000001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65.943000000000012</v>
      </c>
      <c r="Q51" s="81"/>
      <c r="R51" s="33"/>
      <c r="T51" s="91" t="s">
        <v>104</v>
      </c>
      <c r="U51" s="86" t="s">
        <v>632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65.296500000000009</v>
      </c>
      <c r="Q52" s="81"/>
      <c r="R52" s="33"/>
      <c r="T52" s="91" t="s">
        <v>105</v>
      </c>
      <c r="U52" s="86" t="s">
        <v>501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64.650000000000006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64.003500000000003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63.357000000000006</v>
      </c>
      <c r="Q55" s="81"/>
      <c r="R55" s="33"/>
      <c r="T55" s="91" t="s">
        <v>107</v>
      </c>
      <c r="U55" s="86" t="s">
        <v>633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62.710500000000003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62.064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61.417500000000004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339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60.771000000000001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60.124500000000012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59.478000000000009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58.831500000000005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58.185000000000009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9" priority="11">
      <formula>Q8&gt;0</formula>
    </cfRule>
    <cfRule type="expression" dxfId="408" priority="12">
      <formula>Q8&lt;0</formula>
    </cfRule>
  </conditionalFormatting>
  <conditionalFormatting sqref="Q7">
    <cfRule type="expression" dxfId="407" priority="13">
      <formula>Q7&gt;0</formula>
    </cfRule>
    <cfRule type="expression" dxfId="406" priority="14">
      <formula>Q7&lt;0</formula>
    </cfRule>
  </conditionalFormatting>
  <conditionalFormatting sqref="F22">
    <cfRule type="expression" dxfId="405" priority="9">
      <formula>F22&gt;0</formula>
    </cfRule>
    <cfRule type="expression" dxfId="404" priority="10">
      <formula>F22&lt;0</formula>
    </cfRule>
  </conditionalFormatting>
  <conditionalFormatting sqref="H22">
    <cfRule type="expression" dxfId="403" priority="7">
      <formula>H22&gt;0</formula>
    </cfRule>
    <cfRule type="expression" dxfId="402" priority="8">
      <formula>H22&lt;0</formula>
    </cfRule>
  </conditionalFormatting>
  <conditionalFormatting sqref="F59">
    <cfRule type="expression" dxfId="401" priority="5">
      <formula>F59&gt;0</formula>
    </cfRule>
    <cfRule type="expression" dxfId="400" priority="6">
      <formula>F59&lt;0</formula>
    </cfRule>
  </conditionalFormatting>
  <conditionalFormatting sqref="H59">
    <cfRule type="expression" dxfId="399" priority="3">
      <formula>H59&gt;0</formula>
    </cfRule>
    <cfRule type="expression" dxfId="398" priority="4">
      <formula>H59&lt;0</formula>
    </cfRule>
  </conditionalFormatting>
  <conditionalFormatting sqref="M30">
    <cfRule type="expression" dxfId="397" priority="1">
      <formula>M30&gt;0</formula>
    </cfRule>
    <cfRule type="expression" dxfId="39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93.71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93.71</v>
      </c>
      <c r="R4" s="475">
        <v>-6.4999999999999997E-3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451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50" t="s">
        <v>78</v>
      </c>
      <c r="P35" s="85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103.081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102.1439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101.2068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100.2697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99.332599999999999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98.395499999999998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97.458399999999997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96.521299999999997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95.584199999999996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94.647099999999995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93.71</v>
      </c>
      <c r="Q46" s="2"/>
      <c r="T46" s="111" t="s">
        <v>103</v>
      </c>
      <c r="U46" s="104" t="s">
        <v>393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92.772899999999993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91.835799999999992</v>
      </c>
      <c r="Q48" s="2"/>
      <c r="T48" s="111" t="s">
        <v>104</v>
      </c>
      <c r="U48" s="104" t="s">
        <v>634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90.898699999999991</v>
      </c>
      <c r="T49" s="111" t="s">
        <v>105</v>
      </c>
      <c r="U49" s="104" t="s">
        <v>510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89.96159999999999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89.024499999999989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88.087399999999988</v>
      </c>
      <c r="T52" s="111" t="s">
        <v>107</v>
      </c>
      <c r="U52" s="104" t="s">
        <v>635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87.150300000000001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86.213200000000001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85.2761</v>
      </c>
      <c r="T55" s="111" t="s">
        <v>108</v>
      </c>
      <c r="U55" s="104" t="s">
        <v>548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84.338999999999999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5" priority="19">
      <formula>F27&gt;0</formula>
    </cfRule>
    <cfRule type="expression" dxfId="394" priority="20">
      <formula>F27&lt;0</formula>
    </cfRule>
  </conditionalFormatting>
  <conditionalFormatting sqref="F37:F38">
    <cfRule type="expression" dxfId="393" priority="17">
      <formula>F37&gt;0</formula>
    </cfRule>
    <cfRule type="expression" dxfId="392" priority="18">
      <formula>F37&lt;0</formula>
    </cfRule>
  </conditionalFormatting>
  <conditionalFormatting sqref="H27:H32">
    <cfRule type="expression" dxfId="391" priority="15">
      <formula>H27&gt;0</formula>
    </cfRule>
    <cfRule type="expression" dxfId="390" priority="16">
      <formula>H27&lt;0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conditionalFormatting sqref="Q8">
    <cfRule type="expression" dxfId="387" priority="1">
      <formula>Q8&gt;0</formula>
    </cfRule>
    <cfRule type="expression" dxfId="38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154.22999999999999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154.22999999999999</v>
      </c>
      <c r="R4" s="475">
        <v>1.0800000000000001E-2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169.65299999999999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168.11070000000001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166.5684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165.02609999999999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163.4838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161.94149999999999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160.39920000000001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158.8569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157.31459999999998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155.7723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154.22999999999999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152.68769999999998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151.1454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149.60309999999998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148.06079999999997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146.51849999999999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144.97619999999998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143.43389999999999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141.89159999999998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140.3493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138.80699999999999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85" priority="25">
      <formula>F24&gt;0</formula>
    </cfRule>
    <cfRule type="expression" dxfId="384" priority="26">
      <formula>F24&lt;0</formula>
    </cfRule>
  </conditionalFormatting>
  <conditionalFormatting sqref="H21:H27">
    <cfRule type="expression" dxfId="383" priority="19">
      <formula>H21&gt;0</formula>
    </cfRule>
    <cfRule type="expression" dxfId="382" priority="20">
      <formula>H21&lt;0</formula>
    </cfRule>
  </conditionalFormatting>
  <conditionalFormatting sqref="F21:F23">
    <cfRule type="expression" dxfId="381" priority="5">
      <formula>F21&gt;0</formula>
    </cfRule>
    <cfRule type="expression" dxfId="380" priority="6">
      <formula>F21&lt;0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conditionalFormatting sqref="Q7">
    <cfRule type="expression" dxfId="377" priority="3">
      <formula>Q7&gt;0</formula>
    </cfRule>
    <cfRule type="expression" dxfId="37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257.97000000000003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257.97000000000003</v>
      </c>
      <c r="R4" s="475">
        <v>-4.4000000000000003E-3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321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50" t="s">
        <v>78</v>
      </c>
      <c r="P41" s="85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283.76700000000005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281.18730000000005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278.60760000000005</v>
      </c>
      <c r="Q44" s="2"/>
      <c r="T44" s="132" t="s">
        <v>99</v>
      </c>
      <c r="U44" s="86" t="s">
        <v>636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276.02790000000005</v>
      </c>
      <c r="Q45" s="2"/>
      <c r="T45" s="132" t="s">
        <v>100</v>
      </c>
      <c r="U45" s="86" t="s">
        <v>637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273.44820000000004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270.86850000000004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268.28880000000004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265.70910000000003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263.12940000000003</v>
      </c>
      <c r="Q50" s="2"/>
      <c r="T50" s="132" t="s">
        <v>104</v>
      </c>
      <c r="U50" s="86" t="s">
        <v>638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260.54970000000003</v>
      </c>
      <c r="Q51" s="2"/>
      <c r="T51" s="132" t="s">
        <v>105</v>
      </c>
      <c r="U51" s="86" t="s">
        <v>497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257.97000000000003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255.39030000000002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252.81060000000002</v>
      </c>
      <c r="Q54" s="2"/>
      <c r="T54" s="132" t="s">
        <v>107</v>
      </c>
      <c r="U54" s="86" t="s">
        <v>639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250.23090000000002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247.65120000000002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245.07150000000001</v>
      </c>
      <c r="T57" s="132" t="s">
        <v>108</v>
      </c>
      <c r="U57" s="86" t="s">
        <v>549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242.49180000000001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239.91210000000004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237.33240000000004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234.75270000000003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232.17300000000003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5" priority="11">
      <formula>F21&gt;0</formula>
    </cfRule>
    <cfRule type="expression" dxfId="374" priority="12">
      <formula>F21&lt;0</formula>
    </cfRule>
  </conditionalFormatting>
  <conditionalFormatting sqref="H21:H23">
    <cfRule type="expression" dxfId="373" priority="9">
      <formula>H21&gt;0</formula>
    </cfRule>
    <cfRule type="expression" dxfId="372" priority="10">
      <formula>H21&lt;0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69.989999999999995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69.989999999999995</v>
      </c>
      <c r="R4" s="475">
        <v>-3.5999999999999999E-3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50" t="s">
        <v>78</v>
      </c>
      <c r="P40" s="85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76.989000000000004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76.289100000000005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75.589200000000005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74.889300000000006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74.189399999999992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73.489499999999992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72.789599999999993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72.089699999999993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71.389799999999994</v>
      </c>
      <c r="Q49" s="2"/>
      <c r="T49" s="91" t="s">
        <v>121</v>
      </c>
      <c r="U49" s="86" t="s">
        <v>342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70.689899999999994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69.989999999999995</v>
      </c>
      <c r="Q51" s="2"/>
      <c r="T51" s="91" t="s">
        <v>104</v>
      </c>
      <c r="U51" s="86" t="s">
        <v>668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69.290099999999995</v>
      </c>
      <c r="Q52" s="2"/>
      <c r="T52" s="91" t="s">
        <v>105</v>
      </c>
      <c r="U52" s="86" t="s">
        <v>322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68.590199999999996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67.890299999999996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67.190399999999997</v>
      </c>
      <c r="T55" s="91" t="s">
        <v>107</v>
      </c>
      <c r="U55" s="86" t="s">
        <v>669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66.490499999999997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65.790599999999998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65.090699999999998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64.390799999999999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63.690899999999999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62.991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7" priority="15">
      <formula>F29&gt;0</formula>
    </cfRule>
    <cfRule type="expression" dxfId="366" priority="16">
      <formula>F29&lt;0</formula>
    </cfRule>
  </conditionalFormatting>
  <conditionalFormatting sqref="F34:F62">
    <cfRule type="expression" dxfId="365" priority="11">
      <formula>F34&gt;0</formula>
    </cfRule>
    <cfRule type="expression" dxfId="364" priority="12">
      <formula>F34&lt;0</formula>
    </cfRule>
  </conditionalFormatting>
  <conditionalFormatting sqref="F34:F62">
    <cfRule type="expression" dxfId="363" priority="13">
      <formula>F34&gt;0</formula>
    </cfRule>
    <cfRule type="expression" dxfId="362" priority="14">
      <formula>F34&lt;0</formula>
    </cfRule>
  </conditionalFormatting>
  <conditionalFormatting sqref="H29:H62">
    <cfRule type="expression" dxfId="361" priority="9">
      <formula>H29&gt;0</formula>
    </cfRule>
    <cfRule type="expression" dxfId="360" priority="10">
      <formula>H29&lt;0</formula>
    </cfRule>
  </conditionalFormatting>
  <conditionalFormatting sqref="F25:F28">
    <cfRule type="expression" dxfId="359" priority="7">
      <formula>F25&gt;0</formula>
    </cfRule>
    <cfRule type="expression" dxfId="358" priority="8">
      <formula>F25&lt;0</formula>
    </cfRule>
  </conditionalFormatting>
  <conditionalFormatting sqref="H25:H28">
    <cfRule type="expression" dxfId="357" priority="5">
      <formula>H25&gt;0</formula>
    </cfRule>
    <cfRule type="expression" dxfId="356" priority="6">
      <formula>H25&lt;0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conditionalFormatting sqref="Q8">
    <cfRule type="expression" dxfId="353" priority="1">
      <formula>Q8&gt;0</formula>
    </cfRule>
    <cfRule type="expression" dxfId="35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53.35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53.35</v>
      </c>
      <c r="R4" s="492">
        <v>-3.3E-3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58.685000000000009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58.151500000000006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57.618000000000002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57.084500000000006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56.551000000000002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56.017500000000005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55.484000000000002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54.950500000000005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54.417000000000002</v>
      </c>
      <c r="Q49" s="2"/>
      <c r="T49" s="91" t="s">
        <v>103</v>
      </c>
      <c r="U49" s="86" t="s">
        <v>640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53.883500000000005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53.35</v>
      </c>
      <c r="Q51" s="2"/>
      <c r="T51" s="91" t="s">
        <v>104</v>
      </c>
      <c r="U51" s="86" t="s">
        <v>641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52.816499999999998</v>
      </c>
      <c r="Q52" s="2"/>
      <c r="T52" s="91" t="s">
        <v>105</v>
      </c>
      <c r="U52" s="86" t="s">
        <v>327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52.283000000000001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51.749499999999998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51.216000000000001</v>
      </c>
      <c r="T55" s="91" t="s">
        <v>107</v>
      </c>
      <c r="U55" s="86" t="s">
        <v>642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50.682499999999997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50.149000000000001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49.615500000000004</v>
      </c>
      <c r="T58" s="91" t="s">
        <v>108</v>
      </c>
      <c r="U58" s="86" t="s">
        <v>550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49.082000000000001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48.548500000000004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48.015000000000001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334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364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397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402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437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51" priority="73">
      <formula>F25&gt;0</formula>
    </cfRule>
    <cfRule type="expression" dxfId="350" priority="74">
      <formula>F25&lt;0</formula>
    </cfRule>
  </conditionalFormatting>
  <conditionalFormatting sqref="F57:F64 F66">
    <cfRule type="expression" dxfId="349" priority="69">
      <formula>F57&gt;0</formula>
    </cfRule>
    <cfRule type="expression" dxfId="348" priority="70">
      <formula>F57&lt;0</formula>
    </cfRule>
  </conditionalFormatting>
  <conditionalFormatting sqref="F57:F64 F66">
    <cfRule type="expression" dxfId="347" priority="71">
      <formula>F57&gt;0</formula>
    </cfRule>
    <cfRule type="expression" dxfId="346" priority="72">
      <formula>F57&lt;0</formula>
    </cfRule>
  </conditionalFormatting>
  <conditionalFormatting sqref="H57:H64 H66">
    <cfRule type="expression" dxfId="345" priority="67">
      <formula>H57&gt;0</formula>
    </cfRule>
    <cfRule type="expression" dxfId="344" priority="68">
      <formula>H57&lt;0</formula>
    </cfRule>
  </conditionalFormatting>
  <conditionalFormatting sqref="Q7">
    <cfRule type="expression" dxfId="343" priority="49">
      <formula>Q7&gt;0</formula>
    </cfRule>
    <cfRule type="expression" dxfId="342" priority="50">
      <formula>Q7&lt;0</formula>
    </cfRule>
  </conditionalFormatting>
  <conditionalFormatting sqref="Q8">
    <cfRule type="expression" dxfId="341" priority="47">
      <formula>Q8&gt;0</formula>
    </cfRule>
    <cfRule type="expression" dxfId="340" priority="48">
      <formula>Q8&lt;0</formula>
    </cfRule>
  </conditionalFormatting>
  <conditionalFormatting sqref="F24">
    <cfRule type="expression" dxfId="339" priority="33">
      <formula>F24&gt;0</formula>
    </cfRule>
    <cfRule type="expression" dxfId="338" priority="34">
      <formula>F24&lt;0</formula>
    </cfRule>
  </conditionalFormatting>
  <conditionalFormatting sqref="H24">
    <cfRule type="expression" dxfId="337" priority="31">
      <formula>H24&gt;0</formula>
    </cfRule>
    <cfRule type="expression" dxfId="336" priority="32">
      <formula>H24&lt;0</formula>
    </cfRule>
  </conditionalFormatting>
  <conditionalFormatting sqref="M67">
    <cfRule type="expression" dxfId="335" priority="29">
      <formula>M67&gt;0</formula>
    </cfRule>
    <cfRule type="expression" dxfId="334" priority="30">
      <formula>M67&lt;0</formula>
    </cfRule>
  </conditionalFormatting>
  <conditionalFormatting sqref="F65">
    <cfRule type="expression" dxfId="333" priority="25">
      <formula>F65&gt;0</formula>
    </cfRule>
    <cfRule type="expression" dxfId="332" priority="26">
      <formula>F65&lt;0</formula>
    </cfRule>
  </conditionalFormatting>
  <conditionalFormatting sqref="F65">
    <cfRule type="expression" dxfId="331" priority="27">
      <formula>F65&gt;0</formula>
    </cfRule>
    <cfRule type="expression" dxfId="330" priority="28">
      <formula>F65&lt;0</formula>
    </cfRule>
  </conditionalFormatting>
  <conditionalFormatting sqref="H65">
    <cfRule type="expression" dxfId="329" priority="23">
      <formula>H65&gt;0</formula>
    </cfRule>
    <cfRule type="expression" dxfId="328" priority="24">
      <formula>H65&lt;0</formula>
    </cfRule>
  </conditionalFormatting>
  <conditionalFormatting sqref="F93:F97 H93:H97 H99:H124 F99:F124">
    <cfRule type="expression" dxfId="327" priority="19">
      <formula>F93&gt;0</formula>
    </cfRule>
    <cfRule type="expression" dxfId="326" priority="20">
      <formula>F93&lt;0</formula>
    </cfRule>
  </conditionalFormatting>
  <conditionalFormatting sqref="F125:F132 F134">
    <cfRule type="expression" dxfId="325" priority="15">
      <formula>F125&gt;0</formula>
    </cfRule>
    <cfRule type="expression" dxfId="324" priority="16">
      <formula>F125&lt;0</formula>
    </cfRule>
  </conditionalFormatting>
  <conditionalFormatting sqref="F125:F132 F134">
    <cfRule type="expression" dxfId="323" priority="17">
      <formula>F125&gt;0</formula>
    </cfRule>
    <cfRule type="expression" dxfId="322" priority="18">
      <formula>F125&lt;0</formula>
    </cfRule>
  </conditionalFormatting>
  <conditionalFormatting sqref="H125:H132 H134">
    <cfRule type="expression" dxfId="321" priority="13">
      <formula>H125&gt;0</formula>
    </cfRule>
    <cfRule type="expression" dxfId="320" priority="14">
      <formula>H125&lt;0</formula>
    </cfRule>
  </conditionalFormatting>
  <conditionalFormatting sqref="F92">
    <cfRule type="expression" dxfId="319" priority="11">
      <formula>F92&gt;0</formula>
    </cfRule>
    <cfRule type="expression" dxfId="318" priority="12">
      <formula>F92&lt;0</formula>
    </cfRule>
  </conditionalFormatting>
  <conditionalFormatting sqref="H92">
    <cfRule type="expression" dxfId="317" priority="9">
      <formula>H92&gt;0</formula>
    </cfRule>
    <cfRule type="expression" dxfId="316" priority="10">
      <formula>H92&lt;0</formula>
    </cfRule>
  </conditionalFormatting>
  <conditionalFormatting sqref="F133">
    <cfRule type="expression" dxfId="315" priority="5">
      <formula>F133&gt;0</formula>
    </cfRule>
    <cfRule type="expression" dxfId="314" priority="6">
      <formula>F133&lt;0</formula>
    </cfRule>
  </conditionalFormatting>
  <conditionalFormatting sqref="F133">
    <cfRule type="expression" dxfId="313" priority="7">
      <formula>F133&gt;0</formula>
    </cfRule>
    <cfRule type="expression" dxfId="312" priority="8">
      <formula>F133&lt;0</formula>
    </cfRule>
  </conditionalFormatting>
  <conditionalFormatting sqref="H133">
    <cfRule type="expression" dxfId="311" priority="3">
      <formula>H133&gt;0</formula>
    </cfRule>
    <cfRule type="expression" dxfId="310" priority="4">
      <formula>H133&lt;0</formula>
    </cfRule>
  </conditionalFormatting>
  <conditionalFormatting sqref="F98 H98">
    <cfRule type="expression" dxfId="309" priority="1">
      <formula>F98&gt;0</formula>
    </cfRule>
    <cfRule type="expression" dxfId="30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72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>
        <v>43252</v>
      </c>
      <c r="M3" s="43">
        <v>30.5</v>
      </c>
      <c r="O3" s="11" t="s">
        <v>58</v>
      </c>
      <c r="Q3" s="221">
        <f>IF(Q2=0, Q4, (F29-K29-M29)/Q2)</f>
        <v>44.741300000000003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192">
        <v>54.89</v>
      </c>
      <c r="R4" s="494">
        <v>1.4800000000000001E-2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5489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4474.13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2213.339999999997</v>
      </c>
      <c r="R7">
        <v>100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1014.8699999999999</v>
      </c>
      <c r="R8" s="411"/>
      <c r="T8" s="29">
        <v>43202</v>
      </c>
      <c r="U8" t="s">
        <v>1000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0.22683069110642737</v>
      </c>
      <c r="T9" s="29"/>
      <c r="U9" s="475" t="s">
        <v>1001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2.2226270723264711E-2</v>
      </c>
      <c r="R11">
        <f>0.305</f>
        <v>0.30499999999999999</v>
      </c>
      <c r="T11" s="29">
        <v>43257</v>
      </c>
      <c r="U11" t="s">
        <v>1126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997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Q4/6.24</f>
        <v>8.7964743589743595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61</v>
      </c>
    </row>
    <row r="30" spans="1:20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>
        <v>43210</v>
      </c>
      <c r="C40" s="10">
        <v>0</v>
      </c>
      <c r="D40" s="39"/>
      <c r="E40" s="39"/>
      <c r="F40" s="39">
        <v>650.37</v>
      </c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v>657.37</v>
      </c>
      <c r="G42" s="39">
        <f t="shared" ref="G42" si="6">D42*C42</f>
        <v>4474.1000000000004</v>
      </c>
      <c r="H42" s="222">
        <f t="shared" ref="H42" si="7">(E42-D42)/D42</f>
        <v>0.21633401130953717</v>
      </c>
      <c r="I42" s="39"/>
      <c r="J42" s="39">
        <v>2166</v>
      </c>
      <c r="O42" s="850" t="s">
        <v>78</v>
      </c>
      <c r="P42" s="850"/>
      <c r="Q42" s="2"/>
    </row>
    <row r="43" spans="1:17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O43" s="81">
        <v>1.1000000000000001</v>
      </c>
      <c r="P43" s="81">
        <f>O43*$Q$4</f>
        <v>60.379000000000005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O44" s="81">
        <v>1.0900000000000001</v>
      </c>
      <c r="P44" s="81">
        <f t="shared" ref="P44:P63" si="8">O44*$Q$4</f>
        <v>59.830100000000002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O45" s="81">
        <v>1.08</v>
      </c>
      <c r="P45" s="81">
        <f t="shared" si="8"/>
        <v>59.281200000000005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O46" s="81">
        <v>1.07</v>
      </c>
      <c r="P46" s="81">
        <f t="shared" si="8"/>
        <v>58.732300000000002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8"/>
        <v>58.183400000000006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8"/>
        <v>57.634500000000003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8"/>
        <v>57.085599999999999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8"/>
        <v>56.536700000000003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55.9878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8"/>
        <v>55.438900000000004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8"/>
        <v>54.89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8"/>
        <v>54.341099999999997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8"/>
        <v>53.792200000000001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8"/>
        <v>53.243299999999998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8"/>
        <v>52.694400000000002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8"/>
        <v>52.145499999999998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8"/>
        <v>51.596599999999995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8"/>
        <v>51.047700000000006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8"/>
        <v>50.498800000000003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8"/>
        <v>49.9499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8"/>
        <v>49.401000000000003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208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9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9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9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9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9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9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9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9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9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10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9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10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9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10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9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10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10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10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10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11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11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11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11"/>
        <v>-357.95999999999992</v>
      </c>
      <c r="G163" s="251">
        <f t="shared" ref="G163:G212" si="12">D163*C163</f>
        <v>8471.9599999999991</v>
      </c>
      <c r="H163" s="265">
        <f t="shared" ref="H163:H212" si="13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11"/>
        <v>-723.96000000000095</v>
      </c>
      <c r="G164" s="251">
        <f t="shared" si="12"/>
        <v>12456.960000000001</v>
      </c>
      <c r="H164" s="265">
        <f t="shared" si="13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11"/>
        <v>-1033.9599999999991</v>
      </c>
      <c r="G165" s="251">
        <f t="shared" si="12"/>
        <v>16241.960000000001</v>
      </c>
      <c r="H165" s="265">
        <f t="shared" si="13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11"/>
        <v>-773.95999999999958</v>
      </c>
      <c r="G166" s="251">
        <f t="shared" si="12"/>
        <v>16241.960000000001</v>
      </c>
      <c r="H166" s="265">
        <f t="shared" si="13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11"/>
        <v>-687.9499999999972</v>
      </c>
      <c r="G167" s="251">
        <f t="shared" si="12"/>
        <v>19842.949999999997</v>
      </c>
      <c r="H167" s="265">
        <f t="shared" si="13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11"/>
        <v>-2153.5499999999993</v>
      </c>
      <c r="G168" s="251">
        <f t="shared" si="12"/>
        <v>19743.55</v>
      </c>
      <c r="H168" s="265">
        <f t="shared" si="13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11"/>
        <v>-3115.5599999999995</v>
      </c>
      <c r="G169" s="251">
        <f t="shared" si="12"/>
        <v>23131.559999999998</v>
      </c>
      <c r="H169" s="265">
        <f t="shared" si="13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11"/>
        <v>-2329.5599999999977</v>
      </c>
      <c r="G170" s="251">
        <f t="shared" si="12"/>
        <v>23131.559999999998</v>
      </c>
      <c r="H170" s="265">
        <f t="shared" si="13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11"/>
        <v>-1069.559999999997</v>
      </c>
      <c r="G171" s="251">
        <f t="shared" si="12"/>
        <v>23131.559999999998</v>
      </c>
      <c r="H171" s="265">
        <f t="shared" si="13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11"/>
        <v>-1759.5600000000004</v>
      </c>
      <c r="G172" s="251">
        <f t="shared" si="12"/>
        <v>23131.559999999998</v>
      </c>
      <c r="H172" s="265">
        <f t="shared" si="13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11"/>
        <v>-709.5600000000004</v>
      </c>
      <c r="G173" s="251">
        <f t="shared" si="12"/>
        <v>23131.559999999998</v>
      </c>
      <c r="H173" s="265">
        <f t="shared" si="13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11"/>
        <v>-259.56000000000046</v>
      </c>
      <c r="G174" s="251">
        <f t="shared" si="12"/>
        <v>23131.559999999998</v>
      </c>
      <c r="H174" s="265">
        <f t="shared" si="13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11"/>
        <v>907.39999999999907</v>
      </c>
      <c r="G175" s="251">
        <f t="shared" si="12"/>
        <v>19197.600000000002</v>
      </c>
      <c r="H175" s="265">
        <f t="shared" si="13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11"/>
        <v>842.27999999999952</v>
      </c>
      <c r="G176" s="251">
        <f t="shared" si="12"/>
        <v>15149.72</v>
      </c>
      <c r="H176" s="265">
        <f t="shared" si="13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11"/>
        <v>890.28000000000134</v>
      </c>
      <c r="G177" s="251">
        <f t="shared" si="12"/>
        <v>15149.72</v>
      </c>
      <c r="H177" s="265">
        <f t="shared" si="13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11"/>
        <v>1062.2800000000011</v>
      </c>
      <c r="G178" s="251">
        <f t="shared" si="12"/>
        <v>15149.72</v>
      </c>
      <c r="H178" s="265">
        <f t="shared" si="13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11"/>
        <v>1021.2000000000011</v>
      </c>
      <c r="G179" s="251">
        <f t="shared" si="12"/>
        <v>11041.8</v>
      </c>
      <c r="H179" s="265">
        <f t="shared" si="13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11"/>
        <v>511.21000000000231</v>
      </c>
      <c r="G180" s="251">
        <f t="shared" si="12"/>
        <v>12970.789999999999</v>
      </c>
      <c r="H180" s="265">
        <f t="shared" si="13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11"/>
        <v>665.21000000000151</v>
      </c>
      <c r="G181" s="251">
        <f t="shared" si="12"/>
        <v>12970.789999999999</v>
      </c>
      <c r="H181" s="265">
        <f t="shared" si="13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11"/>
        <v>689.71000000000163</v>
      </c>
      <c r="G182" s="251">
        <f t="shared" si="12"/>
        <v>12970.789999999999</v>
      </c>
      <c r="H182" s="265">
        <f t="shared" si="13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11"/>
        <v>916.16999999999962</v>
      </c>
      <c r="G183" s="251">
        <f t="shared" si="12"/>
        <v>10981.83</v>
      </c>
      <c r="H183" s="265">
        <f t="shared" si="13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11"/>
        <v>631.64499999999884</v>
      </c>
      <c r="G184" s="251">
        <f t="shared" si="12"/>
        <v>12930.855000000001</v>
      </c>
      <c r="H184" s="265">
        <f t="shared" si="13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11"/>
        <v>-258.84000000000071</v>
      </c>
      <c r="G185" s="251">
        <f t="shared" si="12"/>
        <v>14814.84</v>
      </c>
      <c r="H185" s="265">
        <f t="shared" si="13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11"/>
        <v>-46.840000000000259</v>
      </c>
      <c r="G186" s="251">
        <f t="shared" si="12"/>
        <v>14814.84</v>
      </c>
      <c r="H186" s="265">
        <f t="shared" si="13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11"/>
        <v>189.15999999999826</v>
      </c>
      <c r="G187" s="251">
        <f t="shared" si="12"/>
        <v>14814.84</v>
      </c>
      <c r="H187" s="265">
        <f t="shared" si="13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11"/>
        <v>13.159999999999172</v>
      </c>
      <c r="G188" s="251">
        <f t="shared" si="12"/>
        <v>14814.84</v>
      </c>
      <c r="H188" s="265">
        <f t="shared" si="13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11"/>
        <v>-106.83999999999969</v>
      </c>
      <c r="G189" s="251">
        <f t="shared" si="12"/>
        <v>14814.84</v>
      </c>
      <c r="H189" s="265">
        <f t="shared" si="13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11"/>
        <v>-170.84000000000117</v>
      </c>
      <c r="G190" s="251">
        <f t="shared" si="12"/>
        <v>14814.84</v>
      </c>
      <c r="H190" s="265">
        <f t="shared" si="13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11"/>
        <v>-138.84000000000185</v>
      </c>
      <c r="G191" s="251">
        <f t="shared" si="12"/>
        <v>14814.84</v>
      </c>
      <c r="H191" s="265">
        <f t="shared" si="13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11"/>
        <v>-106.83999999999969</v>
      </c>
      <c r="G192" s="251">
        <f t="shared" si="12"/>
        <v>14814.84</v>
      </c>
      <c r="H192" s="265">
        <f t="shared" si="13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11"/>
        <v>-226.8400000000014</v>
      </c>
      <c r="G193" s="251">
        <f t="shared" si="12"/>
        <v>14814.84</v>
      </c>
      <c r="H193" s="265">
        <f t="shared" si="13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11"/>
        <v>-194.84000000000208</v>
      </c>
      <c r="G194" s="251">
        <f t="shared" si="12"/>
        <v>14814.84</v>
      </c>
      <c r="H194" s="265">
        <f t="shared" si="13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11"/>
        <v>49.159999999997694</v>
      </c>
      <c r="G195" s="251">
        <f t="shared" si="12"/>
        <v>14814.84</v>
      </c>
      <c r="H195" s="265">
        <f t="shared" si="13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11"/>
        <v>-86.840000000000828</v>
      </c>
      <c r="G196" s="251">
        <f t="shared" si="12"/>
        <v>14814.84</v>
      </c>
      <c r="H196" s="265">
        <f t="shared" si="13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11"/>
        <v>53.159999999999741</v>
      </c>
      <c r="G197" s="251">
        <f t="shared" si="12"/>
        <v>14814.84</v>
      </c>
      <c r="H197" s="265">
        <f t="shared" si="13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11"/>
        <v>134.15999999999997</v>
      </c>
      <c r="G198" s="251">
        <f t="shared" si="12"/>
        <v>14733.84</v>
      </c>
      <c r="H198" s="265">
        <f t="shared" si="13"/>
        <v>9.1055692202440079E-3</v>
      </c>
      <c r="I198" s="251" t="s">
        <v>261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11"/>
        <v>-5.8400000000006003</v>
      </c>
      <c r="G199" s="251">
        <f t="shared" si="12"/>
        <v>14733.84</v>
      </c>
      <c r="H199" s="265">
        <f t="shared" si="13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11"/>
        <v>790.15999999999872</v>
      </c>
      <c r="G200" s="251">
        <f t="shared" si="12"/>
        <v>12824.84</v>
      </c>
      <c r="H200" s="265">
        <f t="shared" si="13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11"/>
        <v>789.18000000000029</v>
      </c>
      <c r="G201" s="251">
        <f t="shared" si="12"/>
        <v>10880.82</v>
      </c>
      <c r="H201" s="265">
        <f t="shared" si="13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11"/>
        <v>798.67499999999939</v>
      </c>
      <c r="G202" s="251">
        <f t="shared" si="12"/>
        <v>8926.3250000000007</v>
      </c>
      <c r="H202" s="265">
        <f t="shared" si="13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11"/>
        <v>511.17499999999973</v>
      </c>
      <c r="G203" s="251">
        <f t="shared" si="12"/>
        <v>8926.3250000000007</v>
      </c>
      <c r="H203" s="265">
        <f t="shared" si="13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11"/>
        <v>683.67499999999916</v>
      </c>
      <c r="G204" s="251">
        <f t="shared" si="12"/>
        <v>8926.3250000000007</v>
      </c>
      <c r="H204" s="265">
        <f t="shared" si="13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11"/>
        <v>353.67499999999905</v>
      </c>
      <c r="G205" s="251">
        <f t="shared" si="12"/>
        <v>8926.3250000000007</v>
      </c>
      <c r="H205" s="265">
        <f t="shared" si="13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11"/>
        <v>266.17500000000052</v>
      </c>
      <c r="G206" s="251">
        <f t="shared" si="12"/>
        <v>8926.3250000000007</v>
      </c>
      <c r="H206" s="265">
        <f t="shared" si="13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11"/>
        <v>466.17499999999978</v>
      </c>
      <c r="G207" s="251">
        <f t="shared" si="12"/>
        <v>8926.3250000000007</v>
      </c>
      <c r="H207" s="265">
        <f t="shared" si="13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11"/>
        <v>586.17499999999905</v>
      </c>
      <c r="G208" s="251">
        <f t="shared" si="12"/>
        <v>8926.3250000000007</v>
      </c>
      <c r="H208" s="265">
        <f t="shared" si="13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11"/>
        <v>698.67499999999973</v>
      </c>
      <c r="G209" s="251">
        <f t="shared" si="12"/>
        <v>8926.3250000000007</v>
      </c>
      <c r="H209" s="265">
        <f t="shared" si="13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11"/>
        <v>768.67499999999995</v>
      </c>
      <c r="G210" s="251">
        <f t="shared" si="12"/>
        <v>8926.3250000000007</v>
      </c>
      <c r="H210" s="265">
        <f t="shared" si="13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11"/>
        <v>583.6749999999995</v>
      </c>
      <c r="G211" s="251">
        <f t="shared" si="12"/>
        <v>8926.3250000000007</v>
      </c>
      <c r="H211" s="265">
        <f t="shared" si="13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11"/>
        <v>876.17499999999995</v>
      </c>
      <c r="G212" s="251">
        <f t="shared" si="12"/>
        <v>8926.3250000000007</v>
      </c>
      <c r="H212" s="265">
        <f t="shared" si="13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307" priority="59">
      <formula>F45&gt;0</formula>
    </cfRule>
    <cfRule type="expression" dxfId="306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5" priority="61">
      <formula>F40&gt;0</formula>
    </cfRule>
    <cfRule type="expression" dxfId="304" priority="62">
      <formula>F40&lt;0</formula>
    </cfRule>
  </conditionalFormatting>
  <conditionalFormatting sqref="F45:F59 F61:F91 F93:F102">
    <cfRule type="expression" dxfId="303" priority="57">
      <formula>F45&gt;0</formula>
    </cfRule>
    <cfRule type="expression" dxfId="302" priority="58">
      <formula>F45&lt;0</formula>
    </cfRule>
  </conditionalFormatting>
  <conditionalFormatting sqref="H43:H59 H61:H91 H93:H102">
    <cfRule type="expression" dxfId="301" priority="55">
      <formula>H43&gt;0</formula>
    </cfRule>
    <cfRule type="expression" dxfId="300" priority="56">
      <formula>H43&lt;0</formula>
    </cfRule>
  </conditionalFormatting>
  <conditionalFormatting sqref="F36:F39">
    <cfRule type="expression" dxfId="299" priority="53">
      <formula>F36&gt;0</formula>
    </cfRule>
    <cfRule type="expression" dxfId="298" priority="54">
      <formula>F36&lt;0</formula>
    </cfRule>
  </conditionalFormatting>
  <conditionalFormatting sqref="H36:H42">
    <cfRule type="expression" dxfId="297" priority="51">
      <formula>H36&gt;0</formula>
    </cfRule>
    <cfRule type="expression" dxfId="296" priority="52">
      <formula>H36&lt;0</formula>
    </cfRule>
  </conditionalFormatting>
  <conditionalFormatting sqref="Q7">
    <cfRule type="expression" dxfId="295" priority="45">
      <formula>Q7&gt;0</formula>
    </cfRule>
    <cfRule type="expression" dxfId="294" priority="46">
      <formula>Q7&lt;0</formula>
    </cfRule>
  </conditionalFormatting>
  <conditionalFormatting sqref="Q8">
    <cfRule type="expression" dxfId="293" priority="43">
      <formula>Q8&gt;0</formula>
    </cfRule>
    <cfRule type="expression" dxfId="292" priority="44">
      <formula>Q8&lt;0</formula>
    </cfRule>
  </conditionalFormatting>
  <conditionalFormatting sqref="Q10">
    <cfRule type="expression" dxfId="291" priority="41">
      <formula>Q10&gt;0</formula>
    </cfRule>
    <cfRule type="expression" dxfId="290" priority="42">
      <formula>Q10&lt;0</formula>
    </cfRule>
  </conditionalFormatting>
  <conditionalFormatting sqref="F60">
    <cfRule type="expression" dxfId="289" priority="39">
      <formula>F60&gt;0</formula>
    </cfRule>
    <cfRule type="expression" dxfId="288" priority="40">
      <formula>F60&lt;0</formula>
    </cfRule>
  </conditionalFormatting>
  <conditionalFormatting sqref="F60">
    <cfRule type="expression" dxfId="287" priority="37">
      <formula>F60&gt;0</formula>
    </cfRule>
    <cfRule type="expression" dxfId="286" priority="38">
      <formula>F60&lt;0</formula>
    </cfRule>
  </conditionalFormatting>
  <conditionalFormatting sqref="H60">
    <cfRule type="expression" dxfId="285" priority="35">
      <formula>H60&gt;0</formula>
    </cfRule>
    <cfRule type="expression" dxfId="284" priority="36">
      <formula>H60&lt;0</formula>
    </cfRule>
  </conditionalFormatting>
  <conditionalFormatting sqref="F92">
    <cfRule type="expression" dxfId="283" priority="33">
      <formula>F92&gt;0</formula>
    </cfRule>
    <cfRule type="expression" dxfId="282" priority="34">
      <formula>F92&lt;0</formula>
    </cfRule>
  </conditionalFormatting>
  <conditionalFormatting sqref="F92">
    <cfRule type="expression" dxfId="281" priority="31">
      <formula>F92&gt;0</formula>
    </cfRule>
    <cfRule type="expression" dxfId="280" priority="32">
      <formula>F92&lt;0</formula>
    </cfRule>
  </conditionalFormatting>
  <conditionalFormatting sqref="H92">
    <cfRule type="expression" dxfId="279" priority="29">
      <formula>H92&gt;0</formula>
    </cfRule>
    <cfRule type="expression" dxfId="278" priority="30">
      <formula>H92&lt;0</formula>
    </cfRule>
  </conditionalFormatting>
  <conditionalFormatting sqref="F169:F183 F185:F215 F217:F226">
    <cfRule type="expression" dxfId="277" priority="25">
      <formula>F169&gt;0</formula>
    </cfRule>
    <cfRule type="expression" dxfId="276" priority="26">
      <formula>F169&lt;0</formula>
    </cfRule>
  </conditionalFormatting>
  <conditionalFormatting sqref="F164:F168">
    <cfRule type="expression" dxfId="275" priority="27">
      <formula>F164&gt;0</formula>
    </cfRule>
    <cfRule type="expression" dxfId="274" priority="28">
      <formula>F164&lt;0</formula>
    </cfRule>
  </conditionalFormatting>
  <conditionalFormatting sqref="F169:F183 F185:F215 F217:F226">
    <cfRule type="expression" dxfId="273" priority="23">
      <formula>F169&gt;0</formula>
    </cfRule>
    <cfRule type="expression" dxfId="272" priority="24">
      <formula>F169&lt;0</formula>
    </cfRule>
  </conditionalFormatting>
  <conditionalFormatting sqref="H164:H183 H185:H215 H217:H226">
    <cfRule type="expression" dxfId="271" priority="21">
      <formula>H164&gt;0</formula>
    </cfRule>
    <cfRule type="expression" dxfId="270" priority="22">
      <formula>H164&lt;0</formula>
    </cfRule>
  </conditionalFormatting>
  <conditionalFormatting sqref="F160:F163">
    <cfRule type="expression" dxfId="269" priority="19">
      <formula>F160&gt;0</formula>
    </cfRule>
    <cfRule type="expression" dxfId="268" priority="20">
      <formula>F160&lt;0</formula>
    </cfRule>
  </conditionalFormatting>
  <conditionalFormatting sqref="H160:H163">
    <cfRule type="expression" dxfId="267" priority="17">
      <formula>H160&gt;0</formula>
    </cfRule>
    <cfRule type="expression" dxfId="266" priority="18">
      <formula>H160&lt;0</formula>
    </cfRule>
  </conditionalFormatting>
  <conditionalFormatting sqref="F184">
    <cfRule type="expression" dxfId="265" priority="15">
      <formula>F184&gt;0</formula>
    </cfRule>
    <cfRule type="expression" dxfId="264" priority="16">
      <formula>F184&lt;0</formula>
    </cfRule>
  </conditionalFormatting>
  <conditionalFormatting sqref="F184">
    <cfRule type="expression" dxfId="263" priority="13">
      <formula>F184&gt;0</formula>
    </cfRule>
    <cfRule type="expression" dxfId="262" priority="14">
      <formula>F184&lt;0</formula>
    </cfRule>
  </conditionalFormatting>
  <conditionalFormatting sqref="H184">
    <cfRule type="expression" dxfId="261" priority="11">
      <formula>H184&gt;0</formula>
    </cfRule>
    <cfRule type="expression" dxfId="260" priority="12">
      <formula>H184&lt;0</formula>
    </cfRule>
  </conditionalFormatting>
  <conditionalFormatting sqref="F216">
    <cfRule type="expression" dxfId="259" priority="9">
      <formula>F216&gt;0</formula>
    </cfRule>
    <cfRule type="expression" dxfId="258" priority="10">
      <formula>F216&lt;0</formula>
    </cfRule>
  </conditionalFormatting>
  <conditionalFormatting sqref="F216">
    <cfRule type="expression" dxfId="257" priority="7">
      <formula>F216&gt;0</formula>
    </cfRule>
    <cfRule type="expression" dxfId="256" priority="8">
      <formula>F216&lt;0</formula>
    </cfRule>
  </conditionalFormatting>
  <conditionalFormatting sqref="H216">
    <cfRule type="expression" dxfId="255" priority="5">
      <formula>H216&gt;0</formula>
    </cfRule>
    <cfRule type="expression" dxfId="254" priority="6">
      <formula>H216&lt;0</formula>
    </cfRule>
  </conditionalFormatting>
  <conditionalFormatting sqref="J38:J39">
    <cfRule type="expression" dxfId="253" priority="3">
      <formula>J38&gt;0</formula>
    </cfRule>
    <cfRule type="expression" dxfId="252" priority="4">
      <formula>J38&lt;0</formula>
    </cfRule>
  </conditionalFormatting>
  <conditionalFormatting sqref="J41:J51">
    <cfRule type="expression" dxfId="251" priority="1">
      <formula>J41&gt;0</formula>
    </cfRule>
    <cfRule type="expression" dxfId="250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330</v>
      </c>
      <c r="B2" s="434">
        <v>43116</v>
      </c>
      <c r="C2" s="7">
        <v>100</v>
      </c>
      <c r="D2" s="43">
        <v>21.28</v>
      </c>
      <c r="E2" s="43">
        <v>0</v>
      </c>
      <c r="F2" s="4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0</v>
      </c>
      <c r="T2" s="1">
        <v>43080</v>
      </c>
      <c r="U2" t="s">
        <v>772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23.11</v>
      </c>
      <c r="T3" s="1">
        <v>43088</v>
      </c>
      <c r="U3" t="s">
        <v>777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23.11</v>
      </c>
      <c r="R4" s="475">
        <v>5.57E-2</v>
      </c>
      <c r="U4" t="s">
        <v>778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0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1211.7400000000052</v>
      </c>
      <c r="R7">
        <v>0</v>
      </c>
      <c r="T7" s="1">
        <v>43103</v>
      </c>
      <c r="U7" t="s">
        <v>842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926.77000000000044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U9" t="s">
        <v>932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994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948</v>
      </c>
      <c r="T12" s="1">
        <v>43223</v>
      </c>
      <c r="U12" t="s">
        <v>1051</v>
      </c>
    </row>
    <row r="13" spans="1:29" x14ac:dyDescent="0.25">
      <c r="O13" s="11" t="s">
        <v>975</v>
      </c>
      <c r="Q13" s="2">
        <f>Q4/2.45</f>
        <v>9.4326530612244888</v>
      </c>
      <c r="U13" t="s">
        <v>1053</v>
      </c>
    </row>
    <row r="15" spans="1:29" x14ac:dyDescent="0.25">
      <c r="T15" s="1">
        <v>43224</v>
      </c>
      <c r="U15" t="s">
        <v>1057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25.421000000000003</v>
      </c>
      <c r="T17" s="1">
        <v>43235</v>
      </c>
      <c r="U17" t="s">
        <v>1083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25.189900000000002</v>
      </c>
      <c r="U18" t="s">
        <v>1084</v>
      </c>
    </row>
    <row r="19" spans="1:21" x14ac:dyDescent="0.25">
      <c r="O19" s="81">
        <v>1.08</v>
      </c>
      <c r="P19" s="81">
        <f t="shared" si="0"/>
        <v>24.9588</v>
      </c>
    </row>
    <row r="20" spans="1:21" x14ac:dyDescent="0.25">
      <c r="A20" s="182" t="s">
        <v>230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498</v>
      </c>
      <c r="O20" s="81">
        <v>1.07</v>
      </c>
      <c r="P20" s="81">
        <f t="shared" si="0"/>
        <v>24.727700000000002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24.496600000000001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24.265499999999999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24.034400000000002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23.8033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23.572199999999999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23.341100000000001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23.11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22.878899999999998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22.6478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1054</v>
      </c>
      <c r="J30" s="727">
        <v>566</v>
      </c>
      <c r="K30" s="727"/>
      <c r="O30" s="81">
        <v>0.97</v>
      </c>
      <c r="P30" s="81">
        <f t="shared" si="0"/>
        <v>22.416699999999999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1055</v>
      </c>
      <c r="J31" s="727">
        <v>116</v>
      </c>
      <c r="K31" s="727"/>
      <c r="O31" s="81">
        <v>0.96</v>
      </c>
      <c r="P31" s="81">
        <f t="shared" si="0"/>
        <v>22.185599999999997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21.954499999999999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21.723399999999998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21.4923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21.261199999999999</v>
      </c>
    </row>
    <row r="36" spans="1:18" x14ac:dyDescent="0.25">
      <c r="A36" s="10"/>
      <c r="B36" s="184">
        <v>43259</v>
      </c>
      <c r="C36" s="10">
        <v>0</v>
      </c>
      <c r="D36" s="39"/>
      <c r="E36" s="39"/>
      <c r="F36" s="39">
        <v>926.77</v>
      </c>
      <c r="G36" s="39"/>
      <c r="H36" s="223"/>
      <c r="I36" s="39"/>
      <c r="J36" s="727">
        <v>1211.74</v>
      </c>
      <c r="K36" s="727"/>
      <c r="O36" s="81">
        <v>0.91</v>
      </c>
      <c r="P36" s="81">
        <f t="shared" si="0"/>
        <v>21.030100000000001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20.798999999999999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330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2" t="s">
        <v>230</v>
      </c>
      <c r="B81" s="752" t="s">
        <v>113</v>
      </c>
      <c r="C81" s="752" t="s">
        <v>146</v>
      </c>
      <c r="D81" s="753" t="s">
        <v>145</v>
      </c>
      <c r="E81" s="754" t="s">
        <v>147</v>
      </c>
      <c r="F81" s="755" t="s">
        <v>65</v>
      </c>
      <c r="G81" s="756" t="s">
        <v>151</v>
      </c>
      <c r="H81" s="755" t="s">
        <v>88</v>
      </c>
      <c r="I81" s="755" t="s">
        <v>154</v>
      </c>
    </row>
    <row r="82" spans="1:9" x14ac:dyDescent="0.25">
      <c r="A82" s="757"/>
      <c r="B82" s="758"/>
      <c r="C82" s="757"/>
      <c r="D82" s="759"/>
      <c r="E82" s="759"/>
      <c r="F82" s="759"/>
      <c r="G82" s="759"/>
      <c r="H82" s="760"/>
      <c r="I82" s="760"/>
    </row>
    <row r="83" spans="1:9" x14ac:dyDescent="0.25">
      <c r="A83" s="757"/>
      <c r="B83" s="758">
        <v>42746</v>
      </c>
      <c r="C83" s="757">
        <v>80</v>
      </c>
      <c r="D83" s="759">
        <v>34.020000000000003</v>
      </c>
      <c r="E83" s="759">
        <v>34.28</v>
      </c>
      <c r="F83" s="759">
        <f>C83*(E83-D83)</f>
        <v>20.799999999999841</v>
      </c>
      <c r="G83" s="759">
        <f>D83*C83</f>
        <v>2721.6000000000004</v>
      </c>
      <c r="H83" s="760">
        <f>(E83-D83)/D83</f>
        <v>7.6425631981186948E-3</v>
      </c>
      <c r="I83" s="760"/>
    </row>
    <row r="84" spans="1:9" x14ac:dyDescent="0.25">
      <c r="A84" s="757"/>
      <c r="B84" s="758">
        <v>42758</v>
      </c>
      <c r="C84" s="757">
        <v>120</v>
      </c>
      <c r="D84" s="759">
        <v>33.44</v>
      </c>
      <c r="E84" s="759">
        <v>32.71</v>
      </c>
      <c r="F84" s="759">
        <f>C84*(E84-D84)</f>
        <v>-87.599999999999625</v>
      </c>
      <c r="G84" s="759">
        <f>D84*C84</f>
        <v>4012.7999999999997</v>
      </c>
      <c r="H84" s="760">
        <f>(E84-D84)/D84</f>
        <v>-2.1830143540669766E-2</v>
      </c>
      <c r="I84" s="760"/>
    </row>
    <row r="85" spans="1:9" x14ac:dyDescent="0.25">
      <c r="A85" s="757" t="s">
        <v>361</v>
      </c>
      <c r="B85" s="758">
        <v>42760</v>
      </c>
      <c r="C85" s="757">
        <v>40</v>
      </c>
      <c r="D85" s="759">
        <v>32.961500000000001</v>
      </c>
      <c r="E85" s="759">
        <v>33.68</v>
      </c>
      <c r="F85" s="759">
        <f>C85*(E85-D85)</f>
        <v>28.739999999999952</v>
      </c>
      <c r="G85" s="759">
        <f>D85*C85</f>
        <v>1318.46</v>
      </c>
      <c r="H85" s="760">
        <f>(E85-D85)/D85</f>
        <v>2.1798158457594429E-2</v>
      </c>
      <c r="I85" s="760"/>
    </row>
    <row r="86" spans="1:9" x14ac:dyDescent="0.25">
      <c r="A86" s="757"/>
      <c r="B86" s="758">
        <v>42766</v>
      </c>
      <c r="C86" s="757">
        <v>0</v>
      </c>
      <c r="D86" s="759"/>
      <c r="E86" s="759"/>
      <c r="F86" s="759">
        <v>-46.49</v>
      </c>
      <c r="G86" s="759"/>
      <c r="H86" s="760"/>
      <c r="I86" s="760"/>
    </row>
    <row r="87" spans="1:9" x14ac:dyDescent="0.25">
      <c r="A87" s="757">
        <v>0</v>
      </c>
      <c r="B87" s="758">
        <v>42843</v>
      </c>
      <c r="C87" s="757">
        <v>80</v>
      </c>
      <c r="D87" s="759">
        <v>31.661100000000001</v>
      </c>
      <c r="E87" s="759">
        <v>30.99</v>
      </c>
      <c r="F87" s="759">
        <f t="shared" ref="F87:F106" si="15">C87*(E87-D87)</f>
        <v>-53.688000000000216</v>
      </c>
      <c r="G87" s="759">
        <f t="shared" ref="G87:G106" si="16">D87*C87</f>
        <v>2532.8879999999999</v>
      </c>
      <c r="H87" s="760">
        <f t="shared" ref="H87:H106" si="17">(E87-D87)/D87</f>
        <v>-2.1196357675507253E-2</v>
      </c>
      <c r="I87" s="761"/>
    </row>
    <row r="88" spans="1:9" x14ac:dyDescent="0.25">
      <c r="A88" s="757">
        <v>0</v>
      </c>
      <c r="B88" s="758">
        <v>42873</v>
      </c>
      <c r="C88" s="757">
        <v>160</v>
      </c>
      <c r="D88" s="759">
        <v>30.6706</v>
      </c>
      <c r="E88" s="759">
        <v>29.73</v>
      </c>
      <c r="F88" s="759">
        <f t="shared" si="15"/>
        <v>-150.49599999999998</v>
      </c>
      <c r="G88" s="759">
        <f t="shared" si="16"/>
        <v>4907.2960000000003</v>
      </c>
      <c r="H88" s="761">
        <f t="shared" si="17"/>
        <v>-3.0667805651014322E-2</v>
      </c>
      <c r="I88" s="761"/>
    </row>
    <row r="89" spans="1:9" x14ac:dyDescent="0.25">
      <c r="A89" s="757"/>
      <c r="B89" s="758">
        <v>42901</v>
      </c>
      <c r="C89" s="757">
        <v>80</v>
      </c>
      <c r="D89" s="759">
        <v>30.041799999999999</v>
      </c>
      <c r="E89" s="759">
        <v>30.43</v>
      </c>
      <c r="F89" s="759">
        <f t="shared" si="15"/>
        <v>31.056000000000097</v>
      </c>
      <c r="G89" s="759">
        <f t="shared" si="16"/>
        <v>2403.3440000000001</v>
      </c>
      <c r="H89" s="761">
        <f t="shared" si="17"/>
        <v>1.2921995353141331E-2</v>
      </c>
      <c r="I89" s="761"/>
    </row>
    <row r="90" spans="1:9" x14ac:dyDescent="0.25">
      <c r="A90" s="757">
        <v>80</v>
      </c>
      <c r="B90" s="758">
        <v>42917</v>
      </c>
      <c r="C90" s="757">
        <v>80</v>
      </c>
      <c r="D90" s="759">
        <v>29.463799999999999</v>
      </c>
      <c r="E90" s="759">
        <v>33.22</v>
      </c>
      <c r="F90" s="759">
        <f t="shared" si="15"/>
        <v>300.49599999999998</v>
      </c>
      <c r="G90" s="759">
        <f t="shared" si="16"/>
        <v>2357.1039999999998</v>
      </c>
      <c r="H90" s="761">
        <f t="shared" si="17"/>
        <v>0.12748525309023276</v>
      </c>
      <c r="I90" s="761"/>
    </row>
    <row r="91" spans="1:9" x14ac:dyDescent="0.25">
      <c r="A91" s="757">
        <v>80</v>
      </c>
      <c r="B91" s="758">
        <v>42957</v>
      </c>
      <c r="C91" s="757">
        <v>180</v>
      </c>
      <c r="D91" s="759">
        <v>22.695</v>
      </c>
      <c r="E91" s="759">
        <v>17.190000000000001</v>
      </c>
      <c r="F91" s="759">
        <f t="shared" si="15"/>
        <v>-990.89999999999986</v>
      </c>
      <c r="G91" s="759">
        <f t="shared" si="16"/>
        <v>4085.1</v>
      </c>
      <c r="H91" s="761">
        <f t="shared" si="17"/>
        <v>-0.24256444150693982</v>
      </c>
      <c r="I91" s="761"/>
    </row>
    <row r="92" spans="1:9" x14ac:dyDescent="0.25">
      <c r="A92" s="757">
        <v>80</v>
      </c>
      <c r="B92" s="758">
        <v>42983</v>
      </c>
      <c r="C92" s="757">
        <v>180</v>
      </c>
      <c r="D92" s="759">
        <v>22.695</v>
      </c>
      <c r="E92" s="759">
        <v>15.41</v>
      </c>
      <c r="F92" s="759">
        <f t="shared" si="15"/>
        <v>-1311.3</v>
      </c>
      <c r="G92" s="759">
        <f t="shared" si="16"/>
        <v>4085.1</v>
      </c>
      <c r="H92" s="761">
        <f t="shared" si="17"/>
        <v>-0.32099581405595945</v>
      </c>
      <c r="I92" s="761"/>
    </row>
    <row r="93" spans="1:9" x14ac:dyDescent="0.25">
      <c r="A93" s="757">
        <v>80</v>
      </c>
      <c r="B93" s="758">
        <v>42989</v>
      </c>
      <c r="C93" s="757">
        <v>80</v>
      </c>
      <c r="D93" s="759">
        <v>27.8643</v>
      </c>
      <c r="E93" s="759">
        <v>18.5</v>
      </c>
      <c r="F93" s="759">
        <f t="shared" si="15"/>
        <v>-749.14400000000001</v>
      </c>
      <c r="G93" s="759">
        <f t="shared" si="16"/>
        <v>2229.1440000000002</v>
      </c>
      <c r="H93" s="761">
        <f t="shared" si="17"/>
        <v>-0.33606801534580089</v>
      </c>
      <c r="I93" s="761"/>
    </row>
    <row r="94" spans="1:9" x14ac:dyDescent="0.25">
      <c r="A94" s="757">
        <v>80</v>
      </c>
      <c r="B94" s="758">
        <v>42996</v>
      </c>
      <c r="C94" s="757">
        <v>180</v>
      </c>
      <c r="D94" s="759">
        <v>22.1341</v>
      </c>
      <c r="E94" s="759">
        <v>16.989999999999998</v>
      </c>
      <c r="F94" s="759">
        <f t="shared" si="15"/>
        <v>-925.93800000000033</v>
      </c>
      <c r="G94" s="759">
        <f t="shared" si="16"/>
        <v>3984.1379999999999</v>
      </c>
      <c r="H94" s="761">
        <f t="shared" si="17"/>
        <v>-0.23240610641498871</v>
      </c>
      <c r="I94" s="761"/>
    </row>
    <row r="95" spans="1:9" x14ac:dyDescent="0.25">
      <c r="A95" s="757">
        <v>0</v>
      </c>
      <c r="B95" s="758">
        <v>43010</v>
      </c>
      <c r="C95" s="757">
        <v>100</v>
      </c>
      <c r="D95" s="759">
        <v>24.8977</v>
      </c>
      <c r="E95" s="759">
        <v>18.47</v>
      </c>
      <c r="F95" s="759">
        <f t="shared" si="15"/>
        <v>-642.77000000000021</v>
      </c>
      <c r="G95" s="759">
        <f t="shared" si="16"/>
        <v>2489.77</v>
      </c>
      <c r="H95" s="761">
        <f t="shared" si="17"/>
        <v>-0.25816440876064861</v>
      </c>
      <c r="I95" s="761"/>
    </row>
    <row r="96" spans="1:9" x14ac:dyDescent="0.25">
      <c r="A96" s="757">
        <v>0</v>
      </c>
      <c r="B96" s="758">
        <v>43011</v>
      </c>
      <c r="C96" s="757">
        <v>180</v>
      </c>
      <c r="D96" s="759">
        <v>21.809799999999999</v>
      </c>
      <c r="E96" s="759">
        <v>18.82</v>
      </c>
      <c r="F96" s="759">
        <f t="shared" si="15"/>
        <v>-538.16399999999976</v>
      </c>
      <c r="G96" s="759">
        <f t="shared" si="16"/>
        <v>3925.7639999999997</v>
      </c>
      <c r="H96" s="761">
        <f t="shared" si="17"/>
        <v>-0.13708516355033054</v>
      </c>
      <c r="I96" s="759">
        <v>21.5</v>
      </c>
    </row>
    <row r="97" spans="1:9" x14ac:dyDescent="0.25">
      <c r="A97" s="757">
        <v>0</v>
      </c>
      <c r="B97" s="758">
        <v>43012</v>
      </c>
      <c r="C97" s="757">
        <v>180</v>
      </c>
      <c r="D97" s="759">
        <v>21.81</v>
      </c>
      <c r="E97" s="759">
        <v>16.079999999999998</v>
      </c>
      <c r="F97" s="759">
        <f t="shared" si="15"/>
        <v>-1031.4000000000001</v>
      </c>
      <c r="G97" s="759">
        <f t="shared" si="16"/>
        <v>3925.7999999999997</v>
      </c>
      <c r="H97" s="761">
        <f t="shared" si="17"/>
        <v>-0.2627235213204952</v>
      </c>
      <c r="I97" s="761"/>
    </row>
    <row r="98" spans="1:9" x14ac:dyDescent="0.25">
      <c r="A98" s="757">
        <v>0</v>
      </c>
      <c r="B98" s="758">
        <v>43013</v>
      </c>
      <c r="C98" s="757">
        <v>280</v>
      </c>
      <c r="D98" s="759">
        <v>19.663499999999999</v>
      </c>
      <c r="E98" s="759">
        <v>15.68</v>
      </c>
      <c r="F98" s="759">
        <f t="shared" si="15"/>
        <v>-1115.3799999999999</v>
      </c>
      <c r="G98" s="759">
        <f t="shared" si="16"/>
        <v>5505.78</v>
      </c>
      <c r="H98" s="761">
        <f t="shared" si="17"/>
        <v>-0.2025834668294047</v>
      </c>
      <c r="I98" s="759">
        <v>19.5</v>
      </c>
    </row>
    <row r="99" spans="1:9" x14ac:dyDescent="0.25">
      <c r="A99" s="757">
        <v>100</v>
      </c>
      <c r="B99" s="758">
        <v>43031</v>
      </c>
      <c r="C99" s="757">
        <v>280</v>
      </c>
      <c r="D99" s="759">
        <v>19.663499999999999</v>
      </c>
      <c r="E99" s="759">
        <v>14.54</v>
      </c>
      <c r="F99" s="759">
        <f t="shared" si="15"/>
        <v>-1434.58</v>
      </c>
      <c r="G99" s="759">
        <f t="shared" si="16"/>
        <v>5505.78</v>
      </c>
      <c r="H99" s="761">
        <f t="shared" si="17"/>
        <v>-0.26055890355226691</v>
      </c>
      <c r="I99" s="759"/>
    </row>
    <row r="100" spans="1:9" x14ac:dyDescent="0.25">
      <c r="A100" s="757"/>
      <c r="B100" s="758">
        <v>43044</v>
      </c>
      <c r="C100" s="757">
        <v>480</v>
      </c>
      <c r="D100" s="759">
        <v>16.170000000000002</v>
      </c>
      <c r="E100" s="759">
        <v>11.4</v>
      </c>
      <c r="F100" s="759">
        <f t="shared" si="15"/>
        <v>-2289.6000000000008</v>
      </c>
      <c r="G100" s="759">
        <f t="shared" si="16"/>
        <v>7761.6</v>
      </c>
      <c r="H100" s="761">
        <f t="shared" si="17"/>
        <v>-0.29499072356215217</v>
      </c>
      <c r="I100" s="761"/>
    </row>
    <row r="101" spans="1:9" x14ac:dyDescent="0.25">
      <c r="A101" s="757">
        <v>80</v>
      </c>
      <c r="B101" s="758">
        <v>43045</v>
      </c>
      <c r="C101" s="757">
        <v>280</v>
      </c>
      <c r="D101" s="759">
        <v>19.092300000000002</v>
      </c>
      <c r="E101" s="759">
        <v>12.41</v>
      </c>
      <c r="F101" s="759">
        <f t="shared" si="15"/>
        <v>-1871.0440000000003</v>
      </c>
      <c r="G101" s="759">
        <f t="shared" si="16"/>
        <v>5345.8440000000001</v>
      </c>
      <c r="H101" s="761">
        <f t="shared" si="17"/>
        <v>-0.34999973811431839</v>
      </c>
      <c r="I101" s="762" t="s">
        <v>764</v>
      </c>
    </row>
    <row r="102" spans="1:9" x14ac:dyDescent="0.25">
      <c r="A102" s="757">
        <v>0</v>
      </c>
      <c r="B102" s="758">
        <v>43070</v>
      </c>
      <c r="C102" s="757">
        <v>200</v>
      </c>
      <c r="D102" s="759">
        <v>20.621300000000002</v>
      </c>
      <c r="E102" s="759">
        <v>15.26</v>
      </c>
      <c r="F102" s="759">
        <f t="shared" si="15"/>
        <v>-1072.2600000000004</v>
      </c>
      <c r="G102" s="759">
        <f t="shared" si="16"/>
        <v>4124.26</v>
      </c>
      <c r="H102" s="761">
        <f t="shared" si="17"/>
        <v>-0.25998845853559188</v>
      </c>
      <c r="I102" s="761"/>
    </row>
    <row r="103" spans="1:9" x14ac:dyDescent="0.25">
      <c r="A103" s="757">
        <v>200</v>
      </c>
      <c r="B103" s="758">
        <v>43077</v>
      </c>
      <c r="C103" s="757">
        <v>200</v>
      </c>
      <c r="D103" s="759">
        <v>20.62</v>
      </c>
      <c r="E103" s="759">
        <v>16.059999999999999</v>
      </c>
      <c r="F103" s="759">
        <f t="shared" si="15"/>
        <v>-912.00000000000045</v>
      </c>
      <c r="G103" s="759">
        <f t="shared" si="16"/>
        <v>4124</v>
      </c>
      <c r="H103" s="761">
        <f t="shared" si="17"/>
        <v>-0.22114451988360825</v>
      </c>
      <c r="I103" s="761"/>
    </row>
    <row r="104" spans="1:9" x14ac:dyDescent="0.25">
      <c r="A104" s="757">
        <v>200</v>
      </c>
      <c r="B104" s="758">
        <v>43082</v>
      </c>
      <c r="C104" s="757">
        <v>200</v>
      </c>
      <c r="D104" s="759">
        <v>20.52</v>
      </c>
      <c r="E104" s="759">
        <v>15.7</v>
      </c>
      <c r="F104" s="759">
        <f t="shared" si="15"/>
        <v>-964</v>
      </c>
      <c r="G104" s="759">
        <f t="shared" si="16"/>
        <v>4104</v>
      </c>
      <c r="H104" s="761">
        <f t="shared" si="17"/>
        <v>-0.23489278752436649</v>
      </c>
      <c r="I104" s="761" t="s">
        <v>185</v>
      </c>
    </row>
    <row r="105" spans="1:9" x14ac:dyDescent="0.25">
      <c r="A105" s="757">
        <v>200</v>
      </c>
      <c r="B105" s="758">
        <v>43083</v>
      </c>
      <c r="C105" s="757">
        <v>200</v>
      </c>
      <c r="D105" s="759">
        <v>20.520199999999999</v>
      </c>
      <c r="E105" s="759">
        <v>19.22</v>
      </c>
      <c r="F105" s="759">
        <f t="shared" si="15"/>
        <v>-260.04000000000008</v>
      </c>
      <c r="G105" s="759">
        <f t="shared" si="16"/>
        <v>4104.04</v>
      </c>
      <c r="H105" s="761">
        <f t="shared" si="17"/>
        <v>-6.3361955536495762E-2</v>
      </c>
      <c r="I105" s="761"/>
    </row>
    <row r="106" spans="1:9" x14ac:dyDescent="0.25">
      <c r="A106" s="757">
        <v>100</v>
      </c>
      <c r="B106" s="758">
        <v>43111</v>
      </c>
      <c r="C106" s="757">
        <v>100</v>
      </c>
      <c r="D106" s="759">
        <v>19.73</v>
      </c>
      <c r="E106" s="759">
        <v>21.74</v>
      </c>
      <c r="F106" s="759">
        <f t="shared" si="15"/>
        <v>200.9999999999998</v>
      </c>
      <c r="G106" s="759">
        <f t="shared" si="16"/>
        <v>1973</v>
      </c>
      <c r="H106" s="761">
        <f t="shared" si="17"/>
        <v>0.10187531677648241</v>
      </c>
      <c r="I106" s="761"/>
    </row>
    <row r="107" spans="1:9" x14ac:dyDescent="0.25">
      <c r="A107" s="757"/>
      <c r="B107" s="758">
        <v>43112</v>
      </c>
      <c r="C107" s="757">
        <v>0</v>
      </c>
      <c r="D107" s="759"/>
      <c r="E107" s="759">
        <v>22.07</v>
      </c>
      <c r="F107" s="759">
        <v>284.97000000000003</v>
      </c>
      <c r="G107" s="759"/>
      <c r="H107" s="761"/>
      <c r="I107" s="761"/>
    </row>
    <row r="108" spans="1:9" x14ac:dyDescent="0.25">
      <c r="A108" s="757"/>
      <c r="B108" s="758"/>
      <c r="C108" s="757"/>
      <c r="D108" s="759"/>
      <c r="E108" s="759"/>
      <c r="F108" s="759"/>
      <c r="G108" s="759"/>
      <c r="H108" s="761"/>
      <c r="I108" s="761"/>
    </row>
    <row r="109" spans="1:9" x14ac:dyDescent="0.25">
      <c r="A109" s="757"/>
      <c r="B109" s="758"/>
      <c r="C109" s="757"/>
      <c r="D109" s="759"/>
      <c r="E109" s="759"/>
      <c r="F109" s="759"/>
      <c r="G109" s="759"/>
      <c r="H109" s="761"/>
      <c r="I109" s="761"/>
    </row>
    <row r="110" spans="1:9" x14ac:dyDescent="0.25">
      <c r="A110" s="757"/>
      <c r="B110" s="758"/>
      <c r="C110" s="757"/>
      <c r="D110" s="759"/>
      <c r="E110" s="759"/>
      <c r="F110" s="759"/>
      <c r="G110" s="759"/>
      <c r="H110" s="761"/>
      <c r="I110" s="761"/>
    </row>
    <row r="111" spans="1:9" x14ac:dyDescent="0.25">
      <c r="A111" s="757"/>
      <c r="B111" s="758"/>
      <c r="C111" s="757"/>
      <c r="D111" s="759"/>
      <c r="E111" s="759"/>
      <c r="F111" s="759"/>
      <c r="G111" s="759"/>
      <c r="H111" s="761"/>
      <c r="I111" s="761"/>
    </row>
    <row r="112" spans="1:9" x14ac:dyDescent="0.25">
      <c r="A112" s="757"/>
      <c r="B112" s="758"/>
      <c r="C112" s="757"/>
      <c r="D112" s="759"/>
      <c r="E112" s="759"/>
      <c r="F112" s="759"/>
      <c r="G112" s="759"/>
      <c r="H112" s="761"/>
      <c r="I112" s="761"/>
    </row>
    <row r="113" spans="1:9" x14ac:dyDescent="0.25">
      <c r="A113" s="757"/>
      <c r="B113" s="758"/>
      <c r="C113" s="757"/>
      <c r="D113" s="759"/>
      <c r="E113" s="759"/>
      <c r="F113" s="759"/>
      <c r="G113" s="759"/>
      <c r="H113" s="761"/>
      <c r="I113" s="761"/>
    </row>
    <row r="114" spans="1:9" x14ac:dyDescent="0.25">
      <c r="A114" s="757"/>
      <c r="B114" s="758"/>
      <c r="C114" s="757"/>
      <c r="D114" s="759"/>
      <c r="E114" s="759"/>
      <c r="F114" s="759"/>
      <c r="G114" s="759"/>
      <c r="H114" s="761"/>
      <c r="I114" s="761"/>
    </row>
    <row r="115" spans="1:9" x14ac:dyDescent="0.25">
      <c r="A115" s="757"/>
      <c r="B115" s="758"/>
      <c r="C115" s="757"/>
      <c r="D115" s="759"/>
      <c r="E115" s="759"/>
      <c r="F115" s="759"/>
      <c r="G115" s="759"/>
      <c r="H115" s="761"/>
      <c r="I115" s="761"/>
    </row>
    <row r="116" spans="1:9" x14ac:dyDescent="0.25">
      <c r="A116" s="757"/>
      <c r="B116" s="758"/>
      <c r="C116" s="757"/>
      <c r="D116" s="759"/>
      <c r="E116" s="759"/>
      <c r="F116" s="759"/>
      <c r="G116" s="759"/>
      <c r="H116" s="761"/>
      <c r="I116" s="761"/>
    </row>
    <row r="117" spans="1:9" x14ac:dyDescent="0.25">
      <c r="A117" s="757"/>
      <c r="B117" s="758"/>
      <c r="C117" s="757"/>
      <c r="D117" s="759"/>
      <c r="E117" s="759"/>
      <c r="F117" s="759"/>
      <c r="G117" s="759"/>
      <c r="H117" s="761"/>
      <c r="I117" s="761"/>
    </row>
    <row r="118" spans="1:9" x14ac:dyDescent="0.25">
      <c r="A118" s="757"/>
      <c r="B118" s="758"/>
      <c r="C118" s="757"/>
      <c r="D118" s="759"/>
      <c r="E118" s="759"/>
      <c r="F118" s="759"/>
      <c r="G118" s="759"/>
      <c r="H118" s="761"/>
      <c r="I118" s="761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9" priority="99">
      <formula>F27&gt;0</formula>
    </cfRule>
    <cfRule type="expression" dxfId="248" priority="100">
      <formula>F27&lt;0</formula>
    </cfRule>
  </conditionalFormatting>
  <conditionalFormatting sqref="H27:H29">
    <cfRule type="expression" dxfId="247" priority="97">
      <formula>H27&gt;0</formula>
    </cfRule>
    <cfRule type="expression" dxfId="246" priority="98">
      <formula>H27&lt;0</formula>
    </cfRule>
  </conditionalFormatting>
  <conditionalFormatting sqref="H30">
    <cfRule type="expression" dxfId="245" priority="93">
      <formula>H30&gt;0</formula>
    </cfRule>
    <cfRule type="expression" dxfId="244" priority="94">
      <formula>H30&lt;0</formula>
    </cfRule>
  </conditionalFormatting>
  <conditionalFormatting sqref="H31:H55">
    <cfRule type="expression" dxfId="243" priority="91">
      <formula>H31&gt;0</formula>
    </cfRule>
    <cfRule type="expression" dxfId="242" priority="92">
      <formula>H31&lt;0</formula>
    </cfRule>
  </conditionalFormatting>
  <conditionalFormatting sqref="F31">
    <cfRule type="expression" dxfId="241" priority="85">
      <formula>F31&gt;0</formula>
    </cfRule>
    <cfRule type="expression" dxfId="240" priority="86">
      <formula>F31&lt;0</formula>
    </cfRule>
  </conditionalFormatting>
  <conditionalFormatting sqref="I25:I29">
    <cfRule type="expression" dxfId="239" priority="83">
      <formula>I25&gt;0</formula>
    </cfRule>
    <cfRule type="expression" dxfId="238" priority="84">
      <formula>I25&lt;0</formula>
    </cfRule>
  </conditionalFormatting>
  <conditionalFormatting sqref="I30:I33 I35 I38:K38 I40:K55">
    <cfRule type="expression" dxfId="237" priority="77">
      <formula>I30&gt;0</formula>
    </cfRule>
    <cfRule type="expression" dxfId="236" priority="78">
      <formula>I30&lt;0</formula>
    </cfRule>
  </conditionalFormatting>
  <conditionalFormatting sqref="I21:K24">
    <cfRule type="expression" dxfId="235" priority="75">
      <formula>I21&gt;0</formula>
    </cfRule>
    <cfRule type="expression" dxfId="234" priority="76">
      <formula>I21&lt;0</formula>
    </cfRule>
  </conditionalFormatting>
  <conditionalFormatting sqref="F32:F55">
    <cfRule type="expression" dxfId="233" priority="73">
      <formula>F32&gt;0</formula>
    </cfRule>
    <cfRule type="expression" dxfId="232" priority="74">
      <formula>F32&lt;0</formula>
    </cfRule>
  </conditionalFormatting>
  <conditionalFormatting sqref="Q8">
    <cfRule type="expression" dxfId="231" priority="69">
      <formula>Q8&gt;0</formula>
    </cfRule>
    <cfRule type="expression" dxfId="230" priority="70">
      <formula>Q8&lt;0</formula>
    </cfRule>
  </conditionalFormatting>
  <conditionalFormatting sqref="Q7">
    <cfRule type="expression" dxfId="229" priority="71">
      <formula>Q7&gt;0</formula>
    </cfRule>
    <cfRule type="expression" dxfId="228" priority="72">
      <formula>Q7&lt;0</formula>
    </cfRule>
  </conditionalFormatting>
  <conditionalFormatting sqref="F82">
    <cfRule type="expression" dxfId="227" priority="57">
      <formula>F82&gt;0</formula>
    </cfRule>
    <cfRule type="expression" dxfId="226" priority="58">
      <formula>F82&lt;0</formula>
    </cfRule>
  </conditionalFormatting>
  <conditionalFormatting sqref="H82">
    <cfRule type="expression" dxfId="225" priority="55">
      <formula>H82&gt;0</formula>
    </cfRule>
    <cfRule type="expression" dxfId="224" priority="56">
      <formula>H82&lt;0</formula>
    </cfRule>
  </conditionalFormatting>
  <conditionalFormatting sqref="I82">
    <cfRule type="expression" dxfId="223" priority="43">
      <formula>I82&gt;0</formula>
    </cfRule>
    <cfRule type="expression" dxfId="222" priority="44">
      <formula>I82&lt;0</formula>
    </cfRule>
  </conditionalFormatting>
  <conditionalFormatting sqref="F25:F26">
    <cfRule type="expression" dxfId="221" priority="39">
      <formula>F25&gt;0</formula>
    </cfRule>
    <cfRule type="expression" dxfId="220" priority="40">
      <formula>F25&lt;0</formula>
    </cfRule>
  </conditionalFormatting>
  <conditionalFormatting sqref="H25:H26">
    <cfRule type="expression" dxfId="219" priority="37">
      <formula>H25&gt;0</formula>
    </cfRule>
    <cfRule type="expression" dxfId="218" priority="38">
      <formula>H25&lt;0</formula>
    </cfRule>
  </conditionalFormatting>
  <conditionalFormatting sqref="F88:F92">
    <cfRule type="expression" dxfId="217" priority="35">
      <formula>F88&gt;0</formula>
    </cfRule>
    <cfRule type="expression" dxfId="216" priority="36">
      <formula>F88&lt;0</formula>
    </cfRule>
  </conditionalFormatting>
  <conditionalFormatting sqref="H88:H90">
    <cfRule type="expression" dxfId="215" priority="33">
      <formula>H88&gt;0</formula>
    </cfRule>
    <cfRule type="expression" dxfId="214" priority="34">
      <formula>H88&lt;0</formula>
    </cfRule>
  </conditionalFormatting>
  <conditionalFormatting sqref="H91:H92">
    <cfRule type="expression" dxfId="213" priority="31">
      <formula>H91&gt;0</formula>
    </cfRule>
    <cfRule type="expression" dxfId="212" priority="32">
      <formula>H91&lt;0</formula>
    </cfRule>
  </conditionalFormatting>
  <conditionalFormatting sqref="H93:H118">
    <cfRule type="expression" dxfId="211" priority="29">
      <formula>H93&gt;0</formula>
    </cfRule>
    <cfRule type="expression" dxfId="210" priority="30">
      <formula>H93&lt;0</formula>
    </cfRule>
  </conditionalFormatting>
  <conditionalFormatting sqref="F83:F86">
    <cfRule type="expression" dxfId="209" priority="27">
      <formula>F83&gt;0</formula>
    </cfRule>
    <cfRule type="expression" dxfId="208" priority="28">
      <formula>F83&lt;0</formula>
    </cfRule>
  </conditionalFormatting>
  <conditionalFormatting sqref="H83:H86">
    <cfRule type="expression" dxfId="207" priority="25">
      <formula>H83&gt;0</formula>
    </cfRule>
    <cfRule type="expression" dxfId="206" priority="26">
      <formula>H83&lt;0</formula>
    </cfRule>
  </conditionalFormatting>
  <conditionalFormatting sqref="F93">
    <cfRule type="expression" dxfId="205" priority="23">
      <formula>F93&gt;0</formula>
    </cfRule>
    <cfRule type="expression" dxfId="204" priority="24">
      <formula>F93&lt;0</formula>
    </cfRule>
  </conditionalFormatting>
  <conditionalFormatting sqref="I87:I89">
    <cfRule type="expression" dxfId="203" priority="21">
      <formula>I87&gt;0</formula>
    </cfRule>
    <cfRule type="expression" dxfId="202" priority="22">
      <formula>I87&lt;0</formula>
    </cfRule>
  </conditionalFormatting>
  <conditionalFormatting sqref="I90">
    <cfRule type="expression" dxfId="201" priority="19">
      <formula>I90&gt;0</formula>
    </cfRule>
    <cfRule type="expression" dxfId="200" priority="20">
      <formula>I90&lt;0</formula>
    </cfRule>
  </conditionalFormatting>
  <conditionalFormatting sqref="I91">
    <cfRule type="expression" dxfId="199" priority="17">
      <formula>I91&gt;0</formula>
    </cfRule>
    <cfRule type="expression" dxfId="198" priority="18">
      <formula>I91&lt;0</formula>
    </cfRule>
  </conditionalFormatting>
  <conditionalFormatting sqref="I92:I95 I97 I100 I102:I118">
    <cfRule type="expression" dxfId="197" priority="15">
      <formula>I92&gt;0</formula>
    </cfRule>
    <cfRule type="expression" dxfId="196" priority="16">
      <formula>I92&lt;0</formula>
    </cfRule>
  </conditionalFormatting>
  <conditionalFormatting sqref="I83:I86">
    <cfRule type="expression" dxfId="195" priority="13">
      <formula>I83&gt;0</formula>
    </cfRule>
    <cfRule type="expression" dxfId="194" priority="14">
      <formula>I83&lt;0</formula>
    </cfRule>
  </conditionalFormatting>
  <conditionalFormatting sqref="F94:F118">
    <cfRule type="expression" dxfId="193" priority="11">
      <formula>F94&gt;0</formula>
    </cfRule>
    <cfRule type="expression" dxfId="192" priority="12">
      <formula>F94&lt;0</formula>
    </cfRule>
  </conditionalFormatting>
  <conditionalFormatting sqref="F87">
    <cfRule type="expression" dxfId="191" priority="9">
      <formula>F87&gt;0</formula>
    </cfRule>
    <cfRule type="expression" dxfId="190" priority="10">
      <formula>F87&lt;0</formula>
    </cfRule>
  </conditionalFormatting>
  <conditionalFormatting sqref="H87">
    <cfRule type="expression" dxfId="189" priority="7">
      <formula>H87&gt;0</formula>
    </cfRule>
    <cfRule type="expression" dxfId="188" priority="8">
      <formula>H87&lt;0</formula>
    </cfRule>
  </conditionalFormatting>
  <conditionalFormatting sqref="F21:F24">
    <cfRule type="expression" dxfId="187" priority="5">
      <formula>F21&gt;0</formula>
    </cfRule>
    <cfRule type="expression" dxfId="186" priority="6">
      <formula>F21&lt;0</formula>
    </cfRule>
  </conditionalFormatting>
  <conditionalFormatting sqref="H21:H24">
    <cfRule type="expression" dxfId="185" priority="3">
      <formula>H21&gt;0</formula>
    </cfRule>
    <cfRule type="expression" dxfId="184" priority="4">
      <formula>H21&lt;0</formula>
    </cfRule>
  </conditionalFormatting>
  <conditionalFormatting sqref="J25:K27 J30:K37 J28:J29">
    <cfRule type="expression" dxfId="183" priority="1">
      <formula>J25&gt;0</formula>
    </cfRule>
    <cfRule type="expression" dxfId="182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103.98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103.98</v>
      </c>
      <c r="R4" s="475">
        <v>-6.7000000000000002E-3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50" t="s">
        <v>78</v>
      </c>
      <c r="P40" s="85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114.37800000000001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113.33820000000001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112.29840000000002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111.25860000000002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110.21880000000002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109.179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108.1392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107.0994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106.0596</v>
      </c>
      <c r="Q49" s="2"/>
      <c r="T49" s="91" t="s">
        <v>103</v>
      </c>
      <c r="U49" s="86" t="s">
        <v>515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105.0198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103.98</v>
      </c>
      <c r="Q51" s="2"/>
      <c r="T51" s="91" t="s">
        <v>104</v>
      </c>
      <c r="U51" s="86" t="s">
        <v>643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102.9402</v>
      </c>
      <c r="Q52" s="2"/>
      <c r="T52" s="91" t="s">
        <v>105</v>
      </c>
      <c r="U52" s="86" t="s">
        <v>644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101.9004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100.86060000000001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99.820800000000006</v>
      </c>
      <c r="T55" s="91" t="s">
        <v>107</v>
      </c>
      <c r="U55" s="86" t="s">
        <v>645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98.781000000000006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97.741199999999992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96.701400000000007</v>
      </c>
      <c r="T58" s="91" t="s">
        <v>108</v>
      </c>
      <c r="U58" s="86" t="s">
        <v>534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95.661600000000007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94.621800000000007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93.582000000000008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1" priority="15">
      <formula>F25&gt;0</formula>
    </cfRule>
    <cfRule type="expression" dxfId="180" priority="16">
      <formula>F25&lt;0</formula>
    </cfRule>
  </conditionalFormatting>
  <conditionalFormatting sqref="F32:F70">
    <cfRule type="expression" dxfId="179" priority="11">
      <formula>F32&gt;0</formula>
    </cfRule>
    <cfRule type="expression" dxfId="178" priority="12">
      <formula>F32&lt;0</formula>
    </cfRule>
  </conditionalFormatting>
  <conditionalFormatting sqref="F32:F70">
    <cfRule type="expression" dxfId="177" priority="13">
      <formula>F32&gt;0</formula>
    </cfRule>
    <cfRule type="expression" dxfId="176" priority="14">
      <formula>F32&lt;0</formula>
    </cfRule>
  </conditionalFormatting>
  <conditionalFormatting sqref="H25 H30:H70">
    <cfRule type="expression" dxfId="175" priority="9">
      <formula>H25&gt;0</formula>
    </cfRule>
    <cfRule type="expression" dxfId="174" priority="10">
      <formula>H25&lt;0</formula>
    </cfRule>
  </conditionalFormatting>
  <conditionalFormatting sqref="F26:F29">
    <cfRule type="expression" dxfId="173" priority="7">
      <formula>F26&gt;0</formula>
    </cfRule>
    <cfRule type="expression" dxfId="172" priority="8">
      <formula>F26&lt;0</formula>
    </cfRule>
  </conditionalFormatting>
  <conditionalFormatting sqref="H26:H29">
    <cfRule type="expression" dxfId="171" priority="5">
      <formula>H26&gt;0</formula>
    </cfRule>
    <cfRule type="expression" dxfId="170" priority="6">
      <formula>H26&lt;0</formula>
    </cfRule>
  </conditionalFormatting>
  <conditionalFormatting sqref="Q7">
    <cfRule type="expression" dxfId="169" priority="3">
      <formula>Q7&gt;0</formula>
    </cfRule>
    <cfRule type="expression" dxfId="168" priority="4">
      <formula>Q7&lt;0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681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7.33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7.33</v>
      </c>
      <c r="R4" s="475">
        <v>-9.5999999999999992E-3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681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498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50" t="s">
        <v>78</v>
      </c>
      <c r="P40" s="850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8.0630000000000006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7.9897000000000009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7.9164000000000003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294</v>
      </c>
      <c r="J44" s="39"/>
      <c r="K44" s="39"/>
      <c r="O44" s="81">
        <v>1.07</v>
      </c>
      <c r="P44" s="81">
        <f t="shared" si="7"/>
        <v>7.8431000000000006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7.7698</v>
      </c>
      <c r="Q45" s="2"/>
      <c r="T45" s="91" t="s">
        <v>99</v>
      </c>
      <c r="U45" s="86" t="s">
        <v>646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7.6965000000000003</v>
      </c>
      <c r="Q46" s="2"/>
      <c r="T46" s="91" t="s">
        <v>100</v>
      </c>
      <c r="U46" s="86" t="s">
        <v>647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301</v>
      </c>
      <c r="J47" s="39"/>
      <c r="K47" s="39"/>
      <c r="O47" s="81">
        <v>1.04</v>
      </c>
      <c r="P47" s="81">
        <f t="shared" si="7"/>
        <v>7.6232000000000006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7.5499000000000001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7.4766000000000004</v>
      </c>
      <c r="Q49" s="2"/>
      <c r="T49" s="91" t="s">
        <v>121</v>
      </c>
      <c r="U49" s="86" t="s">
        <v>423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7.4032999999999998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7.33</v>
      </c>
      <c r="Q51" s="2"/>
      <c r="T51" s="91" t="s">
        <v>104</v>
      </c>
      <c r="U51" s="86" t="s">
        <v>648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7.2567000000000004</v>
      </c>
      <c r="Q52" s="2"/>
      <c r="T52" s="91" t="s">
        <v>105</v>
      </c>
      <c r="U52" s="86" t="s">
        <v>520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7.1833999999999998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7.1101000000000001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7.0367999999999995</v>
      </c>
      <c r="T55" s="91" t="s">
        <v>107</v>
      </c>
      <c r="U55" s="86" t="s">
        <v>649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6.9634999999999998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6.8902000000000001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6.8169000000000004</v>
      </c>
      <c r="T58" s="91" t="s">
        <v>108</v>
      </c>
      <c r="U58" s="86" t="s">
        <v>551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6.7436000000000007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6.6703000000000001</v>
      </c>
    </row>
    <row r="61" spans="1:21" x14ac:dyDescent="0.25">
      <c r="A61" t="s">
        <v>347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6.5970000000000004</v>
      </c>
    </row>
    <row r="62" spans="1:21" x14ac:dyDescent="0.25">
      <c r="A62" t="s">
        <v>354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355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396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399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445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448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461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462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5" priority="25">
      <formula>F34&gt;0</formula>
    </cfRule>
    <cfRule type="expression" dxfId="164" priority="26">
      <formula>F34&lt;0</formula>
    </cfRule>
  </conditionalFormatting>
  <conditionalFormatting sqref="H124:H131">
    <cfRule type="expression" dxfId="163" priority="23">
      <formula>H124&gt;0</formula>
    </cfRule>
    <cfRule type="expression" dxfId="162" priority="24">
      <formula>H124&lt;0</formula>
    </cfRule>
  </conditionalFormatting>
  <conditionalFormatting sqref="H132">
    <cfRule type="expression" dxfId="161" priority="21">
      <formula>H132&gt;0</formula>
    </cfRule>
    <cfRule type="expression" dxfId="160" priority="22">
      <formula>H132&lt;0</formula>
    </cfRule>
  </conditionalFormatting>
  <conditionalFormatting sqref="Q8">
    <cfRule type="expression" dxfId="159" priority="11">
      <formula>Q8&gt;0</formula>
    </cfRule>
    <cfRule type="expression" dxfId="158" priority="12">
      <formula>Q8&lt;0</formula>
    </cfRule>
  </conditionalFormatting>
  <conditionalFormatting sqref="Q7">
    <cfRule type="expression" dxfId="157" priority="13">
      <formula>Q7&gt;0</formula>
    </cfRule>
    <cfRule type="expression" dxfId="156" priority="14">
      <formula>Q7&lt;0</formula>
    </cfRule>
  </conditionalFormatting>
  <conditionalFormatting sqref="F36:F39">
    <cfRule type="expression" dxfId="155" priority="9">
      <formula>F36&gt;0</formula>
    </cfRule>
    <cfRule type="expression" dxfId="154" priority="10">
      <formula>F36&lt;0</formula>
    </cfRule>
  </conditionalFormatting>
  <conditionalFormatting sqref="H36:H39">
    <cfRule type="expression" dxfId="153" priority="7">
      <formula>H36&gt;0</formula>
    </cfRule>
    <cfRule type="expression" dxfId="152" priority="8">
      <formula>H36&lt;0</formula>
    </cfRule>
  </conditionalFormatting>
  <conditionalFormatting sqref="K65:K99">
    <cfRule type="expression" dxfId="151" priority="5">
      <formula>K65&gt;0</formula>
    </cfRule>
    <cfRule type="expression" dxfId="150" priority="6">
      <formula>K65&lt;0</formula>
    </cfRule>
  </conditionalFormatting>
  <conditionalFormatting sqref="K72">
    <cfRule type="expression" dxfId="149" priority="3">
      <formula>K72&gt;0</formula>
    </cfRule>
    <cfRule type="expression" dxfId="148" priority="4">
      <formula>K72&lt;0</formula>
    </cfRule>
  </conditionalFormatting>
  <conditionalFormatting sqref="M69">
    <cfRule type="expression" dxfId="147" priority="1">
      <formula>M69&gt;0</formula>
    </cfRule>
    <cfRule type="expression" dxfId="146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82">
        <v>43133</v>
      </c>
    </row>
    <row r="2" spans="1:40" x14ac:dyDescent="0.25">
      <c r="A2" s="6" t="s">
        <v>55</v>
      </c>
      <c r="B2" s="769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5">
        <v>28.5</v>
      </c>
      <c r="O2" s="11" t="s">
        <v>57</v>
      </c>
      <c r="Q2">
        <f>C24-H24</f>
        <v>50</v>
      </c>
      <c r="T2" s="1">
        <v>43096</v>
      </c>
      <c r="U2" t="s">
        <v>810</v>
      </c>
      <c r="W2" t="s">
        <v>808</v>
      </c>
      <c r="X2" s="739" t="s">
        <v>792</v>
      </c>
      <c r="Y2" s="764">
        <v>11.5</v>
      </c>
      <c r="Z2" s="764">
        <v>11.5</v>
      </c>
      <c r="AA2" s="2">
        <v>10.6</v>
      </c>
      <c r="AB2" s="2">
        <v>9.5</v>
      </c>
      <c r="AC2" s="764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775"/>
      <c r="O3" s="11" t="s">
        <v>58</v>
      </c>
      <c r="Q3" s="221">
        <f>(F24-K24-M24)/Q2</f>
        <v>71.080000000000013</v>
      </c>
      <c r="U3" t="s">
        <v>811</v>
      </c>
      <c r="X3" s="739" t="s">
        <v>793</v>
      </c>
      <c r="Y3" s="764">
        <v>25</v>
      </c>
      <c r="Z3" s="764">
        <v>24.6</v>
      </c>
      <c r="AA3" s="2">
        <v>23.3</v>
      </c>
      <c r="AB3" s="2">
        <v>20.6</v>
      </c>
      <c r="AC3" s="764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71.83</v>
      </c>
      <c r="R4" s="475">
        <v>-1.1000000000000001E-3</v>
      </c>
      <c r="U4" t="s">
        <v>812</v>
      </c>
      <c r="X4" s="739" t="s">
        <v>794</v>
      </c>
      <c r="Y4" s="764">
        <v>28.5</v>
      </c>
      <c r="Z4" s="764">
        <v>28.8</v>
      </c>
      <c r="AA4" s="2">
        <v>26.9</v>
      </c>
      <c r="AB4" s="2">
        <v>23.9</v>
      </c>
      <c r="AC4" s="764">
        <v>26.6</v>
      </c>
      <c r="AD4">
        <v>30</v>
      </c>
      <c r="AE4" s="738">
        <v>28.5</v>
      </c>
      <c r="AF4" s="738">
        <v>29.3</v>
      </c>
      <c r="AG4" s="738">
        <v>29.9</v>
      </c>
      <c r="AH4" s="768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3591.5</v>
      </c>
      <c r="T5" s="1"/>
      <c r="X5" s="739" t="s">
        <v>795</v>
      </c>
      <c r="Y5" s="764">
        <v>35.200000000000003</v>
      </c>
      <c r="Z5" s="764">
        <v>34.5</v>
      </c>
      <c r="AA5" s="2">
        <v>33.1</v>
      </c>
      <c r="AB5" s="2">
        <v>28.5</v>
      </c>
      <c r="AC5" s="764">
        <v>31.6</v>
      </c>
      <c r="AD5">
        <v>33.799999999999997</v>
      </c>
      <c r="AE5" s="773" t="s">
        <v>819</v>
      </c>
      <c r="AF5" s="738" t="s">
        <v>819</v>
      </c>
      <c r="AG5" s="738" t="s">
        <v>819</v>
      </c>
      <c r="AH5" s="768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822</v>
      </c>
      <c r="X6" s="739" t="s">
        <v>796</v>
      </c>
      <c r="Y6" s="764">
        <v>56</v>
      </c>
      <c r="Z6" s="764">
        <v>56.1</v>
      </c>
      <c r="AA6" s="2">
        <v>53.9</v>
      </c>
      <c r="AB6" s="2">
        <v>47.4</v>
      </c>
      <c r="AC6" s="764">
        <v>52.9</v>
      </c>
      <c r="AD6">
        <v>59.7</v>
      </c>
      <c r="AE6" s="738">
        <v>55.4</v>
      </c>
      <c r="AF6" s="738">
        <v>57.8</v>
      </c>
      <c r="AG6" s="738">
        <v>59.8</v>
      </c>
      <c r="AH6" s="768"/>
      <c r="AI6" s="738"/>
      <c r="AK6" s="738"/>
      <c r="AL6" s="738"/>
      <c r="AM6" s="738"/>
      <c r="AN6" s="738"/>
    </row>
    <row r="7" spans="1:40" x14ac:dyDescent="0.25">
      <c r="A7" s="607"/>
      <c r="B7" s="769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847.62999999998965</v>
      </c>
      <c r="R7">
        <v>50</v>
      </c>
      <c r="X7" s="739" t="s">
        <v>797</v>
      </c>
      <c r="Y7" s="764">
        <v>156.13</v>
      </c>
      <c r="Z7" s="764">
        <v>155.49</v>
      </c>
      <c r="AA7" s="2">
        <v>147.97</v>
      </c>
      <c r="AB7" s="2">
        <v>129.78</v>
      </c>
      <c r="AC7" s="764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8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37.499999999999545</v>
      </c>
      <c r="T8" s="1">
        <v>43109</v>
      </c>
      <c r="U8" t="s">
        <v>857</v>
      </c>
      <c r="X8" s="739" t="s">
        <v>809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8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1.0551491277433747E-2</v>
      </c>
      <c r="U9" t="s">
        <v>876</v>
      </c>
      <c r="X9" s="739" t="s">
        <v>820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8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39" t="s">
        <v>821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2.8957260197688989E-2</v>
      </c>
      <c r="R11">
        <f>0.52</f>
        <v>0.52</v>
      </c>
      <c r="T11" s="1">
        <v>43112</v>
      </c>
      <c r="U11" t="s">
        <v>873</v>
      </c>
      <c r="X11" s="739" t="s">
        <v>806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3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948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Q4/6.46</f>
        <v>11.119195046439629</v>
      </c>
      <c r="T13" s="1">
        <v>43114</v>
      </c>
      <c r="U13" t="s">
        <v>877</v>
      </c>
      <c r="W13" t="s">
        <v>807</v>
      </c>
      <c r="X13" s="739" t="s">
        <v>798</v>
      </c>
      <c r="Y13" s="741">
        <v>105.2</v>
      </c>
      <c r="Z13" s="741">
        <v>99.7</v>
      </c>
      <c r="AA13" s="81">
        <v>95.1</v>
      </c>
      <c r="AB13" s="2">
        <v>78.8</v>
      </c>
      <c r="AC13" s="764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875</v>
      </c>
      <c r="X14" s="739" t="s">
        <v>799</v>
      </c>
      <c r="Y14" s="741">
        <v>1.77</v>
      </c>
      <c r="Z14" s="741">
        <v>2.23</v>
      </c>
      <c r="AA14" s="81">
        <v>1.39</v>
      </c>
      <c r="AB14" s="2">
        <v>1.42</v>
      </c>
      <c r="AC14" s="764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874</v>
      </c>
      <c r="X15" s="739" t="s">
        <v>800</v>
      </c>
      <c r="Y15" s="741">
        <v>50.7</v>
      </c>
      <c r="Z15" s="741">
        <v>50.6</v>
      </c>
      <c r="AA15" s="81">
        <v>47</v>
      </c>
      <c r="AB15" s="2">
        <v>39.799999999999997</v>
      </c>
      <c r="AC15" s="764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801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4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893</v>
      </c>
      <c r="X17" s="739" t="s">
        <v>802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4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3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909</v>
      </c>
      <c r="X18" s="739" t="s">
        <v>803</v>
      </c>
      <c r="Y18" s="741">
        <v>13.1</v>
      </c>
      <c r="Z18" s="741">
        <v>13.1</v>
      </c>
      <c r="AA18" s="81">
        <v>11.3</v>
      </c>
      <c r="AB18" s="2">
        <v>9.99</v>
      </c>
      <c r="AC18" s="764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878</v>
      </c>
      <c r="X19" s="739" t="s">
        <v>804</v>
      </c>
      <c r="Y19" s="741">
        <v>0.03</v>
      </c>
      <c r="Z19" s="741">
        <v>0.05</v>
      </c>
      <c r="AA19" s="81" t="s">
        <v>819</v>
      </c>
      <c r="AB19" s="2" t="s">
        <v>819</v>
      </c>
      <c r="AC19" s="764" t="s">
        <v>819</v>
      </c>
      <c r="AD19" s="738" t="s">
        <v>819</v>
      </c>
      <c r="AE19" s="738" t="s">
        <v>819</v>
      </c>
      <c r="AF19" s="738">
        <v>0.02</v>
      </c>
      <c r="AG19" s="738" t="s">
        <v>819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805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4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1045</v>
      </c>
      <c r="X21" s="739" t="s">
        <v>797</v>
      </c>
      <c r="Y21" s="741">
        <v>192.89</v>
      </c>
      <c r="Z21" s="741">
        <v>187</v>
      </c>
      <c r="AA21" s="81">
        <v>174.4</v>
      </c>
      <c r="AB21" s="81">
        <v>147.34</v>
      </c>
      <c r="AC21" s="764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1050</v>
      </c>
      <c r="X22" s="739" t="s">
        <v>809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820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39" t="s">
        <v>821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0</v>
      </c>
      <c r="D25" s="343"/>
      <c r="E25" s="343"/>
      <c r="F25" s="344">
        <f>SumByColor($A$25,F2:F23)</f>
        <v>0</v>
      </c>
      <c r="G25" s="343"/>
      <c r="H25" s="343">
        <f>SumByColor($A$25,H2:H23)</f>
        <v>0</v>
      </c>
      <c r="I25" s="343"/>
      <c r="J25" s="343"/>
      <c r="K25" s="344">
        <f>SumByColor($A$25,K2:K23)</f>
        <v>0</v>
      </c>
      <c r="L25" s="343"/>
      <c r="M25" s="344">
        <f>SumByColor($A$25,M2:M23)</f>
        <v>28</v>
      </c>
      <c r="X25" s="739" t="s">
        <v>806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498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2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4"/>
      <c r="C34" s="10"/>
      <c r="D34" s="39"/>
      <c r="E34" s="39"/>
      <c r="F34" s="39"/>
      <c r="G34" s="39"/>
      <c r="H34" s="223"/>
      <c r="I34" s="39"/>
      <c r="J34" s="10"/>
      <c r="K34" s="39"/>
    </row>
    <row r="35" spans="1:22" x14ac:dyDescent="0.25">
      <c r="A35" s="4"/>
      <c r="B35" s="184"/>
      <c r="C35" s="10"/>
      <c r="D35" s="39"/>
      <c r="E35" s="39"/>
      <c r="F35" s="39"/>
      <c r="G35" s="39"/>
      <c r="H35" s="223"/>
      <c r="I35" s="339"/>
      <c r="J35" s="10"/>
      <c r="K35" s="39"/>
    </row>
    <row r="36" spans="1:22" x14ac:dyDescent="0.25">
      <c r="A36" s="4"/>
      <c r="B36" s="184"/>
      <c r="C36" s="10"/>
      <c r="D36" s="39"/>
      <c r="E36" s="39"/>
      <c r="F36" s="39"/>
      <c r="G36" s="39"/>
      <c r="H36" s="223"/>
      <c r="I36" s="193"/>
      <c r="J36" s="10"/>
      <c r="K36" s="39"/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50" t="s">
        <v>78</v>
      </c>
      <c r="P42" s="850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79.013000000000005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78.294700000000006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77.576400000000007</v>
      </c>
      <c r="Q45" s="2"/>
      <c r="T45" s="91" t="s">
        <v>99</v>
      </c>
      <c r="U45" s="86" t="s">
        <v>650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76.858100000000007</v>
      </c>
      <c r="Q46" s="2"/>
      <c r="T46" s="91" t="s">
        <v>100</v>
      </c>
      <c r="U46" s="86" t="s">
        <v>651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76.139800000000008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75.421499999999995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74.703199999999995</v>
      </c>
      <c r="Q49" s="2"/>
      <c r="T49" s="91" t="s">
        <v>103</v>
      </c>
      <c r="U49" s="86" t="s">
        <v>552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73.984899999999996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73.266599999999997</v>
      </c>
      <c r="Q51" s="2"/>
      <c r="T51" s="91" t="s">
        <v>104</v>
      </c>
      <c r="U51" s="86" t="s">
        <v>652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72.548299999999998</v>
      </c>
      <c r="Q52" s="2"/>
      <c r="T52" s="91" t="s">
        <v>105</v>
      </c>
      <c r="U52" s="86" t="s">
        <v>413</v>
      </c>
      <c r="V52" s="86"/>
    </row>
    <row r="53" spans="1:22" x14ac:dyDescent="0.25">
      <c r="O53" s="81">
        <v>1</v>
      </c>
      <c r="P53" s="81">
        <f t="shared" si="26"/>
        <v>71.83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71.111699999999999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70.3934</v>
      </c>
      <c r="Q55" s="2"/>
      <c r="T55" s="91" t="s">
        <v>107</v>
      </c>
      <c r="U55" s="86" t="s">
        <v>653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69.6751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68.956800000000001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68.238500000000002</v>
      </c>
      <c r="T58" s="91" t="s">
        <v>108</v>
      </c>
      <c r="U58" s="86" t="s">
        <v>553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67.520199999999988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66.801900000000003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66.083600000000004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65.365300000000005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64.647000000000006</v>
      </c>
    </row>
    <row r="64" spans="1:22" x14ac:dyDescent="0.25">
      <c r="A64" s="384" t="s">
        <v>211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4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498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247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303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313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340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359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373</v>
      </c>
      <c r="J182" s="362"/>
      <c r="K182" s="362"/>
      <c r="L182" s="362"/>
    </row>
    <row r="183" spans="1:12" x14ac:dyDescent="0.25">
      <c r="A183" s="362" t="s">
        <v>359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395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340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408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426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429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443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395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709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696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4"/>
      <c r="B205" s="804"/>
      <c r="C205" s="804"/>
      <c r="D205" s="805"/>
      <c r="E205" s="805"/>
      <c r="F205" s="805"/>
      <c r="G205" s="805"/>
      <c r="H205" s="806"/>
      <c r="I205" s="807"/>
      <c r="J205" s="804"/>
      <c r="K205" s="804"/>
      <c r="L205" s="804"/>
    </row>
    <row r="206" spans="1:12" x14ac:dyDescent="0.25">
      <c r="A206" s="804"/>
      <c r="B206" s="804"/>
      <c r="C206" s="804"/>
      <c r="D206" s="805"/>
      <c r="E206" s="805"/>
      <c r="F206" s="805"/>
      <c r="G206" s="805"/>
      <c r="H206" s="806"/>
      <c r="I206" s="807"/>
      <c r="J206" s="804"/>
      <c r="K206" s="804"/>
      <c r="L206" s="804"/>
    </row>
    <row r="207" spans="1:12" x14ac:dyDescent="0.25">
      <c r="A207" s="804"/>
      <c r="B207" s="808">
        <v>42984</v>
      </c>
      <c r="C207" s="804">
        <v>50</v>
      </c>
      <c r="D207" s="805">
        <v>81.88</v>
      </c>
      <c r="E207" s="805">
        <v>82.66</v>
      </c>
      <c r="F207" s="805">
        <f t="shared" ref="F207:F225" si="39">C207*(E207-D207)</f>
        <v>39.000000000000057</v>
      </c>
      <c r="G207" s="805">
        <f t="shared" ref="G207:G225" si="40">D207*C207</f>
        <v>4094</v>
      </c>
      <c r="H207" s="809">
        <f t="shared" ref="H207:H225" si="41">(E207-D207)/D207</f>
        <v>9.5261358085002579E-3</v>
      </c>
      <c r="I207" s="810"/>
      <c r="J207" s="804"/>
      <c r="K207" s="804"/>
      <c r="L207" s="804"/>
    </row>
    <row r="208" spans="1:12" x14ac:dyDescent="0.25">
      <c r="A208" s="804"/>
      <c r="B208" s="808">
        <v>42988</v>
      </c>
      <c r="C208" s="804">
        <v>50</v>
      </c>
      <c r="D208" s="805">
        <v>81.88</v>
      </c>
      <c r="E208" s="805">
        <v>85.1</v>
      </c>
      <c r="F208" s="805">
        <f t="shared" si="39"/>
        <v>160.99999999999994</v>
      </c>
      <c r="G208" s="805">
        <f t="shared" si="40"/>
        <v>4094</v>
      </c>
      <c r="H208" s="809">
        <f t="shared" si="41"/>
        <v>3.9325842696629199E-2</v>
      </c>
      <c r="I208" s="807"/>
      <c r="J208" s="804"/>
      <c r="K208" s="804"/>
      <c r="L208" s="804"/>
    </row>
    <row r="209" spans="1:12" x14ac:dyDescent="0.25">
      <c r="A209" s="804"/>
      <c r="B209" s="808">
        <v>42992</v>
      </c>
      <c r="C209" s="804">
        <v>100</v>
      </c>
      <c r="D209" s="805">
        <v>81.844999999999999</v>
      </c>
      <c r="E209" s="805">
        <v>82.28</v>
      </c>
      <c r="F209" s="805">
        <f t="shared" si="39"/>
        <v>43.500000000000227</v>
      </c>
      <c r="G209" s="805">
        <f t="shared" si="40"/>
        <v>8184.5</v>
      </c>
      <c r="H209" s="809">
        <f t="shared" si="41"/>
        <v>5.3149245525078168E-3</v>
      </c>
      <c r="I209" s="807"/>
      <c r="J209" s="804"/>
      <c r="K209" s="804"/>
      <c r="L209" s="804"/>
    </row>
    <row r="210" spans="1:12" x14ac:dyDescent="0.25">
      <c r="A210" s="804">
        <v>0</v>
      </c>
      <c r="B210" s="808">
        <v>43018</v>
      </c>
      <c r="C210" s="804">
        <v>50</v>
      </c>
      <c r="D210" s="805">
        <v>80.102000000000004</v>
      </c>
      <c r="E210" s="805">
        <v>81.98</v>
      </c>
      <c r="F210" s="805">
        <f t="shared" si="39"/>
        <v>93.9</v>
      </c>
      <c r="G210" s="805">
        <f t="shared" si="40"/>
        <v>4005.1000000000004</v>
      </c>
      <c r="H210" s="809">
        <f t="shared" si="41"/>
        <v>2.3445107487952862E-2</v>
      </c>
      <c r="I210" s="805">
        <v>75.5</v>
      </c>
      <c r="J210" s="804"/>
      <c r="K210" s="805">
        <v>805.57</v>
      </c>
      <c r="L210" s="804"/>
    </row>
    <row r="211" spans="1:12" x14ac:dyDescent="0.25">
      <c r="A211" s="804">
        <v>0</v>
      </c>
      <c r="B211" s="808">
        <v>43020</v>
      </c>
      <c r="C211" s="804">
        <v>100</v>
      </c>
      <c r="D211" s="805">
        <v>80.891000000000005</v>
      </c>
      <c r="E211" s="805">
        <v>81.680000000000007</v>
      </c>
      <c r="F211" s="805">
        <f t="shared" si="39"/>
        <v>78.900000000000148</v>
      </c>
      <c r="G211" s="805">
        <f t="shared" si="40"/>
        <v>8089.1</v>
      </c>
      <c r="H211" s="806">
        <f t="shared" si="41"/>
        <v>9.7538663139286382E-3</v>
      </c>
      <c r="I211" s="805">
        <v>80</v>
      </c>
      <c r="J211" s="804"/>
      <c r="K211" s="805">
        <v>757</v>
      </c>
      <c r="L211" s="804"/>
    </row>
    <row r="212" spans="1:12" x14ac:dyDescent="0.25">
      <c r="A212" s="804">
        <v>50</v>
      </c>
      <c r="B212" s="808">
        <v>43035</v>
      </c>
      <c r="C212" s="804">
        <v>150</v>
      </c>
      <c r="D212" s="805">
        <v>78.554000000000002</v>
      </c>
      <c r="E212" s="805">
        <v>73.28</v>
      </c>
      <c r="F212" s="805">
        <f t="shared" si="39"/>
        <v>-791.10000000000014</v>
      </c>
      <c r="G212" s="805">
        <f t="shared" si="40"/>
        <v>11783.1</v>
      </c>
      <c r="H212" s="806">
        <f t="shared" si="41"/>
        <v>-6.713852891004915E-2</v>
      </c>
      <c r="I212" s="807"/>
      <c r="J212" s="804"/>
      <c r="K212" s="805">
        <v>-132</v>
      </c>
      <c r="L212" s="804"/>
    </row>
    <row r="213" spans="1:12" x14ac:dyDescent="0.25">
      <c r="A213" s="804"/>
      <c r="B213" s="808">
        <v>43035</v>
      </c>
      <c r="C213" s="804">
        <v>100</v>
      </c>
      <c r="D213" s="805">
        <v>79.691900000000004</v>
      </c>
      <c r="E213" s="805">
        <v>76.28</v>
      </c>
      <c r="F213" s="805">
        <f t="shared" si="39"/>
        <v>-341.19000000000028</v>
      </c>
      <c r="G213" s="805">
        <f t="shared" si="40"/>
        <v>7969.1900000000005</v>
      </c>
      <c r="H213" s="806">
        <f t="shared" si="41"/>
        <v>-4.2813636015705522E-2</v>
      </c>
      <c r="I213" s="811" t="s">
        <v>757</v>
      </c>
      <c r="J213" s="804"/>
      <c r="K213" s="805">
        <v>317</v>
      </c>
      <c r="L213" s="804"/>
    </row>
    <row r="214" spans="1:12" x14ac:dyDescent="0.25">
      <c r="A214" s="804"/>
      <c r="B214" s="808">
        <v>43044</v>
      </c>
      <c r="C214" s="804">
        <v>100</v>
      </c>
      <c r="D214" s="805">
        <v>79.69</v>
      </c>
      <c r="E214" s="805">
        <v>73.459999999999994</v>
      </c>
      <c r="F214" s="805">
        <f t="shared" si="39"/>
        <v>-623.00000000000045</v>
      </c>
      <c r="G214" s="805">
        <f t="shared" si="40"/>
        <v>7969</v>
      </c>
      <c r="H214" s="806">
        <f t="shared" si="41"/>
        <v>-7.8177939515623088E-2</v>
      </c>
      <c r="I214" s="807"/>
      <c r="J214" s="804">
        <v>23.71</v>
      </c>
      <c r="K214" s="805">
        <v>35</v>
      </c>
      <c r="L214" s="804"/>
    </row>
    <row r="215" spans="1:12" x14ac:dyDescent="0.25">
      <c r="A215" s="812">
        <v>50</v>
      </c>
      <c r="B215" s="808">
        <v>43053</v>
      </c>
      <c r="C215" s="804">
        <v>150</v>
      </c>
      <c r="D215" s="805">
        <v>76.989999999999995</v>
      </c>
      <c r="E215" s="805">
        <v>71.150000000000006</v>
      </c>
      <c r="F215" s="805">
        <f t="shared" si="39"/>
        <v>-875.99999999999841</v>
      </c>
      <c r="G215" s="805">
        <f t="shared" si="40"/>
        <v>11548.5</v>
      </c>
      <c r="H215" s="806">
        <f t="shared" si="41"/>
        <v>-7.5854007013897773E-2</v>
      </c>
      <c r="I215" s="805">
        <v>76.5</v>
      </c>
      <c r="J215" s="804"/>
      <c r="K215" s="805">
        <v>-217</v>
      </c>
      <c r="L215" s="804"/>
    </row>
    <row r="216" spans="1:12" x14ac:dyDescent="0.25">
      <c r="A216" s="812">
        <v>50</v>
      </c>
      <c r="B216" s="808">
        <v>43068</v>
      </c>
      <c r="C216" s="804">
        <v>100</v>
      </c>
      <c r="D216" s="805">
        <v>78.392799999999994</v>
      </c>
      <c r="E216" s="805">
        <v>73.67</v>
      </c>
      <c r="F216" s="805">
        <f t="shared" si="39"/>
        <v>-472.27999999999923</v>
      </c>
      <c r="G216" s="805">
        <f t="shared" si="40"/>
        <v>7839.28</v>
      </c>
      <c r="H216" s="806">
        <f t="shared" si="41"/>
        <v>-6.0245328652631269E-2</v>
      </c>
      <c r="I216" s="811" t="s">
        <v>767</v>
      </c>
      <c r="J216" s="804"/>
      <c r="K216" s="805">
        <v>186</v>
      </c>
      <c r="L216" s="804"/>
    </row>
    <row r="217" spans="1:12" x14ac:dyDescent="0.25">
      <c r="A217" s="812">
        <v>100</v>
      </c>
      <c r="B217" s="808">
        <v>43090</v>
      </c>
      <c r="C217" s="804">
        <v>150</v>
      </c>
      <c r="D217" s="805">
        <v>76.688500000000005</v>
      </c>
      <c r="E217" s="805">
        <v>73.02</v>
      </c>
      <c r="F217" s="805">
        <f t="shared" si="39"/>
        <v>-550.27500000000134</v>
      </c>
      <c r="G217" s="805">
        <f t="shared" si="40"/>
        <v>11503.275000000001</v>
      </c>
      <c r="H217" s="806">
        <f t="shared" si="41"/>
        <v>-4.7836377031758456E-2</v>
      </c>
      <c r="I217" s="807"/>
      <c r="J217" s="804">
        <v>43.77</v>
      </c>
      <c r="K217" s="805">
        <v>108</v>
      </c>
      <c r="L217" s="804"/>
    </row>
    <row r="218" spans="1:12" x14ac:dyDescent="0.25">
      <c r="A218" s="812">
        <v>100</v>
      </c>
      <c r="B218" s="808">
        <v>43098</v>
      </c>
      <c r="C218" s="804">
        <v>150</v>
      </c>
      <c r="D218" s="805">
        <v>76.341999999999999</v>
      </c>
      <c r="E218" s="805">
        <v>72</v>
      </c>
      <c r="F218" s="805">
        <f t="shared" si="39"/>
        <v>-651.29999999999984</v>
      </c>
      <c r="G218" s="805">
        <f t="shared" si="40"/>
        <v>11451.3</v>
      </c>
      <c r="H218" s="806">
        <f t="shared" si="41"/>
        <v>-5.6875638573786365E-2</v>
      </c>
      <c r="I218" s="807" t="s">
        <v>823</v>
      </c>
      <c r="J218" s="804"/>
      <c r="K218" s="805">
        <v>7</v>
      </c>
      <c r="L218" s="804"/>
    </row>
    <row r="219" spans="1:12" x14ac:dyDescent="0.25">
      <c r="A219" s="812">
        <v>100</v>
      </c>
      <c r="B219" s="808">
        <v>43098</v>
      </c>
      <c r="C219" s="804">
        <v>200</v>
      </c>
      <c r="D219" s="805">
        <v>75.17</v>
      </c>
      <c r="E219" s="805">
        <v>71.64</v>
      </c>
      <c r="F219" s="805">
        <f t="shared" si="39"/>
        <v>-706.00000000000023</v>
      </c>
      <c r="G219" s="805">
        <f t="shared" si="40"/>
        <v>15034</v>
      </c>
      <c r="H219" s="806">
        <f t="shared" si="41"/>
        <v>-4.6960223493414943E-2</v>
      </c>
      <c r="I219" s="811">
        <v>75</v>
      </c>
      <c r="J219" s="804"/>
      <c r="K219" s="805">
        <v>-47</v>
      </c>
      <c r="L219" s="804"/>
    </row>
    <row r="220" spans="1:12" x14ac:dyDescent="0.25">
      <c r="A220" s="812">
        <v>50</v>
      </c>
      <c r="B220" s="808">
        <v>43102</v>
      </c>
      <c r="C220" s="804">
        <v>150</v>
      </c>
      <c r="D220" s="805">
        <v>75.698999999999998</v>
      </c>
      <c r="E220" s="805">
        <v>74.099999999999994</v>
      </c>
      <c r="F220" s="805">
        <f t="shared" si="39"/>
        <v>-239.85000000000056</v>
      </c>
      <c r="G220" s="805">
        <f t="shared" si="40"/>
        <v>11354.85</v>
      </c>
      <c r="H220" s="809">
        <f t="shared" si="41"/>
        <v>-2.1123132405976353E-2</v>
      </c>
      <c r="I220" s="811" t="s">
        <v>828</v>
      </c>
      <c r="J220" s="804"/>
      <c r="K220" s="805">
        <v>419</v>
      </c>
      <c r="L220" s="804"/>
    </row>
    <row r="221" spans="1:12" x14ac:dyDescent="0.25">
      <c r="A221" s="812">
        <v>0</v>
      </c>
      <c r="B221" s="808">
        <v>43105</v>
      </c>
      <c r="C221" s="804">
        <v>100</v>
      </c>
      <c r="D221" s="805">
        <v>76.293999999999997</v>
      </c>
      <c r="E221" s="805">
        <v>74.52</v>
      </c>
      <c r="F221" s="805">
        <f t="shared" si="39"/>
        <v>-177.40000000000009</v>
      </c>
      <c r="G221" s="805">
        <f t="shared" si="40"/>
        <v>7629.4</v>
      </c>
      <c r="H221" s="806">
        <f t="shared" si="41"/>
        <v>-2.3252156132854498E-2</v>
      </c>
      <c r="I221" s="811" t="s">
        <v>854</v>
      </c>
      <c r="J221" s="804"/>
      <c r="K221" s="805">
        <v>481</v>
      </c>
      <c r="L221" s="804"/>
    </row>
    <row r="222" spans="1:12" x14ac:dyDescent="0.25">
      <c r="A222" s="812">
        <v>0</v>
      </c>
      <c r="B222" s="808">
        <v>43109</v>
      </c>
      <c r="C222" s="804">
        <v>100</v>
      </c>
      <c r="D222" s="805">
        <v>76.290000000000006</v>
      </c>
      <c r="E222" s="805">
        <v>78.099999999999994</v>
      </c>
      <c r="F222" s="805">
        <f t="shared" si="39"/>
        <v>180.99999999999881</v>
      </c>
      <c r="G222" s="805">
        <f t="shared" si="40"/>
        <v>7629.0000000000009</v>
      </c>
      <c r="H222" s="806">
        <f t="shared" si="41"/>
        <v>2.3725258880587075E-2</v>
      </c>
      <c r="I222" s="807"/>
      <c r="J222" s="804"/>
      <c r="K222" s="805">
        <v>839</v>
      </c>
      <c r="L222" s="804"/>
    </row>
    <row r="223" spans="1:12" x14ac:dyDescent="0.25">
      <c r="A223" s="812">
        <v>0</v>
      </c>
      <c r="B223" s="808">
        <v>43110</v>
      </c>
      <c r="C223" s="804">
        <v>100</v>
      </c>
      <c r="D223" s="805">
        <v>76.290000000000006</v>
      </c>
      <c r="E223" s="805">
        <v>78.709999999999994</v>
      </c>
      <c r="F223" s="805">
        <f t="shared" si="39"/>
        <v>241.99999999999875</v>
      </c>
      <c r="G223" s="805">
        <f t="shared" si="40"/>
        <v>7629.0000000000009</v>
      </c>
      <c r="H223" s="806">
        <f t="shared" si="41"/>
        <v>3.1721064359680001E-2</v>
      </c>
      <c r="I223" s="811">
        <v>76</v>
      </c>
      <c r="J223" s="811">
        <v>67.739999999999995</v>
      </c>
      <c r="K223" s="805">
        <v>900.23</v>
      </c>
      <c r="L223" s="804"/>
    </row>
    <row r="224" spans="1:12" x14ac:dyDescent="0.25">
      <c r="A224" s="812">
        <v>0</v>
      </c>
      <c r="B224" s="808">
        <v>43117</v>
      </c>
      <c r="C224" s="804">
        <v>100</v>
      </c>
      <c r="D224" s="805">
        <v>76.290000000000006</v>
      </c>
      <c r="E224" s="805">
        <v>81.739999999999995</v>
      </c>
      <c r="F224" s="805">
        <f t="shared" si="39"/>
        <v>544.99999999999886</v>
      </c>
      <c r="G224" s="805">
        <f t="shared" si="40"/>
        <v>7629.0000000000009</v>
      </c>
      <c r="H224" s="806">
        <f t="shared" si="41"/>
        <v>7.143793419845311E-2</v>
      </c>
      <c r="I224" s="811">
        <v>76</v>
      </c>
      <c r="J224" s="811"/>
      <c r="K224" s="805">
        <v>1203</v>
      </c>
      <c r="L224" s="804"/>
    </row>
    <row r="225" spans="1:12" x14ac:dyDescent="0.25">
      <c r="A225" s="812">
        <v>0</v>
      </c>
      <c r="B225" s="808">
        <v>43126</v>
      </c>
      <c r="C225" s="804">
        <v>50</v>
      </c>
      <c r="D225" s="805">
        <v>68.62</v>
      </c>
      <c r="E225" s="805">
        <v>83.97</v>
      </c>
      <c r="F225" s="805">
        <f t="shared" si="39"/>
        <v>767.49999999999977</v>
      </c>
      <c r="G225" s="805">
        <f t="shared" si="40"/>
        <v>3431</v>
      </c>
      <c r="H225" s="806">
        <f t="shared" si="41"/>
        <v>0.22369571553482939</v>
      </c>
      <c r="I225" s="807"/>
      <c r="J225" s="804"/>
      <c r="K225" s="805">
        <v>1426</v>
      </c>
      <c r="L225" s="804"/>
    </row>
    <row r="226" spans="1:12" x14ac:dyDescent="0.25">
      <c r="A226" s="804"/>
      <c r="B226" s="804"/>
      <c r="C226" s="804"/>
      <c r="D226" s="805"/>
      <c r="E226" s="805"/>
      <c r="F226" s="805"/>
      <c r="G226" s="804"/>
      <c r="H226" s="804"/>
      <c r="I226" s="804"/>
      <c r="J226" s="804"/>
      <c r="K226" s="804"/>
      <c r="L226" s="804"/>
    </row>
    <row r="227" spans="1:12" x14ac:dyDescent="0.25">
      <c r="A227" s="804"/>
      <c r="B227" s="804"/>
      <c r="C227" s="804"/>
      <c r="D227" s="805"/>
      <c r="E227" s="805"/>
      <c r="F227" s="805"/>
      <c r="G227" s="804"/>
      <c r="H227" s="804"/>
      <c r="I227" s="804"/>
      <c r="J227" s="804"/>
      <c r="K227" s="804"/>
      <c r="L227" s="804"/>
    </row>
    <row r="228" spans="1:12" x14ac:dyDescent="0.25">
      <c r="A228" s="804"/>
      <c r="B228" s="804"/>
      <c r="C228" s="804"/>
      <c r="D228" s="805"/>
      <c r="E228" s="805"/>
      <c r="F228" s="805"/>
      <c r="G228" s="804"/>
      <c r="H228" s="804"/>
      <c r="I228" s="804"/>
      <c r="J228" s="804"/>
      <c r="K228" s="804"/>
      <c r="L228" s="804"/>
    </row>
    <row r="229" spans="1:12" x14ac:dyDescent="0.25">
      <c r="A229" s="804"/>
      <c r="B229" s="804"/>
      <c r="C229" s="804"/>
      <c r="D229" s="805"/>
      <c r="E229" s="805"/>
      <c r="F229" s="805"/>
      <c r="G229" s="804"/>
      <c r="H229" s="804"/>
      <c r="I229" s="804"/>
      <c r="J229" s="804"/>
      <c r="K229" s="804"/>
      <c r="L229" s="804"/>
    </row>
    <row r="230" spans="1:12" x14ac:dyDescent="0.25">
      <c r="A230" s="804"/>
      <c r="B230" s="804"/>
      <c r="C230" s="804"/>
      <c r="D230" s="805"/>
      <c r="E230" s="805"/>
      <c r="F230" s="805"/>
      <c r="G230" s="804"/>
      <c r="H230" s="804"/>
      <c r="I230" s="804"/>
      <c r="J230" s="804"/>
      <c r="K230" s="804"/>
      <c r="L230" s="804"/>
    </row>
    <row r="231" spans="1:12" x14ac:dyDescent="0.25">
      <c r="A231" s="804"/>
      <c r="B231" s="804"/>
      <c r="C231" s="804"/>
      <c r="D231" s="805"/>
      <c r="E231" s="805"/>
      <c r="F231" s="805"/>
      <c r="G231" s="804"/>
      <c r="H231" s="804"/>
      <c r="I231" s="804"/>
      <c r="J231" s="804"/>
      <c r="K231" s="804"/>
      <c r="L231" s="804"/>
    </row>
    <row r="232" spans="1:12" x14ac:dyDescent="0.25">
      <c r="A232" s="804"/>
      <c r="B232" s="804"/>
      <c r="C232" s="804"/>
      <c r="D232" s="805"/>
      <c r="E232" s="805"/>
      <c r="F232" s="805"/>
      <c r="G232" s="804"/>
      <c r="H232" s="804"/>
      <c r="I232" s="804"/>
      <c r="J232" s="804"/>
      <c r="K232" s="804"/>
      <c r="L232" s="804"/>
    </row>
  </sheetData>
  <mergeCells count="1">
    <mergeCell ref="O42:P42"/>
  </mergeCells>
  <conditionalFormatting sqref="H45:I45 H48:I52 I32 H34 H35:I35 H37:I37 H36 H38:H39 F34:F42 H40:I41 H42 H44 H46:H47 F44:F52 AA24:AG24">
    <cfRule type="expression" dxfId="145" priority="92">
      <formula>F24&gt;0</formula>
    </cfRule>
    <cfRule type="expression" dxfId="144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3" priority="75">
      <formula>F30&gt;0</formula>
    </cfRule>
    <cfRule type="expression" dxfId="142" priority="76">
      <formula>F30&lt;0</formula>
    </cfRule>
  </conditionalFormatting>
  <conditionalFormatting sqref="H43 H30:H33">
    <cfRule type="expression" dxfId="141" priority="73">
      <formula>H30&gt;0</formula>
    </cfRule>
    <cfRule type="expression" dxfId="140" priority="74">
      <formula>H30&lt;0</formula>
    </cfRule>
  </conditionalFormatting>
  <conditionalFormatting sqref="Q8">
    <cfRule type="expression" dxfId="139" priority="67">
      <formula>Q8&gt;0</formula>
    </cfRule>
    <cfRule type="expression" dxfId="138" priority="68">
      <formula>Q8&lt;0</formula>
    </cfRule>
  </conditionalFormatting>
  <conditionalFormatting sqref="Q7">
    <cfRule type="expression" dxfId="137" priority="69">
      <formula>Q7&gt;0</formula>
    </cfRule>
    <cfRule type="expression" dxfId="136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5" priority="55">
      <formula>F115&gt;0</formula>
    </cfRule>
    <cfRule type="expression" dxfId="134" priority="56">
      <formula>F115&lt;0</formula>
    </cfRule>
  </conditionalFormatting>
  <conditionalFormatting sqref="F112:F114">
    <cfRule type="expression" dxfId="133" priority="53">
      <formula>F112&gt;0</formula>
    </cfRule>
    <cfRule type="expression" dxfId="132" priority="54">
      <formula>F112&lt;0</formula>
    </cfRule>
  </conditionalFormatting>
  <conditionalFormatting sqref="H112:I112">
    <cfRule type="expression" dxfId="131" priority="51">
      <formula>H112&gt;0</formula>
    </cfRule>
    <cfRule type="expression" dxfId="130" priority="52">
      <formula>H112&lt;0</formula>
    </cfRule>
  </conditionalFormatting>
  <conditionalFormatting sqref="H113:I113">
    <cfRule type="expression" dxfId="129" priority="49">
      <formula>H113&gt;0</formula>
    </cfRule>
    <cfRule type="expression" dxfId="128" priority="50">
      <formula>H113&lt;0</formula>
    </cfRule>
  </conditionalFormatting>
  <conditionalFormatting sqref="H114:I114">
    <cfRule type="expression" dxfId="127" priority="47">
      <formula>H114&gt;0</formula>
    </cfRule>
    <cfRule type="expression" dxfId="126" priority="48">
      <formula>H114&lt;0</formula>
    </cfRule>
  </conditionalFormatting>
  <conditionalFormatting sqref="F105:F111">
    <cfRule type="expression" dxfId="125" priority="45">
      <formula>F105&gt;0</formula>
    </cfRule>
    <cfRule type="expression" dxfId="124" priority="46">
      <formula>F105&lt;0</formula>
    </cfRule>
  </conditionalFormatting>
  <conditionalFormatting sqref="H105:I111">
    <cfRule type="expression" dxfId="123" priority="43">
      <formula>H105&gt;0</formula>
    </cfRule>
    <cfRule type="expression" dxfId="122" priority="44">
      <formula>H105&lt;0</formula>
    </cfRule>
  </conditionalFormatting>
  <conditionalFormatting sqref="I117 F117:F119">
    <cfRule type="expression" dxfId="121" priority="41">
      <formula>F117&gt;0</formula>
    </cfRule>
    <cfRule type="expression" dxfId="120" priority="42">
      <formula>F117&lt;0</formula>
    </cfRule>
  </conditionalFormatting>
  <conditionalFormatting sqref="F189:F196 H189:H196">
    <cfRule type="expression" dxfId="119" priority="39">
      <formula>F189&gt;0</formula>
    </cfRule>
    <cfRule type="expression" dxfId="118" priority="40">
      <formula>F189&lt;0</formula>
    </cfRule>
  </conditionalFormatting>
  <conditionalFormatting sqref="H202 F202">
    <cfRule type="expression" dxfId="117" priority="37">
      <formula>F202&gt;0</formula>
    </cfRule>
    <cfRule type="expression" dxfId="116" priority="38">
      <formula>F202&lt;0</formula>
    </cfRule>
  </conditionalFormatting>
  <conditionalFormatting sqref="I204">
    <cfRule type="expression" dxfId="115" priority="35">
      <formula>I204&gt;0</formula>
    </cfRule>
    <cfRule type="expression" dxfId="114" priority="36">
      <formula>I204&lt;0</formula>
    </cfRule>
  </conditionalFormatting>
  <conditionalFormatting sqref="H204 F204">
    <cfRule type="expression" dxfId="113" priority="33">
      <formula>F204&gt;0</formula>
    </cfRule>
    <cfRule type="expression" dxfId="112" priority="34">
      <formula>F204&lt;0</formula>
    </cfRule>
  </conditionalFormatting>
  <conditionalFormatting sqref="M54">
    <cfRule type="expression" dxfId="111" priority="31">
      <formula>M54&gt;0</formula>
    </cfRule>
    <cfRule type="expression" dxfId="110" priority="32">
      <formula>M54&lt;0</formula>
    </cfRule>
  </conditionalFormatting>
  <conditionalFormatting sqref="K39:K49">
    <cfRule type="expression" dxfId="109" priority="29">
      <formula>K39&gt;0</formula>
    </cfRule>
    <cfRule type="expression" dxfId="108" priority="30">
      <formula>K39&lt;0</formula>
    </cfRule>
  </conditionalFormatting>
  <conditionalFormatting sqref="Q10">
    <cfRule type="expression" dxfId="107" priority="27">
      <formula>Q10&gt;0</formula>
    </cfRule>
    <cfRule type="expression" dxfId="106" priority="28">
      <formula>Q10&lt;0</formula>
    </cfRule>
  </conditionalFormatting>
  <conditionalFormatting sqref="Z10">
    <cfRule type="expression" dxfId="105" priority="25">
      <formula>Z10&gt;0</formula>
    </cfRule>
    <cfRule type="expression" dxfId="104" priority="26">
      <formula>Z10&lt;0</formula>
    </cfRule>
  </conditionalFormatting>
  <conditionalFormatting sqref="AA10:AE10">
    <cfRule type="expression" dxfId="103" priority="23">
      <formula>AA10&gt;0</formula>
    </cfRule>
    <cfRule type="expression" dxfId="102" priority="24">
      <formula>AA10&lt;0</formula>
    </cfRule>
  </conditionalFormatting>
  <conditionalFormatting sqref="Z24">
    <cfRule type="expression" dxfId="101" priority="21">
      <formula>Z24&gt;0</formula>
    </cfRule>
    <cfRule type="expression" dxfId="100" priority="22">
      <formula>Z24&lt;0</formula>
    </cfRule>
  </conditionalFormatting>
  <conditionalFormatting sqref="AF10:AG10">
    <cfRule type="expression" dxfId="99" priority="13">
      <formula>AF10&gt;0</formula>
    </cfRule>
    <cfRule type="expression" dxfId="98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7" priority="11">
      <formula>F208&gt;0</formula>
    </cfRule>
    <cfRule type="expression" dxfId="96" priority="12">
      <formula>F208&lt;0</formula>
    </cfRule>
  </conditionalFormatting>
  <conditionalFormatting sqref="F220 F207:F210">
    <cfRule type="expression" dxfId="95" priority="9">
      <formula>F207&gt;0</formula>
    </cfRule>
    <cfRule type="expression" dxfId="94" priority="10">
      <formula>F207&lt;0</formula>
    </cfRule>
  </conditionalFormatting>
  <conditionalFormatting sqref="H207:I207 H220 H208:H210">
    <cfRule type="expression" dxfId="93" priority="7">
      <formula>H207&gt;0</formula>
    </cfRule>
    <cfRule type="expression" dxfId="92" priority="8">
      <formula>H207&lt;0</formula>
    </cfRule>
  </conditionalFormatting>
  <conditionalFormatting sqref="K210:K225">
    <cfRule type="expression" dxfId="91" priority="5">
      <formula>K210&gt;0</formula>
    </cfRule>
    <cfRule type="expression" dxfId="90" priority="6">
      <formula>K210&lt;0</formula>
    </cfRule>
  </conditionalFormatting>
  <conditionalFormatting sqref="K31">
    <cfRule type="expression" dxfId="89" priority="3">
      <formula>K31&gt;0</formula>
    </cfRule>
    <cfRule type="expression" dxfId="88" priority="4">
      <formula>K31&lt;0</formula>
    </cfRule>
  </conditionalFormatting>
  <conditionalFormatting sqref="K32:K38">
    <cfRule type="expression" dxfId="87" priority="1">
      <formula>K32&gt;0</formula>
    </cfRule>
    <cfRule type="expression" dxfId="86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79.03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79.03</v>
      </c>
      <c r="R4" s="475">
        <v>1.34E-2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435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50" t="s">
        <v>78</v>
      </c>
      <c r="P42" s="85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86.933000000000007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86.142700000000005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85.352400000000003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84.562100000000001</v>
      </c>
      <c r="Q46" s="81"/>
      <c r="T46" s="91" t="s">
        <v>100</v>
      </c>
      <c r="U46" s="86" t="s">
        <v>654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83.771799999999999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82.981500000000011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82.191200000000009</v>
      </c>
      <c r="Q49" s="81"/>
      <c r="T49" s="91" t="s">
        <v>121</v>
      </c>
      <c r="U49" s="86" t="s">
        <v>357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81.400900000000007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80.610600000000005</v>
      </c>
      <c r="Q51" s="81"/>
      <c r="T51" s="91" t="s">
        <v>104</v>
      </c>
      <c r="U51" s="86" t="s">
        <v>655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79.820300000000003</v>
      </c>
      <c r="Q52" s="81"/>
      <c r="T52" s="91" t="s">
        <v>105</v>
      </c>
      <c r="U52" s="86" t="s">
        <v>656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79.03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78.239699999999999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77.449399999999997</v>
      </c>
      <c r="Q55" s="81"/>
      <c r="T55" s="91" t="s">
        <v>107</v>
      </c>
      <c r="U55" s="86" t="s">
        <v>657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76.659099999999995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75.868799999999993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75.078499999999991</v>
      </c>
      <c r="Q58" s="81"/>
      <c r="T58" s="91" t="s">
        <v>108</v>
      </c>
      <c r="U58" s="86" t="s">
        <v>526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74.288200000000003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73.497900000000001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72.707599999999999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71.917299999999997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71.12700000000001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5" priority="5">
      <formula>F21&gt;0</formula>
    </cfRule>
    <cfRule type="expression" dxfId="84" priority="6">
      <formula>F21&lt;0</formula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5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U3" s="83">
        <v>43180</v>
      </c>
      <c r="V3" t="s">
        <v>990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44.42</v>
      </c>
      <c r="R4" s="475">
        <v>3.5200000000000002E-2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6663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-1140.0099999999993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-1189.9599999999991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2">
        <f>IF(Q2=0, 0, Q8/Q6)</f>
        <v>-0.15153012367311167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4.4124268347591172E-2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948</v>
      </c>
      <c r="Q12" s="1" t="s">
        <v>1130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975</v>
      </c>
      <c r="Q13">
        <f>Q4/3.08</f>
        <v>14.422077922077923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50" t="s">
        <v>78</v>
      </c>
      <c r="P17" s="850"/>
    </row>
    <row r="18" spans="1:16" ht="15.75" thickTop="1" x14ac:dyDescent="0.25">
      <c r="H18" s="70"/>
      <c r="O18" s="81">
        <v>1.1000000000000001</v>
      </c>
      <c r="P18" s="81">
        <f>O18*$Q$4</f>
        <v>48.862000000000009</v>
      </c>
    </row>
    <row r="19" spans="1:16" x14ac:dyDescent="0.25">
      <c r="H19" s="70"/>
      <c r="O19" s="81">
        <v>1.0900000000000001</v>
      </c>
      <c r="P19" s="81">
        <f t="shared" ref="P19:P38" si="2">O19*$Q$4</f>
        <v>48.417800000000007</v>
      </c>
    </row>
    <row r="20" spans="1:16" x14ac:dyDescent="0.25">
      <c r="H20" s="70"/>
      <c r="O20" s="81">
        <v>1.08</v>
      </c>
      <c r="P20" s="81">
        <f t="shared" si="2"/>
        <v>47.973600000000005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47.529400000000003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47.085200000000007</v>
      </c>
    </row>
    <row r="23" spans="1:16" x14ac:dyDescent="0.25">
      <c r="O23" s="81">
        <v>1.05</v>
      </c>
      <c r="P23" s="81">
        <f t="shared" si="2"/>
        <v>46.641000000000005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1.04</v>
      </c>
      <c r="P24" s="81">
        <f t="shared" si="2"/>
        <v>46.196800000000003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45.752600000000001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45.308400000000006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44.864200000000004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44.42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43.9758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43.531599999999997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43.087400000000002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42.6432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42.198999999999998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41.754799999999996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41.310600000000001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40.866400000000006</v>
      </c>
    </row>
    <row r="37" spans="1:17" x14ac:dyDescent="0.25">
      <c r="A37" t="s">
        <v>346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40.422200000000004</v>
      </c>
    </row>
    <row r="38" spans="1:17" x14ac:dyDescent="0.25">
      <c r="A38" t="s">
        <v>433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39.978000000000002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425">
        <v>200</v>
      </c>
      <c r="D44" s="426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425">
        <v>200</v>
      </c>
      <c r="D48" s="426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425">
        <v>200</v>
      </c>
      <c r="D52" s="426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755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425">
        <v>200</v>
      </c>
      <c r="D54" s="426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769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959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68" t="s">
        <v>1</v>
      </c>
      <c r="B72" s="368" t="s">
        <v>2</v>
      </c>
      <c r="C72" s="368" t="s">
        <v>4</v>
      </c>
      <c r="D72" s="370" t="s">
        <v>5</v>
      </c>
      <c r="E72" s="370" t="s">
        <v>94</v>
      </c>
      <c r="F72" s="370" t="s">
        <v>60</v>
      </c>
      <c r="G72" s="368" t="s">
        <v>3</v>
      </c>
      <c r="H72" s="368" t="s">
        <v>6</v>
      </c>
      <c r="I72" s="368" t="s">
        <v>7</v>
      </c>
      <c r="J72" s="368" t="s">
        <v>95</v>
      </c>
      <c r="K72" s="368" t="s">
        <v>61</v>
      </c>
      <c r="L72" s="368" t="s">
        <v>77</v>
      </c>
      <c r="M72" s="368" t="s">
        <v>38</v>
      </c>
    </row>
    <row r="73" spans="1:13" x14ac:dyDescent="0.25">
      <c r="A73" s="371" t="s">
        <v>171</v>
      </c>
      <c r="B73" s="373">
        <v>42376</v>
      </c>
      <c r="C73" s="362">
        <v>50</v>
      </c>
      <c r="D73" s="363">
        <v>55.15</v>
      </c>
      <c r="E73" s="363">
        <v>0</v>
      </c>
      <c r="F73" s="363">
        <f>C73*D73+E73</f>
        <v>2757.5</v>
      </c>
      <c r="G73" s="361">
        <v>42409</v>
      </c>
      <c r="H73" s="366">
        <v>50</v>
      </c>
      <c r="I73" s="363">
        <v>56.15</v>
      </c>
      <c r="J73" s="363">
        <v>0.05</v>
      </c>
      <c r="K73" s="362">
        <f>H73*I73-J73</f>
        <v>2807.45</v>
      </c>
      <c r="L73" s="361"/>
      <c r="M73" s="363"/>
    </row>
    <row r="74" spans="1:13" x14ac:dyDescent="0.25">
      <c r="A74" s="372" t="s">
        <v>71</v>
      </c>
      <c r="B74" s="373"/>
      <c r="C74" s="362"/>
      <c r="D74" s="363"/>
      <c r="E74" s="363"/>
      <c r="F74" s="363"/>
      <c r="G74" s="361"/>
      <c r="H74" s="362"/>
      <c r="I74" s="362"/>
      <c r="J74" s="362"/>
      <c r="K74" s="362"/>
      <c r="L74" s="362"/>
      <c r="M74" s="362"/>
    </row>
    <row r="75" spans="1:13" x14ac:dyDescent="0.25">
      <c r="A75" s="362"/>
      <c r="B75" s="361"/>
      <c r="C75" s="362"/>
      <c r="D75" s="363"/>
      <c r="E75" s="363"/>
      <c r="F75" s="363"/>
      <c r="G75" s="362"/>
      <c r="H75" s="362"/>
      <c r="I75" s="362"/>
      <c r="J75" s="362"/>
      <c r="K75" s="362"/>
      <c r="L75" s="362"/>
      <c r="M75" s="362"/>
    </row>
    <row r="76" spans="1:13" x14ac:dyDescent="0.25">
      <c r="A76" s="362"/>
      <c r="B76" s="361"/>
      <c r="C76" s="362"/>
      <c r="D76" s="363"/>
      <c r="E76" s="363"/>
      <c r="F76" s="363"/>
      <c r="G76" s="362"/>
      <c r="H76" s="362"/>
      <c r="I76" s="362"/>
      <c r="J76" s="362"/>
      <c r="K76" s="362"/>
      <c r="L76" s="362"/>
      <c r="M76" s="362"/>
    </row>
    <row r="77" spans="1:13" x14ac:dyDescent="0.25">
      <c r="A77" s="362"/>
      <c r="B77" s="362"/>
      <c r="C77" s="362"/>
      <c r="D77" s="363"/>
      <c r="E77" s="363"/>
      <c r="F77" s="363"/>
      <c r="G77" s="362"/>
      <c r="H77" s="362"/>
      <c r="I77" s="362"/>
      <c r="J77" s="362"/>
      <c r="K77" s="362"/>
      <c r="L77" s="362"/>
      <c r="M77" s="362"/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2"/>
      <c r="J78" s="362"/>
      <c r="K78" s="362"/>
      <c r="L78" s="362"/>
      <c r="M78" s="362"/>
    </row>
    <row r="79" spans="1:13" x14ac:dyDescent="0.25">
      <c r="A79" s="362"/>
      <c r="B79" s="362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79" priority="33">
      <formula>F25&gt;0</formula>
    </cfRule>
    <cfRule type="expression" dxfId="78" priority="34">
      <formula>F25&lt;0</formula>
    </cfRule>
  </conditionalFormatting>
  <conditionalFormatting sqref="Q8">
    <cfRule type="expression" dxfId="77" priority="27">
      <formula>Q8&gt;0</formula>
    </cfRule>
    <cfRule type="expression" dxfId="76" priority="28">
      <formula>Q8&lt;0</formula>
    </cfRule>
  </conditionalFormatting>
  <conditionalFormatting sqref="Q7">
    <cfRule type="expression" dxfId="75" priority="29">
      <formula>Q7&gt;0</formula>
    </cfRule>
    <cfRule type="expression" dxfId="74" priority="30">
      <formula>Q7&lt;0</formula>
    </cfRule>
  </conditionalFormatting>
  <conditionalFormatting sqref="M71">
    <cfRule type="expression" dxfId="73" priority="25">
      <formula>M71&gt;0</formula>
    </cfRule>
    <cfRule type="expression" dxfId="72" priority="26">
      <formula>M71&lt;0</formula>
    </cfRule>
  </conditionalFormatting>
  <conditionalFormatting sqref="J39">
    <cfRule type="expression" dxfId="71" priority="23">
      <formula>J39&gt;0</formula>
    </cfRule>
    <cfRule type="expression" dxfId="70" priority="24">
      <formula>J39&lt;0</formula>
    </cfRule>
  </conditionalFormatting>
  <conditionalFormatting sqref="J40:J52 J53:K61 J66:K67 K63:K65">
    <cfRule type="expression" dxfId="69" priority="21">
      <formula>J40&gt;0</formula>
    </cfRule>
    <cfRule type="expression" dxfId="68" priority="22">
      <formula>J40&lt;0</formula>
    </cfRule>
  </conditionalFormatting>
  <conditionalFormatting sqref="Q10">
    <cfRule type="expression" dxfId="67" priority="19">
      <formula>Q10&gt;0</formula>
    </cfRule>
    <cfRule type="expression" dxfId="66" priority="20">
      <formula>Q10&lt;0</formula>
    </cfRule>
  </conditionalFormatting>
  <conditionalFormatting sqref="Q9">
    <cfRule type="expression" dxfId="65" priority="17">
      <formula>Q9&gt;0</formula>
    </cfRule>
    <cfRule type="expression" dxfId="64" priority="18">
      <formula>Q9&lt;0</formula>
    </cfRule>
  </conditionalFormatting>
  <conditionalFormatting sqref="F62 H62">
    <cfRule type="expression" dxfId="63" priority="15">
      <formula>F62&gt;0</formula>
    </cfRule>
    <cfRule type="expression" dxfId="62" priority="16">
      <formula>F62&lt;0</formula>
    </cfRule>
  </conditionalFormatting>
  <conditionalFormatting sqref="J62:K62">
    <cfRule type="expression" dxfId="61" priority="13">
      <formula>J62&gt;0</formula>
    </cfRule>
    <cfRule type="expression" dxfId="60" priority="14">
      <formula>J62&lt;0</formula>
    </cfRule>
  </conditionalFormatting>
  <conditionalFormatting sqref="F63 H63">
    <cfRule type="expression" dxfId="59" priority="11">
      <formula>F63&gt;0</formula>
    </cfRule>
    <cfRule type="expression" dxfId="58" priority="12">
      <formula>F63&lt;0</formula>
    </cfRule>
  </conditionalFormatting>
  <conditionalFormatting sqref="J63">
    <cfRule type="expression" dxfId="57" priority="9">
      <formula>J63&gt;0</formula>
    </cfRule>
    <cfRule type="expression" dxfId="56" priority="10">
      <formula>J63&lt;0</formula>
    </cfRule>
  </conditionalFormatting>
  <conditionalFormatting sqref="F64:F65 H64:H65">
    <cfRule type="expression" dxfId="55" priority="7">
      <formula>F64&gt;0</formula>
    </cfRule>
    <cfRule type="expression" dxfId="54" priority="8">
      <formula>F64&lt;0</formula>
    </cfRule>
  </conditionalFormatting>
  <conditionalFormatting sqref="J64:J65">
    <cfRule type="expression" dxfId="53" priority="5">
      <formula>J64&gt;0</formula>
    </cfRule>
    <cfRule type="expression" dxfId="52" priority="6">
      <formula>J64&lt;0</formula>
    </cfRule>
  </conditionalFormatting>
  <conditionalFormatting sqref="L53:L57">
    <cfRule type="expression" dxfId="51" priority="3">
      <formula>L53&gt;0</formula>
    </cfRule>
    <cfRule type="expression" dxfId="50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44.25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44.25</v>
      </c>
      <c r="R4" s="475">
        <v>7.1000000000000004E-3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6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6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50" t="s">
        <v>78</v>
      </c>
      <c r="P41" s="85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48.675000000000004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48.232500000000002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47.790000000000006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47.347500000000004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46.905000000000001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46.462499999999999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46.02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45.577500000000001</v>
      </c>
      <c r="Q49" s="2"/>
      <c r="T49" s="10" t="s">
        <v>103</v>
      </c>
      <c r="U49" s="10" t="s">
        <v>527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45.134999999999998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44.692500000000003</v>
      </c>
      <c r="Q51" s="2"/>
      <c r="T51" s="10" t="s">
        <v>104</v>
      </c>
      <c r="U51" s="10" t="s">
        <v>658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44.25</v>
      </c>
      <c r="Q52" s="2"/>
      <c r="T52" s="10" t="s">
        <v>105</v>
      </c>
      <c r="U52" s="10" t="s">
        <v>481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43.807499999999997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43.365000000000002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42.922499999999999</v>
      </c>
      <c r="T55" s="10" t="s">
        <v>107</v>
      </c>
      <c r="U55" s="10" t="s">
        <v>659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42.48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42.037500000000001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41.594999999999999</v>
      </c>
      <c r="T58" s="10" t="s">
        <v>108</v>
      </c>
      <c r="U58" s="10" t="s">
        <v>554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41.152500000000003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40.71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40.267499999999998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39.825000000000003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217.02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217.02</v>
      </c>
      <c r="R4" s="475">
        <v>2.0999999999999999E-3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50" t="s">
        <v>78</v>
      </c>
      <c r="P45" s="850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238.72200000000004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236.55180000000004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234.38160000000002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232.21140000000003</v>
      </c>
      <c r="Q49" s="2"/>
      <c r="T49" s="91" t="s">
        <v>103</v>
      </c>
      <c r="U49" s="416" t="s">
        <v>555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230.04120000000003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227.87100000000001</v>
      </c>
      <c r="Q51" s="2"/>
      <c r="T51" s="91" t="s">
        <v>104</v>
      </c>
      <c r="U51" s="416" t="s">
        <v>660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225.70080000000002</v>
      </c>
      <c r="Q52" s="2"/>
      <c r="T52" s="91" t="s">
        <v>105</v>
      </c>
      <c r="U52" s="416" t="s">
        <v>528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223.53060000000002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221.36040000000003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219.1902</v>
      </c>
      <c r="Q55" s="2"/>
      <c r="T55" s="91" t="s">
        <v>107</v>
      </c>
      <c r="U55" s="416" t="s">
        <v>661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217.02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214.84980000000002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212.67959999999999</v>
      </c>
      <c r="Q58" s="2"/>
      <c r="T58" s="91" t="s">
        <v>108</v>
      </c>
      <c r="U58" s="416" t="s">
        <v>521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210.5094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208.33920000000001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206.16900000000001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203.99879999999999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201.82860000000002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199.65840000000003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197.48820000000001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195.31800000000001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48.55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48.55</v>
      </c>
      <c r="R4" s="475">
        <v>6.1000000000000004E-3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53.405000000000001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52.919499999999999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52.433999999999997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51.948500000000003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51.463000000000001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50.977499999999999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50.491999999999997</v>
      </c>
      <c r="Q49" s="2"/>
      <c r="T49" s="91" t="s">
        <v>121</v>
      </c>
      <c r="U49" s="416" t="s">
        <v>372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50.006499999999996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49.521000000000001</v>
      </c>
      <c r="Q51" s="2"/>
      <c r="T51" s="91" t="s">
        <v>104</v>
      </c>
      <c r="U51" s="416" t="s">
        <v>662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49.035499999999999</v>
      </c>
      <c r="Q52" s="2"/>
      <c r="T52" s="91" t="s">
        <v>105</v>
      </c>
      <c r="U52" s="416" t="s">
        <v>447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48.55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48.064499999999995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47.578999999999994</v>
      </c>
      <c r="Q55" s="2"/>
      <c r="T55" s="91" t="s">
        <v>107</v>
      </c>
      <c r="U55" s="416" t="s">
        <v>663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47.093499999999999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46.607999999999997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46.122499999999995</v>
      </c>
      <c r="Q58" s="2"/>
      <c r="T58" s="91" t="s">
        <v>108</v>
      </c>
      <c r="U58" s="416" t="s">
        <v>556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45.636999999999993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45.151499999999999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44.665999999999997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44.180500000000002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43.695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127.61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127.61</v>
      </c>
      <c r="R4" s="475">
        <v>-1.4E-3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50" t="s">
        <v>78</v>
      </c>
      <c r="Q39" s="85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140.37100000000001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139.0949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137.81880000000001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136.5427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135.26660000000001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133.9905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132.71440000000001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131.4383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130.16220000000001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128.8861</v>
      </c>
      <c r="T49" s="91" t="s">
        <v>121</v>
      </c>
      <c r="U49" s="86" t="s">
        <v>372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127.61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126.3339</v>
      </c>
      <c r="T51" s="91" t="s">
        <v>104</v>
      </c>
      <c r="U51" s="86" t="s">
        <v>664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125.0578</v>
      </c>
      <c r="T52" s="91" t="s">
        <v>105</v>
      </c>
      <c r="U52" s="86" t="s">
        <v>503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123.7817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122.5056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121.22949999999999</v>
      </c>
      <c r="T55" s="91" t="s">
        <v>107</v>
      </c>
      <c r="U55" s="86" t="s">
        <v>665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119.95339999999999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118.6773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117.4012</v>
      </c>
      <c r="T58" s="91" t="s">
        <v>108</v>
      </c>
      <c r="U58" s="86" t="s">
        <v>557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116.1251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114.849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250.68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250.68</v>
      </c>
      <c r="R4" s="475">
        <v>5.0000000000000001E-3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535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50" t="s">
        <v>78</v>
      </c>
      <c r="P41" s="85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275.74800000000005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273.24120000000005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270.73440000000005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268.2276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265.7208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263.214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260.7072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258.2004</v>
      </c>
      <c r="Q49" s="81"/>
      <c r="T49" s="91" t="s">
        <v>103</v>
      </c>
      <c r="U49" s="86" t="s">
        <v>516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255.6936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253.18680000000001</v>
      </c>
      <c r="Q51" s="81"/>
      <c r="T51" s="91" t="s">
        <v>104</v>
      </c>
      <c r="U51" s="86" t="s">
        <v>666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250.68</v>
      </c>
      <c r="Q52" s="81"/>
      <c r="T52" s="91" t="s">
        <v>105</v>
      </c>
      <c r="U52" s="86" t="s">
        <v>511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248.17320000000001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245.66640000000001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243.15960000000001</v>
      </c>
      <c r="Q55" s="81"/>
      <c r="T55" s="91" t="s">
        <v>107</v>
      </c>
      <c r="U55" s="86" t="s">
        <v>667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240.65279999999998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238.14599999999999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235.63919999999999</v>
      </c>
      <c r="Q58" s="81"/>
      <c r="T58" s="91" t="s">
        <v>108</v>
      </c>
      <c r="U58" s="86" t="s">
        <v>558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233.13240000000002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230.62560000000002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228.11880000000002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225.61200000000002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76</vt:i4>
      </vt:variant>
    </vt:vector>
  </HeadingPairs>
  <TitlesOfParts>
    <vt:vector size="163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2018-06-11T23:49:42Z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