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r:id="rId24"/>
    <sheet name="KR" sheetId="51" state="hidden" r:id="rId25"/>
    <sheet name="F" sheetId="54" state="hidden" r:id="rId26"/>
    <sheet name="JNJ" sheetId="68" state="hidden" r:id="rId27"/>
    <sheet name="ULTA" sheetId="81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94" l="1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V649" i="38"/>
  <c r="X649" i="38" s="1"/>
  <c r="O649" i="38" l="1"/>
  <c r="Z649" i="38"/>
  <c r="P649" i="38"/>
  <c r="Q649" i="38" s="1"/>
  <c r="W649" i="38"/>
  <c r="U649" i="38"/>
  <c r="F35" i="86"/>
  <c r="H35" i="86"/>
  <c r="G35" i="86"/>
  <c r="K3" i="86"/>
  <c r="Y649" i="38" l="1"/>
  <c r="F38" i="47"/>
  <c r="G38" i="47"/>
  <c r="H38" i="47"/>
  <c r="F37" i="101"/>
  <c r="H37" i="101"/>
  <c r="G37" i="101"/>
  <c r="K18" i="47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Q648" i="38" s="1"/>
  <c r="M648" i="38"/>
  <c r="N648" i="38" s="1"/>
  <c r="S648" i="38"/>
  <c r="V648" i="38"/>
  <c r="W648" i="38" l="1"/>
  <c r="X648" i="38"/>
  <c r="O648" i="38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Y648" i="38" l="1"/>
  <c r="X647" i="38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F19" i="99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19" i="99"/>
  <c r="C85" i="100"/>
  <c r="F19" i="101"/>
  <c r="H85" i="100"/>
  <c r="F19" i="100"/>
  <c r="K85" i="101"/>
  <c r="F85" i="99"/>
  <c r="F85" i="100"/>
  <c r="H19" i="99"/>
  <c r="M19" i="99"/>
  <c r="C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85" i="94"/>
  <c r="M19" i="94"/>
  <c r="K19" i="94"/>
  <c r="F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H19" i="90"/>
  <c r="F19" i="90"/>
  <c r="K85" i="90"/>
  <c r="C19" i="90"/>
  <c r="F85" i="90"/>
  <c r="H85" i="90"/>
  <c r="M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19" i="89"/>
  <c r="K85" i="89"/>
  <c r="M85" i="89"/>
  <c r="C85" i="89"/>
  <c r="C19" i="89"/>
  <c r="F19" i="89"/>
  <c r="K19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C19" i="87"/>
  <c r="H85" i="87"/>
  <c r="C85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K85" i="86"/>
  <c r="F85" i="86"/>
  <c r="M85" i="86"/>
  <c r="M19" i="86"/>
  <c r="H85" i="86"/>
  <c r="K19" i="86"/>
  <c r="H19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K19" i="54"/>
  <c r="H19" i="63"/>
  <c r="K51" i="54"/>
  <c r="C75" i="41"/>
  <c r="H171" i="58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22" i="43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H91" i="25"/>
  <c r="K33" i="58"/>
  <c r="H33" i="58"/>
  <c r="F19" i="45"/>
  <c r="C19" i="45"/>
  <c r="F58" i="51"/>
  <c r="K58" i="51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<sst xmlns="http://schemas.openxmlformats.org/spreadsheetml/2006/main" count="7590" uniqueCount="1112">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</sst>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4"/>
      <tableStyleElement type="headerRow" dxfId="2793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73800"/>
        <c:axId val="462880688"/>
      </c:scatterChart>
      <c:valAx>
        <c:axId val="36807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0688"/>
        <c:crosses val="autoZero"/>
        <c:crossBetween val="midCat"/>
      </c:valAx>
      <c:valAx>
        <c:axId val="4628806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7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13296"/>
        <c:axId val="463613968"/>
      </c:scatterChart>
      <c:valAx>
        <c:axId val="46011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13968"/>
        <c:crosses val="autoZero"/>
        <c:crossBetween val="midCat"/>
      </c:valAx>
      <c:valAx>
        <c:axId val="46361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132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71664"/>
        <c:axId val="463810872"/>
      </c:scatterChart>
      <c:valAx>
        <c:axId val="45317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0872"/>
        <c:crosses val="autoZero"/>
        <c:crossBetween val="midCat"/>
      </c:valAx>
      <c:valAx>
        <c:axId val="4638108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7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81112"/>
        <c:axId val="463081496"/>
      </c:scatterChart>
      <c:valAx>
        <c:axId val="463081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81496"/>
        <c:crosses val="autoZero"/>
        <c:crossBetween val="midCat"/>
      </c:valAx>
      <c:valAx>
        <c:axId val="4630814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8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795344"/>
        <c:axId val="365796128"/>
      </c:scatterChart>
      <c:valAx>
        <c:axId val="36579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6128"/>
        <c:crosses val="autoZero"/>
        <c:crossBetween val="midCat"/>
      </c:valAx>
      <c:valAx>
        <c:axId val="3657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308672"/>
        <c:axId val="473305144"/>
      </c:scatterChart>
      <c:valAx>
        <c:axId val="47330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5144"/>
        <c:crosses val="autoZero"/>
        <c:crossBetween val="midCat"/>
      </c:valAx>
      <c:valAx>
        <c:axId val="4733051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302400"/>
        <c:axId val="473305928"/>
      </c:scatterChart>
      <c:valAx>
        <c:axId val="47330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5928"/>
        <c:crosses val="autoZero"/>
        <c:crossBetween val="midCat"/>
      </c:valAx>
      <c:valAx>
        <c:axId val="473305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24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305536"/>
        <c:axId val="473303576"/>
      </c:scatterChart>
      <c:valAx>
        <c:axId val="47330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3576"/>
        <c:crosses val="autoZero"/>
        <c:crossBetween val="midCat"/>
      </c:valAx>
      <c:valAx>
        <c:axId val="47330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06320"/>
        <c:axId val="473303184"/>
      </c:lineChart>
      <c:dateAx>
        <c:axId val="47330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3184"/>
        <c:crosses val="autoZero"/>
        <c:auto val="1"/>
        <c:lblOffset val="100"/>
        <c:baseTimeUnit val="days"/>
      </c:dateAx>
      <c:valAx>
        <c:axId val="473303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0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92928"/>
        <c:axId val="473993712"/>
      </c:lineChart>
      <c:dateAx>
        <c:axId val="47399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93712"/>
        <c:crosses val="autoZero"/>
        <c:auto val="1"/>
        <c:lblOffset val="100"/>
        <c:baseTimeUnit val="days"/>
      </c:dateAx>
      <c:valAx>
        <c:axId val="4739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9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89400"/>
        <c:axId val="473996456"/>
      </c:lineChart>
      <c:dateAx>
        <c:axId val="47398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96456"/>
        <c:crosses val="autoZero"/>
        <c:auto val="1"/>
        <c:lblOffset val="100"/>
        <c:baseTimeUnit val="days"/>
      </c:dateAx>
      <c:valAx>
        <c:axId val="473996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8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95280"/>
        <c:axId val="473992144"/>
      </c:lineChart>
      <c:dateAx>
        <c:axId val="47399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92144"/>
        <c:crosses val="autoZero"/>
        <c:auto val="1"/>
        <c:lblOffset val="100"/>
        <c:baseTimeUnit val="days"/>
      </c:dateAx>
      <c:valAx>
        <c:axId val="4739921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17192"/>
        <c:axId val="476314056"/>
      </c:lineChart>
      <c:dateAx>
        <c:axId val="476317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4056"/>
        <c:crosses val="autoZero"/>
        <c:auto val="1"/>
        <c:lblOffset val="100"/>
        <c:baseTimeUnit val="days"/>
      </c:dateAx>
      <c:valAx>
        <c:axId val="4763140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13664"/>
        <c:axId val="476316800"/>
      </c:lineChart>
      <c:dateAx>
        <c:axId val="47631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6800"/>
        <c:crosses val="autoZero"/>
        <c:auto val="1"/>
        <c:lblOffset val="100"/>
        <c:baseTimeUnit val="days"/>
      </c:dateAx>
      <c:valAx>
        <c:axId val="4763168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17584"/>
        <c:axId val="476318368"/>
      </c:lineChart>
      <c:catAx>
        <c:axId val="47631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8368"/>
        <c:crosses val="autoZero"/>
        <c:auto val="1"/>
        <c:lblAlgn val="ctr"/>
        <c:lblOffset val="100"/>
        <c:noMultiLvlLbl val="0"/>
      </c:catAx>
      <c:valAx>
        <c:axId val="476318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1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152776"/>
        <c:axId val="478155912"/>
      </c:lineChart>
      <c:catAx>
        <c:axId val="47815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55912"/>
        <c:crosses val="autoZero"/>
        <c:auto val="1"/>
        <c:lblAlgn val="ctr"/>
        <c:lblOffset val="100"/>
        <c:noMultiLvlLbl val="0"/>
      </c:catAx>
      <c:valAx>
        <c:axId val="47815591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527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152384"/>
        <c:axId val="478157872"/>
      </c:lineChart>
      <c:dateAx>
        <c:axId val="47815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57872"/>
        <c:crosses val="autoZero"/>
        <c:auto val="1"/>
        <c:lblOffset val="100"/>
        <c:baseTimeUnit val="days"/>
      </c:dateAx>
      <c:valAx>
        <c:axId val="478157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15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65784"/>
        <c:axId val="491068920"/>
      </c:lineChart>
      <c:catAx>
        <c:axId val="49106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68920"/>
        <c:crosses val="autoZero"/>
        <c:auto val="1"/>
        <c:lblAlgn val="ctr"/>
        <c:lblOffset val="100"/>
        <c:noMultiLvlLbl val="0"/>
      </c:catAx>
      <c:valAx>
        <c:axId val="491068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6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66568"/>
        <c:axId val="491066960"/>
      </c:lineChart>
      <c:catAx>
        <c:axId val="49106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66960"/>
        <c:crosses val="autoZero"/>
        <c:auto val="1"/>
        <c:lblAlgn val="ctr"/>
        <c:lblOffset val="100"/>
        <c:noMultiLvlLbl val="0"/>
      </c:catAx>
      <c:valAx>
        <c:axId val="491066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6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88344"/>
        <c:axId val="478889128"/>
      </c:lineChart>
      <c:dateAx>
        <c:axId val="478888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89128"/>
        <c:crosses val="autoZero"/>
        <c:auto val="1"/>
        <c:lblOffset val="100"/>
        <c:baseTimeUnit val="days"/>
      </c:dateAx>
      <c:valAx>
        <c:axId val="478889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8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13384"/>
        <c:axId val="479407896"/>
      </c:lineChart>
      <c:dateAx>
        <c:axId val="47941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07896"/>
        <c:crosses val="autoZero"/>
        <c:auto val="1"/>
        <c:lblOffset val="100"/>
        <c:baseTimeUnit val="days"/>
      </c:dateAx>
      <c:valAx>
        <c:axId val="4794078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15344"/>
        <c:axId val="479409464"/>
      </c:lineChart>
      <c:dateAx>
        <c:axId val="47941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09464"/>
        <c:crosses val="autoZero"/>
        <c:auto val="1"/>
        <c:lblOffset val="100"/>
        <c:baseTimeUnit val="days"/>
      </c:dateAx>
      <c:valAx>
        <c:axId val="479409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47992"/>
        <c:axId val="568750344"/>
      </c:lineChart>
      <c:dateAx>
        <c:axId val="568747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50344"/>
        <c:crosses val="autoZero"/>
        <c:auto val="1"/>
        <c:lblOffset val="100"/>
        <c:baseTimeUnit val="days"/>
      </c:dateAx>
      <c:valAx>
        <c:axId val="568750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4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47600"/>
        <c:axId val="568753480"/>
      </c:lineChart>
      <c:catAx>
        <c:axId val="56874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53480"/>
        <c:crosses val="autoZero"/>
        <c:auto val="1"/>
        <c:lblAlgn val="ctr"/>
        <c:lblOffset val="100"/>
        <c:noMultiLvlLbl val="0"/>
      </c:catAx>
      <c:valAx>
        <c:axId val="568753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49560"/>
        <c:axId val="568749952"/>
      </c:lineChart>
      <c:catAx>
        <c:axId val="568749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49952"/>
        <c:crosses val="autoZero"/>
        <c:auto val="1"/>
        <c:lblAlgn val="ctr"/>
        <c:lblOffset val="100"/>
        <c:noMultiLvlLbl val="0"/>
      </c:catAx>
      <c:valAx>
        <c:axId val="568749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4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51520"/>
        <c:axId val="568751912"/>
      </c:lineChart>
      <c:catAx>
        <c:axId val="568751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51912"/>
        <c:crosses val="autoZero"/>
        <c:auto val="1"/>
        <c:lblAlgn val="ctr"/>
        <c:lblOffset val="100"/>
        <c:noMultiLvlLbl val="0"/>
      </c:catAx>
      <c:valAx>
        <c:axId val="568751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5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73960"/>
        <c:axId val="556775920"/>
      </c:lineChart>
      <c:dateAx>
        <c:axId val="55677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5920"/>
        <c:crosses val="autoZero"/>
        <c:auto val="1"/>
        <c:lblOffset val="100"/>
        <c:baseTimeUnit val="days"/>
      </c:dateAx>
      <c:valAx>
        <c:axId val="5567759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71608"/>
        <c:axId val="556772000"/>
      </c:lineChart>
      <c:dateAx>
        <c:axId val="55677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2000"/>
        <c:crosses val="autoZero"/>
        <c:auto val="1"/>
        <c:lblOffset val="100"/>
        <c:baseTimeUnit val="days"/>
      </c:dateAx>
      <c:valAx>
        <c:axId val="5567720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7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60536"/>
        <c:axId val="568451128"/>
      </c:lineChart>
      <c:catAx>
        <c:axId val="568460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51128"/>
        <c:crosses val="autoZero"/>
        <c:auto val="1"/>
        <c:lblAlgn val="ctr"/>
        <c:lblOffset val="100"/>
        <c:noMultiLvlLbl val="0"/>
      </c:catAx>
      <c:valAx>
        <c:axId val="5684511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6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59752"/>
        <c:axId val="568459360"/>
      </c:lineChart>
      <c:dateAx>
        <c:axId val="568459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59360"/>
        <c:crosses val="autoZero"/>
        <c:auto val="1"/>
        <c:lblOffset val="100"/>
        <c:baseTimeUnit val="days"/>
      </c:dateAx>
      <c:valAx>
        <c:axId val="568459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68" activePane="bottomLeft" state="frozen"/>
      <selection pane="bottomLeft" activeCell="S16" sqref="S1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7" bestFit="1" customWidth="1"/>
    <col min="15" max="15" width="9.140625" style="77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207</v>
      </c>
      <c r="L1" s="57" t="s">
        <v>178</v>
      </c>
      <c r="M1" s="57" t="s">
        <v>230</v>
      </c>
      <c r="N1" s="845" t="s">
        <v>958</v>
      </c>
      <c r="O1" s="348" t="s">
        <v>206</v>
      </c>
      <c r="P1" s="348" t="s">
        <v>279</v>
      </c>
      <c r="Q1" s="359" t="s">
        <v>986</v>
      </c>
    </row>
    <row r="2" spans="1:22" ht="21.95" customHeight="1" x14ac:dyDescent="0.25">
      <c r="A2" s="50"/>
      <c r="B2" s="50"/>
      <c r="C2" s="51"/>
      <c r="D2" s="793"/>
      <c r="E2" s="22" t="s">
        <v>195</v>
      </c>
      <c r="F2" s="2">
        <v>25.3</v>
      </c>
      <c r="G2" s="785">
        <v>27.991975000000004</v>
      </c>
      <c r="H2" s="751">
        <v>2000</v>
      </c>
      <c r="I2" s="785">
        <v>55983.950000000004</v>
      </c>
      <c r="J2" s="360">
        <v>-5383.9500000000116</v>
      </c>
      <c r="K2" s="134">
        <v>-9.6169527159123372E-2</v>
      </c>
      <c r="L2" s="360">
        <v>-3635.9800000000178</v>
      </c>
      <c r="M2">
        <v>200</v>
      </c>
      <c r="N2" s="846" t="s">
        <v>1018</v>
      </c>
      <c r="O2" s="772">
        <v>1.9762845849802372E-2</v>
      </c>
      <c r="P2" s="738">
        <v>1.44E-2</v>
      </c>
      <c r="Q2" s="822">
        <v>12.341463414634148</v>
      </c>
      <c r="R2" s="842"/>
      <c r="S2" s="738"/>
    </row>
    <row r="3" spans="1:22" ht="21.95" customHeight="1" x14ac:dyDescent="0.25">
      <c r="A3" s="50"/>
      <c r="B3" s="50"/>
      <c r="C3" s="51"/>
      <c r="D3" s="793"/>
      <c r="E3" s="22" t="s">
        <v>744</v>
      </c>
      <c r="F3" s="2">
        <v>65.989900000000006</v>
      </c>
      <c r="G3" s="785">
        <v>66.632166666666677</v>
      </c>
      <c r="H3" s="751">
        <v>300</v>
      </c>
      <c r="I3" s="785">
        <v>19989.650000000001</v>
      </c>
      <c r="J3" s="360">
        <v>-192.68000000000029</v>
      </c>
      <c r="K3" s="134">
        <v>-9.6389881763813464E-3</v>
      </c>
      <c r="L3" s="360">
        <v>-192.68000000000029</v>
      </c>
      <c r="M3">
        <v>200</v>
      </c>
      <c r="N3" s="846" t="s">
        <v>1037</v>
      </c>
      <c r="O3" s="772">
        <v>2.4246134635754864E-2</v>
      </c>
      <c r="P3" s="738">
        <v>3.8E-3</v>
      </c>
      <c r="Q3" s="785">
        <v>11.090739495798321</v>
      </c>
      <c r="R3" s="842"/>
      <c r="U3" s="48"/>
    </row>
    <row r="4" spans="1:22" ht="21.95" customHeight="1" x14ac:dyDescent="0.25">
      <c r="A4" s="50"/>
      <c r="B4" s="50"/>
      <c r="C4" s="51"/>
      <c r="D4" s="793"/>
      <c r="E4" s="22" t="s">
        <v>50</v>
      </c>
      <c r="F4" s="2">
        <v>21.649899999999999</v>
      </c>
      <c r="G4" s="785">
        <v>9.0909049999999407</v>
      </c>
      <c r="H4" s="751">
        <v>2000</v>
      </c>
      <c r="I4" s="785">
        <v>18181.809999999881</v>
      </c>
      <c r="J4" s="360">
        <v>25117.990000000114</v>
      </c>
      <c r="K4" s="134">
        <v>1.3814900716705476</v>
      </c>
      <c r="L4" s="360">
        <v>39733.56100000174</v>
      </c>
      <c r="M4">
        <v>1400</v>
      </c>
      <c r="N4" s="846"/>
      <c r="O4" s="772">
        <v>9.2379179580506163E-3</v>
      </c>
      <c r="P4" s="738">
        <v>2.2200000000000001E-2</v>
      </c>
      <c r="Q4" s="785">
        <v>34.36492063492063</v>
      </c>
      <c r="R4" s="842"/>
      <c r="S4" s="48"/>
      <c r="T4" s="48"/>
    </row>
    <row r="5" spans="1:22" ht="21.95" customHeight="1" x14ac:dyDescent="0.25">
      <c r="A5" s="50"/>
      <c r="B5" s="50"/>
      <c r="C5" s="51"/>
      <c r="D5" s="793"/>
      <c r="E5" s="22" t="s">
        <v>833</v>
      </c>
      <c r="F5" s="2">
        <v>22.66</v>
      </c>
      <c r="G5" s="785">
        <v>29.137650000000008</v>
      </c>
      <c r="H5" s="793">
        <v>600</v>
      </c>
      <c r="I5" s="785">
        <v>17482.590000000004</v>
      </c>
      <c r="J5" s="360">
        <v>-3886.5900000000038</v>
      </c>
      <c r="K5" s="134">
        <v>-0.22231202584971699</v>
      </c>
      <c r="L5" s="360">
        <v>-3886.5900000000038</v>
      </c>
      <c r="M5">
        <v>400</v>
      </c>
      <c r="N5" s="846" t="s">
        <v>1034</v>
      </c>
      <c r="O5" s="772">
        <v>4.5895851721094442E-2</v>
      </c>
      <c r="P5" s="738">
        <v>-7.4999999999999997E-3</v>
      </c>
      <c r="Q5" s="785">
        <v>13.329411764705883</v>
      </c>
      <c r="R5" s="842"/>
    </row>
    <row r="6" spans="1:22" ht="21.95" customHeight="1" x14ac:dyDescent="0.25">
      <c r="A6" s="50"/>
      <c r="B6" s="50"/>
      <c r="C6" s="51"/>
      <c r="D6" s="793"/>
      <c r="E6" s="22" t="s">
        <v>214</v>
      </c>
      <c r="F6" s="2">
        <v>38.97</v>
      </c>
      <c r="G6" s="785">
        <v>52.753959999999992</v>
      </c>
      <c r="H6" s="751">
        <v>250</v>
      </c>
      <c r="I6" s="785">
        <v>13188.489999999998</v>
      </c>
      <c r="J6" s="360">
        <v>-3445.989999999998</v>
      </c>
      <c r="K6" s="134">
        <v>-0.26128768342698816</v>
      </c>
      <c r="L6" s="360">
        <v>-2288.1200000000026</v>
      </c>
      <c r="M6">
        <v>250</v>
      </c>
      <c r="N6" s="846" t="s">
        <v>1107</v>
      </c>
      <c r="O6" s="772">
        <v>3.1819348216576858E-2</v>
      </c>
      <c r="P6" s="738">
        <v>3.3999999999999998E-3</v>
      </c>
      <c r="Q6" s="785">
        <v>9.7424999999999997</v>
      </c>
      <c r="R6" s="842"/>
      <c r="S6" s="48"/>
    </row>
    <row r="7" spans="1:22" ht="21.95" customHeight="1" x14ac:dyDescent="0.25">
      <c r="A7" s="50"/>
      <c r="B7" s="50"/>
      <c r="C7" s="51"/>
      <c r="D7" s="793"/>
      <c r="E7" s="22" t="s">
        <v>930</v>
      </c>
      <c r="F7" s="2">
        <v>118.73990000000001</v>
      </c>
      <c r="G7" s="785">
        <v>131.58370000000002</v>
      </c>
      <c r="H7" s="793">
        <v>100</v>
      </c>
      <c r="I7" s="785">
        <v>13158.370000000003</v>
      </c>
      <c r="J7" s="360">
        <v>-1284.380000000001</v>
      </c>
      <c r="K7" s="134">
        <v>-9.7609354350120983E-2</v>
      </c>
      <c r="L7" s="360">
        <v>-1284.380000000001</v>
      </c>
      <c r="M7">
        <v>50</v>
      </c>
      <c r="N7" s="846"/>
      <c r="O7" s="772">
        <v>4.379319841098064E-3</v>
      </c>
      <c r="P7" s="738">
        <v>1.47E-2</v>
      </c>
      <c r="Q7" s="785">
        <v>13.774930394431557</v>
      </c>
      <c r="R7" s="842"/>
    </row>
    <row r="8" spans="1:22" ht="21.95" customHeight="1" x14ac:dyDescent="0.25">
      <c r="A8" s="50"/>
      <c r="B8" s="50"/>
      <c r="C8" s="50"/>
      <c r="D8" s="793"/>
      <c r="E8" s="22" t="s">
        <v>971</v>
      </c>
      <c r="F8" s="2">
        <v>32.409999999999997</v>
      </c>
      <c r="G8" s="785">
        <v>32.797499999999999</v>
      </c>
      <c r="H8" s="793">
        <v>400</v>
      </c>
      <c r="I8" s="785">
        <v>13119</v>
      </c>
      <c r="J8" s="360">
        <v>-155.00000000000182</v>
      </c>
      <c r="K8" s="134">
        <v>-1.1814924918057865E-2</v>
      </c>
      <c r="L8" s="360">
        <v>-155.00000000000182</v>
      </c>
      <c r="M8">
        <v>150</v>
      </c>
      <c r="N8" s="846"/>
      <c r="O8" s="772">
        <v>1.9900000000000001E-2</v>
      </c>
      <c r="P8" s="738">
        <v>-4.3E-3</v>
      </c>
      <c r="Q8" s="785">
        <v>12.963999999999999</v>
      </c>
      <c r="R8" s="842"/>
      <c r="S8" s="738"/>
    </row>
    <row r="9" spans="1:22" ht="21.95" customHeight="1" x14ac:dyDescent="0.25">
      <c r="A9" s="50"/>
      <c r="B9" s="51"/>
      <c r="C9" s="51"/>
      <c r="D9" s="793"/>
      <c r="E9" s="22" t="s">
        <v>174</v>
      </c>
      <c r="F9" s="2">
        <v>27.02</v>
      </c>
      <c r="G9" s="785">
        <v>33.913473684210508</v>
      </c>
      <c r="H9" s="793">
        <v>380</v>
      </c>
      <c r="I9" s="785">
        <v>12887.119999999994</v>
      </c>
      <c r="J9" s="360">
        <v>-2619.5199999999913</v>
      </c>
      <c r="K9" s="134">
        <v>-0.20326651726685208</v>
      </c>
      <c r="L9" s="360">
        <v>-2544.4999999999914</v>
      </c>
      <c r="M9">
        <v>180</v>
      </c>
      <c r="N9" s="846"/>
      <c r="O9" s="772">
        <v>3.4048852701702444E-2</v>
      </c>
      <c r="P9" s="738">
        <v>1.9599999999999999E-2</v>
      </c>
      <c r="Q9" s="785">
        <v>10.119850187265918</v>
      </c>
      <c r="R9" s="842"/>
      <c r="S9" s="738"/>
    </row>
    <row r="10" spans="1:22" ht="21.95" customHeight="1" x14ac:dyDescent="0.25">
      <c r="A10" s="50"/>
      <c r="B10" s="50"/>
      <c r="C10" s="51"/>
      <c r="D10" s="793"/>
      <c r="E10" s="22" t="s">
        <v>175</v>
      </c>
      <c r="F10" s="2">
        <v>272.01</v>
      </c>
      <c r="G10" s="785">
        <v>256.39640000000009</v>
      </c>
      <c r="H10" s="751">
        <v>50</v>
      </c>
      <c r="I10" s="823">
        <v>12819.820000000003</v>
      </c>
      <c r="J10" s="360">
        <v>780.67999999999665</v>
      </c>
      <c r="K10" s="134">
        <v>6.0896330837718081E-2</v>
      </c>
      <c r="L10" s="360">
        <v>941.50999999999658</v>
      </c>
      <c r="M10">
        <v>30</v>
      </c>
      <c r="N10" s="846"/>
      <c r="O10" s="772">
        <v>1.84E-2</v>
      </c>
      <c r="P10" s="738">
        <v>-8.0000000000000004E-4</v>
      </c>
      <c r="Q10" s="822">
        <v>17</v>
      </c>
      <c r="R10" s="842"/>
      <c r="S10" s="48"/>
      <c r="T10" s="48"/>
    </row>
    <row r="11" spans="1:22" ht="21.95" customHeight="1" x14ac:dyDescent="0.25">
      <c r="A11" s="50"/>
      <c r="B11" s="50"/>
      <c r="C11" s="51"/>
      <c r="D11" s="793"/>
      <c r="E11" s="22" t="s">
        <v>173</v>
      </c>
      <c r="F11" s="2">
        <v>54.22</v>
      </c>
      <c r="G11" s="785">
        <v>52.622750000000003</v>
      </c>
      <c r="H11" s="793">
        <v>200</v>
      </c>
      <c r="I11" s="785">
        <v>10524.550000000001</v>
      </c>
      <c r="J11" s="360">
        <v>319.44999999999891</v>
      </c>
      <c r="K11" s="134">
        <v>3.0352841689193274E-2</v>
      </c>
      <c r="L11" s="360">
        <v>1924.0300000000007</v>
      </c>
      <c r="M11">
        <v>120</v>
      </c>
      <c r="N11" s="819"/>
      <c r="O11" s="772">
        <v>2.8771670970121729E-2</v>
      </c>
      <c r="P11" s="738">
        <v>-1.49E-2</v>
      </c>
      <c r="Q11" s="785">
        <v>11.995575221238939</v>
      </c>
      <c r="R11" s="842"/>
      <c r="S11" s="48"/>
      <c r="T11" s="48"/>
    </row>
    <row r="12" spans="1:22" ht="21.95" customHeight="1" x14ac:dyDescent="0.25">
      <c r="A12" s="50"/>
      <c r="B12" s="50"/>
      <c r="C12" s="51"/>
      <c r="D12" s="793"/>
      <c r="E12" s="22" t="s">
        <v>973</v>
      </c>
      <c r="F12" s="2">
        <v>168.32990000000001</v>
      </c>
      <c r="G12" s="785">
        <v>159.91000000000003</v>
      </c>
      <c r="H12" s="793">
        <v>65</v>
      </c>
      <c r="I12" s="785">
        <v>10394.150000000001</v>
      </c>
      <c r="J12" s="360">
        <v>547.29349999999977</v>
      </c>
      <c r="K12" s="134">
        <v>5.2653992870989826E-2</v>
      </c>
      <c r="L12" s="785">
        <v>547.29349999999977</v>
      </c>
      <c r="M12">
        <v>25</v>
      </c>
      <c r="N12" s="846"/>
      <c r="O12" s="772">
        <v>7.6041154898802881E-3</v>
      </c>
      <c r="P12" s="738">
        <v>-3.8999999999999998E-3</v>
      </c>
      <c r="Q12" s="785">
        <v>19.68</v>
      </c>
      <c r="R12" s="842"/>
      <c r="S12" s="738"/>
      <c r="U12" s="48"/>
    </row>
    <row r="13" spans="1:22" ht="21.95" customHeight="1" x14ac:dyDescent="0.25">
      <c r="A13" s="50"/>
      <c r="B13" s="51"/>
      <c r="C13" s="51"/>
      <c r="D13" s="793"/>
      <c r="E13" s="22" t="s">
        <v>977</v>
      </c>
      <c r="F13" s="2">
        <v>47.95</v>
      </c>
      <c r="G13" s="785">
        <v>49.396250000000002</v>
      </c>
      <c r="H13" s="751">
        <v>200</v>
      </c>
      <c r="I13" s="785">
        <v>9879.25</v>
      </c>
      <c r="J13" s="360">
        <v>-289.25</v>
      </c>
      <c r="K13" s="134">
        <v>-2.9278538350583274E-2</v>
      </c>
      <c r="L13" s="360">
        <v>-289.25</v>
      </c>
      <c r="M13">
        <v>100</v>
      </c>
      <c r="N13" s="846"/>
      <c r="O13" s="772">
        <v>1.9900000000000001E-2</v>
      </c>
      <c r="P13" s="738">
        <v>1.2999999999999999E-3</v>
      </c>
      <c r="Q13" s="785">
        <v>18.442307692307693</v>
      </c>
      <c r="R13" s="842"/>
      <c r="S13" s="738"/>
      <c r="T13" s="48"/>
      <c r="U13" s="48"/>
    </row>
    <row r="14" spans="1:22" ht="21.95" customHeight="1" x14ac:dyDescent="0.25">
      <c r="A14" s="50"/>
      <c r="B14" s="50"/>
      <c r="C14" s="51"/>
      <c r="D14" s="793"/>
      <c r="E14" s="22" t="s">
        <v>14</v>
      </c>
      <c r="F14" s="2">
        <v>55.29</v>
      </c>
      <c r="G14" s="785">
        <v>59.84</v>
      </c>
      <c r="H14" s="751">
        <v>150</v>
      </c>
      <c r="I14" s="785">
        <v>8976</v>
      </c>
      <c r="J14" s="360">
        <v>-682.5</v>
      </c>
      <c r="K14" s="134">
        <v>-7.603609625668456E-2</v>
      </c>
      <c r="L14" s="360">
        <v>-682.5</v>
      </c>
      <c r="M14">
        <v>100</v>
      </c>
      <c r="N14" s="846"/>
      <c r="O14" s="772">
        <v>4.7748236570808469E-2</v>
      </c>
      <c r="P14" s="738">
        <v>7.7000000000000002E-3</v>
      </c>
      <c r="Q14" s="785">
        <v>13.944514501891552</v>
      </c>
      <c r="R14" s="842"/>
      <c r="U14" s="48"/>
    </row>
    <row r="15" spans="1:22" ht="21.95" customHeight="1" x14ac:dyDescent="0.25">
      <c r="A15" s="50"/>
      <c r="B15" s="51"/>
      <c r="C15" s="51"/>
      <c r="D15" s="793"/>
      <c r="E15" s="22" t="s">
        <v>859</v>
      </c>
      <c r="F15" s="2">
        <v>88.669899999999998</v>
      </c>
      <c r="G15" s="785">
        <v>86.579599999999985</v>
      </c>
      <c r="H15" s="751">
        <v>100</v>
      </c>
      <c r="I15" s="785">
        <v>8657.9599999999991</v>
      </c>
      <c r="J15" s="360">
        <v>209.03000000000065</v>
      </c>
      <c r="K15" s="134">
        <v>2.4143100684226003E-2</v>
      </c>
      <c r="L15" s="360">
        <v>209.03000000000065</v>
      </c>
      <c r="M15">
        <v>20</v>
      </c>
      <c r="N15" s="846"/>
      <c r="O15" s="772">
        <v>2.5713348047082491E-2</v>
      </c>
      <c r="P15" s="738">
        <v>4.4000000000000003E-3</v>
      </c>
      <c r="Q15" s="785">
        <v>13.434833333333334</v>
      </c>
      <c r="R15" s="842"/>
      <c r="S15" s="738"/>
    </row>
    <row r="16" spans="1:22" ht="21.95" customHeight="1" x14ac:dyDescent="0.25">
      <c r="A16" s="50"/>
      <c r="B16" s="50"/>
      <c r="C16" s="51"/>
      <c r="D16" s="793"/>
      <c r="E16" s="22" t="s">
        <v>171</v>
      </c>
      <c r="F16" s="2">
        <v>42.809899999999999</v>
      </c>
      <c r="G16" s="785">
        <v>52.35306666666667</v>
      </c>
      <c r="H16" s="793">
        <v>150</v>
      </c>
      <c r="I16" s="785">
        <v>7852.9600000000009</v>
      </c>
      <c r="J16" s="360">
        <v>-1431.4749999999995</v>
      </c>
      <c r="K16" s="134">
        <v>-0.1822847690552353</v>
      </c>
      <c r="L16" s="360">
        <v>-1381.5249999999996</v>
      </c>
      <c r="M16">
        <v>150</v>
      </c>
      <c r="N16" s="819"/>
      <c r="O16" s="772">
        <v>4.5783802344784734E-2</v>
      </c>
      <c r="P16" s="738">
        <v>-5.5999999999999999E-3</v>
      </c>
      <c r="Q16" s="785">
        <v>13.899318181818181</v>
      </c>
      <c r="R16" s="842"/>
      <c r="S16" s="738"/>
      <c r="T16" s="48"/>
      <c r="V16" s="48"/>
    </row>
    <row r="17" spans="1:22" ht="21.95" customHeight="1" x14ac:dyDescent="0.25">
      <c r="A17" s="50"/>
      <c r="B17" s="50"/>
      <c r="C17" s="51"/>
      <c r="D17" s="793"/>
      <c r="E17" s="22" t="s">
        <v>957</v>
      </c>
      <c r="F17" s="2">
        <v>43.929900000000004</v>
      </c>
      <c r="G17" s="785">
        <v>37.840249999999997</v>
      </c>
      <c r="H17" s="793">
        <v>200</v>
      </c>
      <c r="I17" s="785">
        <v>7568.0499999999993</v>
      </c>
      <c r="J17" s="360">
        <v>1217.9300000000012</v>
      </c>
      <c r="K17" s="134">
        <v>0.16093049068121923</v>
      </c>
      <c r="L17" s="360">
        <v>1217.9300000000012</v>
      </c>
      <c r="M17">
        <v>150</v>
      </c>
      <c r="N17" s="846" t="s">
        <v>1105</v>
      </c>
      <c r="O17" s="772">
        <v>3.1413684073945077E-2</v>
      </c>
      <c r="P17" s="738">
        <v>-5.0000000000000001E-3</v>
      </c>
      <c r="Q17" s="822">
        <v>9.9840681818181825</v>
      </c>
      <c r="R17" s="842"/>
      <c r="S17" s="48"/>
      <c r="T17" s="48"/>
    </row>
    <row r="18" spans="1:22" ht="21.95" customHeight="1" x14ac:dyDescent="0.25">
      <c r="A18" s="51"/>
      <c r="B18" s="154"/>
      <c r="C18" s="327"/>
      <c r="D18" s="793"/>
      <c r="E18" s="22" t="s">
        <v>226</v>
      </c>
      <c r="F18" s="2">
        <v>28.02</v>
      </c>
      <c r="G18" s="785">
        <v>18.643074999999953</v>
      </c>
      <c r="H18" s="793">
        <v>400</v>
      </c>
      <c r="I18" s="785">
        <v>7457.2299999999814</v>
      </c>
      <c r="J18" s="360">
        <v>3750.7700000000186</v>
      </c>
      <c r="K18" s="134">
        <v>0.50297094229358996</v>
      </c>
      <c r="L18" s="360">
        <v>5203.030000000017</v>
      </c>
      <c r="M18">
        <v>200</v>
      </c>
      <c r="N18" s="846"/>
      <c r="O18" s="772">
        <v>3.5688793718772309E-3</v>
      </c>
      <c r="P18" s="738">
        <v>1.0500000000000001E-2</v>
      </c>
      <c r="Q18" s="785">
        <v>20.014285714285716</v>
      </c>
      <c r="R18" s="842"/>
      <c r="S18" s="738"/>
      <c r="T18" s="48"/>
    </row>
    <row r="19" spans="1:22" ht="21.95" customHeight="1" x14ac:dyDescent="0.25">
      <c r="A19" s="50"/>
      <c r="B19" s="51"/>
      <c r="C19" s="51"/>
      <c r="D19" s="793"/>
      <c r="E19" s="22" t="s">
        <v>1061</v>
      </c>
      <c r="F19" s="2">
        <v>49.85</v>
      </c>
      <c r="G19" s="785">
        <v>49.18</v>
      </c>
      <c r="H19" s="751">
        <v>150</v>
      </c>
      <c r="I19" s="785">
        <v>7377</v>
      </c>
      <c r="J19" s="360">
        <v>100.5</v>
      </c>
      <c r="K19" s="134">
        <v>1.3623424156161076E-2</v>
      </c>
      <c r="L19" s="360">
        <v>100.5</v>
      </c>
      <c r="M19" s="29">
        <v>43255</v>
      </c>
      <c r="N19" s="846"/>
      <c r="O19" s="772">
        <v>3.0090270812437311E-2</v>
      </c>
      <c r="P19" s="738">
        <v>3.3999999999999998E-3</v>
      </c>
      <c r="Q19" s="822"/>
      <c r="R19" s="842"/>
      <c r="S19" s="48"/>
      <c r="T19" s="48"/>
    </row>
    <row r="20" spans="1:22" ht="21.95" customHeight="1" x14ac:dyDescent="0.25">
      <c r="A20" s="50"/>
      <c r="B20" s="50"/>
      <c r="C20" s="51"/>
      <c r="D20" s="793"/>
      <c r="E20" s="22" t="s">
        <v>703</v>
      </c>
      <c r="F20" s="2">
        <v>257.60000000000002</v>
      </c>
      <c r="G20" s="785">
        <v>159.1311111111113</v>
      </c>
      <c r="H20" s="793">
        <v>45</v>
      </c>
      <c r="I20" s="785">
        <v>7160.9000000000087</v>
      </c>
      <c r="J20" s="360">
        <v>4431.0999999999931</v>
      </c>
      <c r="K20" s="134">
        <v>0.61879093410046049</v>
      </c>
      <c r="L20" s="360">
        <v>4655.8699999999935</v>
      </c>
      <c r="M20">
        <v>30</v>
      </c>
      <c r="N20" s="846"/>
      <c r="O20" s="772">
        <v>0</v>
      </c>
      <c r="P20" s="738">
        <v>2.2100000000000002E-2</v>
      </c>
      <c r="Q20" s="785">
        <v>26.307189542483663</v>
      </c>
      <c r="R20" s="842"/>
      <c r="S20" s="738"/>
      <c r="T20" s="48"/>
      <c r="U20" s="48"/>
    </row>
    <row r="21" spans="1:22" ht="21.95" customHeight="1" x14ac:dyDescent="0.25">
      <c r="A21" s="50"/>
      <c r="B21" s="50"/>
      <c r="C21" s="51"/>
      <c r="D21" s="793"/>
      <c r="E21" s="22" t="s">
        <v>929</v>
      </c>
      <c r="F21" s="2">
        <v>247.73990000000001</v>
      </c>
      <c r="G21" s="785">
        <v>230.17066666666662</v>
      </c>
      <c r="H21" s="793">
        <v>30</v>
      </c>
      <c r="I21" s="785">
        <v>6905.119999999999</v>
      </c>
      <c r="J21" s="360">
        <v>527.07700000000114</v>
      </c>
      <c r="K21" s="134">
        <v>7.6331330954422474E-2</v>
      </c>
      <c r="L21" s="360">
        <v>527.07700000000114</v>
      </c>
      <c r="M21">
        <v>20</v>
      </c>
      <c r="N21" s="819"/>
      <c r="O21" s="772">
        <v>1.9900000000000001E-2</v>
      </c>
      <c r="P21" s="738">
        <v>-8.9999999999999998E-4</v>
      </c>
      <c r="Q21" s="822">
        <v>16.34</v>
      </c>
      <c r="R21" s="842"/>
      <c r="S21" s="48"/>
      <c r="T21" s="48"/>
      <c r="V21" s="48"/>
    </row>
    <row r="22" spans="1:22" ht="21.95" customHeight="1" x14ac:dyDescent="0.25">
      <c r="A22" s="50"/>
      <c r="B22" s="51"/>
      <c r="C22" s="51"/>
      <c r="D22" s="793"/>
      <c r="E22" s="22" t="s">
        <v>932</v>
      </c>
      <c r="F22" s="2">
        <v>31.93</v>
      </c>
      <c r="G22" s="785">
        <v>33.675399999999996</v>
      </c>
      <c r="H22" s="793">
        <v>200</v>
      </c>
      <c r="I22" s="785">
        <v>6735.079999999999</v>
      </c>
      <c r="J22" s="360">
        <v>-349.07999999999993</v>
      </c>
      <c r="K22" s="134">
        <v>-5.1830119315583387E-2</v>
      </c>
      <c r="L22" s="360">
        <v>-349.07999999999993</v>
      </c>
      <c r="M22" s="29">
        <v>43248</v>
      </c>
      <c r="N22" s="846"/>
      <c r="O22" s="772">
        <v>3.1318509238960228E-2</v>
      </c>
      <c r="P22" s="738">
        <v>-1.15E-2</v>
      </c>
      <c r="Q22" s="785">
        <v>9.2017291066282407</v>
      </c>
      <c r="R22" s="842"/>
      <c r="T22" s="48"/>
      <c r="V22" s="48"/>
    </row>
    <row r="23" spans="1:22" ht="21.95" customHeight="1" x14ac:dyDescent="0.25">
      <c r="A23" s="50"/>
      <c r="B23" s="50"/>
      <c r="C23" s="51"/>
      <c r="D23" s="793"/>
      <c r="E23" s="22" t="s">
        <v>953</v>
      </c>
      <c r="F23" s="2">
        <v>58.059899999999999</v>
      </c>
      <c r="G23" s="785">
        <v>64.347499999999997</v>
      </c>
      <c r="H23" s="751">
        <v>100</v>
      </c>
      <c r="I23" s="785">
        <v>6434.75</v>
      </c>
      <c r="J23" s="360">
        <v>-628.76000000000022</v>
      </c>
      <c r="K23" s="134">
        <v>-9.7713197870935131E-2</v>
      </c>
      <c r="L23" s="360">
        <v>-628.76000000000022</v>
      </c>
      <c r="M23">
        <v>100</v>
      </c>
      <c r="N23" s="846"/>
      <c r="O23" s="772">
        <v>4.3058978744365733E-2</v>
      </c>
      <c r="P23" s="738">
        <v>-2.0799999999999999E-2</v>
      </c>
      <c r="Q23" s="785">
        <v>15.319234828496041</v>
      </c>
      <c r="R23" s="842"/>
      <c r="S23" s="738"/>
      <c r="T23" s="48"/>
    </row>
    <row r="24" spans="1:22" ht="21.95" customHeight="1" x14ac:dyDescent="0.25">
      <c r="A24" s="50"/>
      <c r="B24" s="50"/>
      <c r="C24" s="51"/>
      <c r="D24" s="793"/>
      <c r="E24" s="22" t="s">
        <v>327</v>
      </c>
      <c r="F24" s="2">
        <v>11.48</v>
      </c>
      <c r="G24" s="785">
        <v>16.699633333333331</v>
      </c>
      <c r="H24" s="751">
        <v>300</v>
      </c>
      <c r="I24" s="785">
        <v>5009.8899999999994</v>
      </c>
      <c r="J24" s="360">
        <v>-1565.8899999999994</v>
      </c>
      <c r="K24" s="134">
        <v>-0.31255975680104742</v>
      </c>
      <c r="L24" s="360">
        <v>-282.4700000000048</v>
      </c>
      <c r="M24">
        <v>300</v>
      </c>
      <c r="N24" s="846" t="s">
        <v>1081</v>
      </c>
      <c r="O24" s="772">
        <v>0</v>
      </c>
      <c r="P24" s="738">
        <v>5.3E-3</v>
      </c>
      <c r="Q24" s="785">
        <v>35.875</v>
      </c>
      <c r="R24" s="842"/>
      <c r="S24" s="48"/>
      <c r="T24" s="48"/>
    </row>
    <row r="25" spans="1:22" ht="21.95" customHeight="1" x14ac:dyDescent="0.25">
      <c r="A25" s="50"/>
      <c r="B25" s="51"/>
      <c r="C25" s="51"/>
      <c r="D25" s="793"/>
      <c r="E25" s="22" t="s">
        <v>32</v>
      </c>
      <c r="F25" s="2">
        <v>53.1</v>
      </c>
      <c r="G25" s="785">
        <v>45.046300000000002</v>
      </c>
      <c r="H25" s="751">
        <v>100</v>
      </c>
      <c r="I25" s="785">
        <v>4504.63</v>
      </c>
      <c r="J25" s="360">
        <v>805.36999999999989</v>
      </c>
      <c r="K25" s="134">
        <v>0.17878715898975051</v>
      </c>
      <c r="L25" s="360">
        <v>2003.839999999997</v>
      </c>
      <c r="M25" s="29">
        <v>43262</v>
      </c>
      <c r="N25" s="846"/>
      <c r="O25" s="772">
        <v>2.2975517890772127E-2</v>
      </c>
      <c r="P25" s="738">
        <v>-7.1000000000000004E-3</v>
      </c>
      <c r="Q25" s="822">
        <v>8.509615384615385</v>
      </c>
      <c r="R25" s="842"/>
      <c r="S25" s="738"/>
    </row>
    <row r="26" spans="1:22" ht="21.95" customHeight="1" x14ac:dyDescent="0.25">
      <c r="A26" s="51"/>
      <c r="B26" s="50"/>
      <c r="C26" s="51"/>
      <c r="D26" s="793"/>
      <c r="E26" s="22" t="s">
        <v>688</v>
      </c>
      <c r="F26" s="2">
        <v>119.7899</v>
      </c>
      <c r="G26" s="785">
        <v>73.697200000000009</v>
      </c>
      <c r="H26" s="793">
        <v>50</v>
      </c>
      <c r="I26" s="785">
        <v>3684.8600000000006</v>
      </c>
      <c r="J26" s="360">
        <v>2304.6349999999993</v>
      </c>
      <c r="K26" s="134">
        <v>0.62543353071758478</v>
      </c>
      <c r="L26" s="360">
        <v>2304.6349999999993</v>
      </c>
      <c r="M26">
        <v>50</v>
      </c>
      <c r="N26" s="846">
        <v>43243</v>
      </c>
      <c r="O26" s="772">
        <v>2.8E-3</v>
      </c>
      <c r="P26" s="738">
        <v>6.4000000000000003E-3</v>
      </c>
      <c r="Q26" s="785">
        <v>17.905814648729447</v>
      </c>
      <c r="R26" s="842"/>
      <c r="S26" s="48"/>
    </row>
    <row r="27" spans="1:22" ht="21.95" customHeight="1" x14ac:dyDescent="0.25">
      <c r="A27" s="50"/>
      <c r="B27" s="50"/>
      <c r="C27" s="51"/>
      <c r="D27" s="793"/>
      <c r="E27" s="22" t="s">
        <v>331</v>
      </c>
      <c r="F27" s="2">
        <v>21.119900000000001</v>
      </c>
      <c r="G27" s="785">
        <v>18.245850000000001</v>
      </c>
      <c r="H27" s="751">
        <v>200</v>
      </c>
      <c r="I27" s="785">
        <v>3649.17</v>
      </c>
      <c r="J27" s="360">
        <v>574.8100000000004</v>
      </c>
      <c r="K27" s="134">
        <v>0.15751801094495463</v>
      </c>
      <c r="L27" s="785">
        <v>859.7800000000052</v>
      </c>
      <c r="M27" s="29">
        <v>43255</v>
      </c>
      <c r="N27" s="846"/>
      <c r="O27" s="772">
        <v>0</v>
      </c>
      <c r="P27" s="738">
        <v>1.15E-2</v>
      </c>
      <c r="Q27" s="822">
        <v>8.6203673469387763</v>
      </c>
      <c r="R27" s="842"/>
      <c r="S27" s="738"/>
      <c r="U27" s="48"/>
    </row>
    <row r="28" spans="1:22" ht="21.95" customHeight="1" x14ac:dyDescent="0.25">
      <c r="A28" s="50"/>
      <c r="B28" s="50"/>
      <c r="C28" s="51"/>
      <c r="D28" s="793"/>
      <c r="E28" s="22" t="s">
        <v>55</v>
      </c>
      <c r="F28" s="2">
        <v>67.599900000000005</v>
      </c>
      <c r="G28" s="785">
        <v>71.080000000000013</v>
      </c>
      <c r="H28" s="793">
        <v>50</v>
      </c>
      <c r="I28" s="785">
        <v>3554.0000000000005</v>
      </c>
      <c r="J28" s="360">
        <v>-174.00500000000011</v>
      </c>
      <c r="K28" s="134">
        <v>-4.8960326392796939E-2</v>
      </c>
      <c r="L28" s="360">
        <v>636.12499999999</v>
      </c>
      <c r="M28">
        <v>50</v>
      </c>
      <c r="N28" s="846"/>
      <c r="O28" s="772">
        <v>3.0769276285911664E-2</v>
      </c>
      <c r="P28" s="738">
        <v>6.9999999999999999E-4</v>
      </c>
      <c r="Q28" s="785">
        <v>10.464380804953562</v>
      </c>
      <c r="R28" s="842"/>
      <c r="S28" s="48"/>
      <c r="T28" s="48"/>
    </row>
    <row r="29" spans="1:22" ht="21.95" customHeight="1" x14ac:dyDescent="0.25">
      <c r="A29" s="51"/>
      <c r="B29" s="51"/>
      <c r="C29" s="51"/>
      <c r="D29" s="793"/>
      <c r="E29" s="22" t="s">
        <v>690</v>
      </c>
      <c r="F29" s="2">
        <v>199.59989999999999</v>
      </c>
      <c r="G29" s="785">
        <v>143.55999999999995</v>
      </c>
      <c r="H29" s="751">
        <v>20</v>
      </c>
      <c r="I29" s="785">
        <v>2871.1999999999989</v>
      </c>
      <c r="J29" s="360">
        <v>1120.7980000000007</v>
      </c>
      <c r="K29" s="134">
        <v>0.39035873502368396</v>
      </c>
      <c r="L29" s="785">
        <v>1263.8280000000009</v>
      </c>
      <c r="M29">
        <v>20</v>
      </c>
      <c r="N29" s="846" t="s">
        <v>1034</v>
      </c>
      <c r="O29" s="772">
        <v>2.5050112750557491E-3</v>
      </c>
      <c r="P29" s="738">
        <v>4.4999999999999997E-3</v>
      </c>
      <c r="Q29" s="785">
        <v>29.096195335276967</v>
      </c>
      <c r="R29" s="842"/>
      <c r="S29" s="48"/>
    </row>
    <row r="30" spans="1:22" ht="21.95" customHeight="1" x14ac:dyDescent="0.25">
      <c r="A30" s="51"/>
      <c r="B30" s="51"/>
      <c r="C30" s="51"/>
      <c r="D30" s="793"/>
      <c r="E30" s="22" t="s">
        <v>934</v>
      </c>
      <c r="F30" s="2">
        <v>72.400000000000006</v>
      </c>
      <c r="G30" s="785">
        <v>67.34</v>
      </c>
      <c r="H30" s="793">
        <v>40</v>
      </c>
      <c r="I30" s="785">
        <v>2693.6000000000004</v>
      </c>
      <c r="J30" s="360">
        <v>202.40000000000009</v>
      </c>
      <c r="K30" s="134">
        <v>7.5141075141075167E-2</v>
      </c>
      <c r="L30" s="360">
        <v>202.40000000000009</v>
      </c>
      <c r="M30">
        <v>40</v>
      </c>
      <c r="N30" s="846"/>
      <c r="O30" s="773">
        <v>1.3259668508287291E-2</v>
      </c>
      <c r="P30" s="738">
        <v>1.8E-3</v>
      </c>
      <c r="Q30" s="48">
        <v>20.3943661971831</v>
      </c>
      <c r="R30" s="842"/>
      <c r="S30" s="48"/>
      <c r="T30" s="48"/>
      <c r="V30" s="48"/>
    </row>
    <row r="31" spans="1:22" ht="21.95" customHeight="1" x14ac:dyDescent="0.25">
      <c r="A31" s="51"/>
      <c r="B31" s="51"/>
      <c r="C31" s="51"/>
      <c r="D31" s="793"/>
      <c r="E31" s="22" t="s">
        <v>790</v>
      </c>
      <c r="F31" s="2">
        <v>15.0299</v>
      </c>
      <c r="G31" s="785">
        <v>16.953866666666666</v>
      </c>
      <c r="H31" s="751">
        <v>150</v>
      </c>
      <c r="I31" s="785">
        <v>2543.08</v>
      </c>
      <c r="J31" s="360">
        <v>-288.5949999999998</v>
      </c>
      <c r="K31" s="134">
        <v>-0.1134824700756563</v>
      </c>
      <c r="L31" s="785">
        <v>-288.5949999999998</v>
      </c>
      <c r="M31">
        <v>150</v>
      </c>
      <c r="N31" s="846"/>
      <c r="O31" s="772">
        <v>3.1936340228477904E-2</v>
      </c>
      <c r="P31" s="738">
        <v>0</v>
      </c>
      <c r="Q31" s="785">
        <v>15.820947368421052</v>
      </c>
      <c r="R31" s="842"/>
      <c r="S31" s="48"/>
      <c r="T31" s="48"/>
    </row>
    <row r="32" spans="1:22" ht="21.95" customHeight="1" x14ac:dyDescent="0.25">
      <c r="A32" s="50"/>
      <c r="B32" s="50"/>
      <c r="C32" s="51"/>
      <c r="D32" s="793"/>
      <c r="E32" s="22" t="s">
        <v>933</v>
      </c>
      <c r="F32" s="2">
        <v>31.99</v>
      </c>
      <c r="G32" s="785">
        <v>24.900199999999991</v>
      </c>
      <c r="H32" s="751">
        <v>100</v>
      </c>
      <c r="I32" s="785">
        <v>2490.0199999999991</v>
      </c>
      <c r="J32" s="360">
        <v>708.98000000000138</v>
      </c>
      <c r="K32" s="134">
        <v>0.28472863671777776</v>
      </c>
      <c r="L32" s="360">
        <v>708.98000000000138</v>
      </c>
      <c r="M32" s="29">
        <v>43241</v>
      </c>
      <c r="N32" s="846"/>
      <c r="O32" s="772">
        <v>8.2525789309159117E-2</v>
      </c>
      <c r="P32" s="738">
        <v>2.9999999999999997E-4</v>
      </c>
      <c r="Q32" s="822"/>
      <c r="R32" s="842"/>
      <c r="S32" s="48"/>
      <c r="T32" s="48"/>
      <c r="V32" s="48"/>
    </row>
    <row r="33" spans="1:21" ht="21.95" customHeight="1" x14ac:dyDescent="0.25">
      <c r="A33" s="51"/>
      <c r="B33" s="51"/>
      <c r="C33" s="51"/>
      <c r="D33" s="793"/>
      <c r="E33" s="22" t="s">
        <v>62</v>
      </c>
      <c r="F33" s="2">
        <v>280.57</v>
      </c>
      <c r="G33" s="785">
        <v>280.57</v>
      </c>
      <c r="H33" s="751">
        <v>0</v>
      </c>
      <c r="I33" s="785">
        <v>0</v>
      </c>
      <c r="J33" s="360">
        <v>0</v>
      </c>
      <c r="K33" s="134">
        <v>0</v>
      </c>
      <c r="L33" s="360">
        <v>1659.3600000000079</v>
      </c>
      <c r="M33">
        <v>0</v>
      </c>
      <c r="N33" s="819"/>
      <c r="O33" s="772">
        <v>0</v>
      </c>
      <c r="P33" s="738">
        <v>-3.3E-3</v>
      </c>
      <c r="Q33" s="785"/>
      <c r="R33" s="842"/>
      <c r="S33" s="738"/>
      <c r="T33" s="48"/>
    </row>
    <row r="34" spans="1:21" ht="21.95" customHeight="1" x14ac:dyDescent="0.25">
      <c r="A34" s="50"/>
      <c r="B34" s="50"/>
      <c r="C34" s="50"/>
      <c r="D34" s="793"/>
      <c r="E34" s="22" t="s">
        <v>203</v>
      </c>
      <c r="F34" s="2">
        <v>40.08</v>
      </c>
      <c r="G34" s="785">
        <v>40.08</v>
      </c>
      <c r="H34" s="793">
        <v>0</v>
      </c>
      <c r="I34" s="785">
        <v>0</v>
      </c>
      <c r="J34" s="360">
        <v>0</v>
      </c>
      <c r="K34" s="134">
        <v>0</v>
      </c>
      <c r="L34" s="360">
        <v>555.54</v>
      </c>
      <c r="M34">
        <v>0</v>
      </c>
      <c r="N34" s="846"/>
      <c r="O34" s="772">
        <v>0</v>
      </c>
      <c r="P34" s="738">
        <v>2.3E-2</v>
      </c>
      <c r="Q34" s="785"/>
      <c r="R34" s="842"/>
    </row>
    <row r="35" spans="1:21" ht="21.95" customHeight="1" x14ac:dyDescent="0.25">
      <c r="A35" s="50"/>
      <c r="B35" s="50"/>
      <c r="C35" s="51"/>
      <c r="D35" s="793"/>
      <c r="E35" s="22" t="s">
        <v>202</v>
      </c>
      <c r="F35" s="2">
        <v>186.99</v>
      </c>
      <c r="G35" s="785">
        <v>186.99</v>
      </c>
      <c r="H35" s="793">
        <v>0</v>
      </c>
      <c r="I35" s="785">
        <v>0</v>
      </c>
      <c r="J35" s="360">
        <v>0</v>
      </c>
      <c r="K35" s="134">
        <v>0</v>
      </c>
      <c r="L35" s="360">
        <v>363.09999999999945</v>
      </c>
      <c r="M35">
        <v>0</v>
      </c>
      <c r="N35" s="846"/>
      <c r="O35" s="772">
        <v>1.5900000000000001E-2</v>
      </c>
      <c r="P35" s="738">
        <v>-6.3E-3</v>
      </c>
      <c r="Q35" s="785"/>
      <c r="R35" s="842"/>
      <c r="S35" s="48"/>
      <c r="T35" s="48"/>
    </row>
    <row r="36" spans="1:21" ht="21.95" customHeight="1" x14ac:dyDescent="0.25">
      <c r="A36" s="50"/>
      <c r="B36" s="50"/>
      <c r="C36" s="51"/>
      <c r="D36" s="793"/>
      <c r="E36" s="22" t="s">
        <v>225</v>
      </c>
      <c r="F36" s="2">
        <v>101.22</v>
      </c>
      <c r="G36" s="785">
        <v>101.22</v>
      </c>
      <c r="H36" s="751">
        <v>0</v>
      </c>
      <c r="I36" s="785">
        <v>0</v>
      </c>
      <c r="J36" s="360">
        <v>0</v>
      </c>
      <c r="K36" s="134">
        <v>0</v>
      </c>
      <c r="L36" s="785">
        <v>231.53999999999996</v>
      </c>
      <c r="M36">
        <v>0</v>
      </c>
      <c r="N36" s="846"/>
      <c r="O36" s="772">
        <v>1.6199999999999999E-2</v>
      </c>
      <c r="P36" s="738">
        <v>6.3E-3</v>
      </c>
      <c r="Q36" s="785"/>
      <c r="R36" s="842"/>
      <c r="S36" s="738"/>
      <c r="T36" s="48"/>
    </row>
    <row r="37" spans="1:21" ht="21.95" customHeight="1" x14ac:dyDescent="0.25">
      <c r="A37" s="50"/>
      <c r="B37" s="50"/>
      <c r="C37" s="51"/>
      <c r="D37" s="793"/>
      <c r="E37" s="22" t="s">
        <v>266</v>
      </c>
      <c r="F37" s="2">
        <v>96.67</v>
      </c>
      <c r="G37" s="785">
        <v>96.67</v>
      </c>
      <c r="H37" s="751">
        <v>0</v>
      </c>
      <c r="I37" s="785">
        <v>0</v>
      </c>
      <c r="J37" s="360">
        <v>0</v>
      </c>
      <c r="K37" s="134">
        <v>0</v>
      </c>
      <c r="L37" s="360">
        <v>1857.7799999999988</v>
      </c>
      <c r="M37">
        <v>0</v>
      </c>
      <c r="N37" s="846"/>
      <c r="O37" s="772">
        <v>1.49E-2</v>
      </c>
      <c r="P37" s="738">
        <v>4.8999999999999998E-3</v>
      </c>
      <c r="Q37" s="785"/>
      <c r="R37" s="842"/>
      <c r="S37" s="738"/>
      <c r="T37" s="48"/>
      <c r="U37" s="48"/>
    </row>
    <row r="38" spans="1:21" ht="21.95" customHeight="1" x14ac:dyDescent="0.25">
      <c r="A38" s="50"/>
      <c r="B38" s="51"/>
      <c r="C38" s="51"/>
      <c r="D38" s="793"/>
      <c r="E38" s="22" t="s">
        <v>23</v>
      </c>
      <c r="F38" s="2">
        <v>32.24</v>
      </c>
      <c r="G38" s="785">
        <v>32.24</v>
      </c>
      <c r="H38" s="751">
        <v>0</v>
      </c>
      <c r="I38" s="785">
        <v>0</v>
      </c>
      <c r="J38" s="360">
        <v>0</v>
      </c>
      <c r="K38" s="134">
        <v>0</v>
      </c>
      <c r="L38" s="360">
        <v>171.89999999999964</v>
      </c>
      <c r="M38">
        <v>0</v>
      </c>
      <c r="N38" s="846"/>
      <c r="O38" s="772">
        <v>0</v>
      </c>
      <c r="P38" s="738">
        <v>8.8000000000000005E-3</v>
      </c>
      <c r="Q38" s="785"/>
      <c r="R38" s="842"/>
      <c r="S38" s="738"/>
    </row>
    <row r="39" spans="1:21" ht="21.95" customHeight="1" x14ac:dyDescent="0.25">
      <c r="A39" s="154"/>
      <c r="B39" s="50"/>
      <c r="C39" s="51"/>
      <c r="D39" s="793"/>
      <c r="E39" s="22" t="s">
        <v>267</v>
      </c>
      <c r="F39" s="2">
        <v>37.770000000000003</v>
      </c>
      <c r="G39" s="785">
        <v>37.770000000000003</v>
      </c>
      <c r="H39" s="793">
        <v>0</v>
      </c>
      <c r="I39" s="785">
        <v>0</v>
      </c>
      <c r="J39" s="360">
        <v>0</v>
      </c>
      <c r="K39" s="134">
        <v>0</v>
      </c>
      <c r="L39" s="360">
        <v>98.449999999999818</v>
      </c>
      <c r="M39">
        <v>0</v>
      </c>
      <c r="N39" s="846"/>
      <c r="O39" s="772">
        <v>1.11E-2</v>
      </c>
      <c r="P39" s="738">
        <v>-1.0200000000000001E-2</v>
      </c>
      <c r="Q39" s="785"/>
      <c r="R39" s="842"/>
      <c r="S39" s="738"/>
      <c r="T39" s="48"/>
      <c r="U39" s="48"/>
    </row>
    <row r="40" spans="1:21" ht="21.95" customHeight="1" x14ac:dyDescent="0.25">
      <c r="A40" s="51"/>
      <c r="B40" s="51"/>
      <c r="C40" s="51"/>
      <c r="D40" s="793"/>
      <c r="E40" s="22" t="s">
        <v>36</v>
      </c>
      <c r="F40" s="2">
        <v>52.47</v>
      </c>
      <c r="G40" s="785">
        <v>52.47</v>
      </c>
      <c r="H40" s="793">
        <v>0</v>
      </c>
      <c r="I40" s="785">
        <v>0</v>
      </c>
      <c r="J40" s="360">
        <v>0</v>
      </c>
      <c r="K40" s="134">
        <v>0</v>
      </c>
      <c r="L40" s="360">
        <v>117.73999999999978</v>
      </c>
      <c r="M40">
        <v>0</v>
      </c>
      <c r="N40" s="846"/>
      <c r="O40" s="772">
        <v>7.4000000000000003E-3</v>
      </c>
      <c r="P40" s="738">
        <v>-1.0200000000000001E-2</v>
      </c>
      <c r="Q40" s="822"/>
      <c r="R40" s="842"/>
      <c r="S40" s="738"/>
      <c r="T40" s="48"/>
      <c r="U40" s="48"/>
    </row>
    <row r="41" spans="1:21" ht="21.95" customHeight="1" x14ac:dyDescent="0.25">
      <c r="A41" s="60"/>
      <c r="B41" s="61"/>
      <c r="C41" s="60"/>
      <c r="D41" s="793"/>
      <c r="E41" s="22" t="s">
        <v>315</v>
      </c>
      <c r="F41" s="2">
        <v>38.32</v>
      </c>
      <c r="G41" s="785">
        <v>38.32</v>
      </c>
      <c r="H41" s="825">
        <v>0</v>
      </c>
      <c r="I41" s="785">
        <v>0</v>
      </c>
      <c r="J41" s="360">
        <v>0</v>
      </c>
      <c r="K41" s="134">
        <v>0</v>
      </c>
      <c r="L41" s="360">
        <v>264.92000000000007</v>
      </c>
      <c r="M41">
        <v>0</v>
      </c>
      <c r="N41" s="819"/>
      <c r="O41" s="772">
        <v>3.4200000000000001E-2</v>
      </c>
      <c r="P41" s="738">
        <v>8.3999999999999995E-3</v>
      </c>
      <c r="Q41" s="822"/>
      <c r="R41" s="842"/>
      <c r="S41" s="738"/>
    </row>
    <row r="42" spans="1:21" ht="21.95" customHeight="1" x14ac:dyDescent="0.25">
      <c r="A42" s="50"/>
      <c r="B42" s="50"/>
      <c r="C42" s="51"/>
      <c r="D42" s="793"/>
      <c r="E42" s="22" t="s">
        <v>299</v>
      </c>
      <c r="F42" s="2">
        <v>52.74</v>
      </c>
      <c r="G42" s="785">
        <v>52.74</v>
      </c>
      <c r="H42" s="793">
        <v>0</v>
      </c>
      <c r="I42" s="785">
        <v>0</v>
      </c>
      <c r="J42" s="360">
        <v>0</v>
      </c>
      <c r="K42" s="134">
        <v>0</v>
      </c>
      <c r="L42" s="785">
        <v>910.79999999999927</v>
      </c>
      <c r="M42">
        <v>0</v>
      </c>
      <c r="N42" s="846"/>
      <c r="O42" s="772">
        <v>2.87E-2</v>
      </c>
      <c r="P42" s="738">
        <v>1.0200000000000001E-2</v>
      </c>
      <c r="Q42" s="785"/>
      <c r="R42" s="842"/>
      <c r="S42" s="738"/>
      <c r="T42" s="48"/>
      <c r="U42" s="48"/>
    </row>
    <row r="43" spans="1:21" ht="21.95" customHeight="1" x14ac:dyDescent="0.25">
      <c r="A43" s="50"/>
      <c r="B43" s="50"/>
      <c r="C43" s="51"/>
      <c r="D43" s="793"/>
      <c r="E43" s="22" t="s">
        <v>702</v>
      </c>
      <c r="F43" s="2">
        <v>31.39</v>
      </c>
      <c r="G43" s="785">
        <v>31.39</v>
      </c>
      <c r="H43" s="793">
        <v>0</v>
      </c>
      <c r="I43" s="785">
        <v>0</v>
      </c>
      <c r="J43" s="360">
        <v>0</v>
      </c>
      <c r="K43" s="134">
        <v>0</v>
      </c>
      <c r="L43" s="360">
        <v>557.94000000000005</v>
      </c>
      <c r="M43">
        <v>0</v>
      </c>
      <c r="N43" s="846"/>
      <c r="O43" s="772">
        <v>4.0599999999999997E-2</v>
      </c>
      <c r="P43" s="738">
        <v>-5.7000000000000002E-3</v>
      </c>
      <c r="Q43" s="785"/>
      <c r="R43" s="842"/>
      <c r="S43" s="738"/>
      <c r="T43" s="48"/>
    </row>
    <row r="44" spans="1:21" ht="21.95" customHeight="1" x14ac:dyDescent="0.25">
      <c r="A44" s="50"/>
      <c r="B44" s="50"/>
      <c r="C44" s="50"/>
      <c r="D44" s="793"/>
      <c r="E44" s="22" t="s">
        <v>248</v>
      </c>
      <c r="F44" s="2">
        <v>76.09</v>
      </c>
      <c r="G44" s="785">
        <v>76.09</v>
      </c>
      <c r="H44" s="751">
        <v>0</v>
      </c>
      <c r="I44" s="785">
        <v>0</v>
      </c>
      <c r="J44" s="360">
        <v>0</v>
      </c>
      <c r="K44" s="134">
        <v>0</v>
      </c>
      <c r="L44" s="360">
        <v>329.74000000000069</v>
      </c>
      <c r="M44">
        <v>0</v>
      </c>
      <c r="N44" s="846"/>
      <c r="O44" s="772">
        <v>0</v>
      </c>
      <c r="P44" s="738">
        <v>2.01E-2</v>
      </c>
      <c r="Q44" s="785"/>
      <c r="R44" s="842"/>
      <c r="S44" s="738"/>
      <c r="U44" s="48"/>
    </row>
    <row r="45" spans="1:21" ht="21.95" customHeight="1" x14ac:dyDescent="0.25">
      <c r="A45" s="51"/>
      <c r="B45" s="154"/>
      <c r="C45" s="327"/>
      <c r="D45" s="793"/>
      <c r="E45" s="22" t="s">
        <v>681</v>
      </c>
      <c r="F45" s="2">
        <v>18.149999999999999</v>
      </c>
      <c r="G45" s="785">
        <v>18.149999999999999</v>
      </c>
      <c r="H45" s="751">
        <v>0</v>
      </c>
      <c r="I45" s="785">
        <v>0</v>
      </c>
      <c r="J45" s="360">
        <v>0</v>
      </c>
      <c r="K45" s="134">
        <v>0</v>
      </c>
      <c r="L45" s="360">
        <v>309.26000000000022</v>
      </c>
      <c r="M45">
        <v>0</v>
      </c>
      <c r="N45" s="846"/>
      <c r="O45" s="772">
        <v>8.8000000000000005E-3</v>
      </c>
      <c r="P45" s="738">
        <v>7.7999999999999996E-3</v>
      </c>
      <c r="Q45" s="785"/>
      <c r="R45" s="842"/>
    </row>
    <row r="46" spans="1:21" ht="21.95" customHeight="1" x14ac:dyDescent="0.25">
      <c r="A46" s="50"/>
      <c r="B46" s="50"/>
      <c r="C46" s="51"/>
      <c r="D46" s="793"/>
      <c r="E46" s="22" t="s">
        <v>275</v>
      </c>
      <c r="F46" s="2">
        <v>65.760000000000005</v>
      </c>
      <c r="G46" s="785">
        <v>65.760000000000005</v>
      </c>
      <c r="H46" s="751">
        <v>0</v>
      </c>
      <c r="I46" s="785">
        <v>0</v>
      </c>
      <c r="J46" s="360">
        <v>0</v>
      </c>
      <c r="K46" s="134">
        <v>0</v>
      </c>
      <c r="L46" s="785">
        <v>197.20999999999549</v>
      </c>
      <c r="M46">
        <v>0</v>
      </c>
      <c r="N46" s="846"/>
      <c r="O46" s="772">
        <v>2.5499999999999998E-2</v>
      </c>
      <c r="P46" s="738">
        <v>-5.5999999999999999E-3</v>
      </c>
      <c r="Q46" s="822"/>
      <c r="R46" s="842"/>
    </row>
    <row r="47" spans="1:21" ht="21.95" customHeight="1" x14ac:dyDescent="0.25">
      <c r="A47" s="50"/>
      <c r="B47" s="50"/>
      <c r="C47" s="51"/>
      <c r="D47" s="793"/>
      <c r="E47" s="22" t="s">
        <v>745</v>
      </c>
      <c r="F47" s="2">
        <v>236.85</v>
      </c>
      <c r="G47" s="785">
        <v>236.85</v>
      </c>
      <c r="H47" s="793">
        <v>0</v>
      </c>
      <c r="I47" s="785">
        <v>0</v>
      </c>
      <c r="J47" s="360">
        <v>0</v>
      </c>
      <c r="K47" s="134">
        <v>0</v>
      </c>
      <c r="L47" s="360">
        <v>843.18000000000029</v>
      </c>
      <c r="M47">
        <v>0</v>
      </c>
      <c r="N47" s="846"/>
      <c r="O47" s="772">
        <v>2.8E-3</v>
      </c>
      <c r="P47" s="738">
        <v>-2.3E-3</v>
      </c>
      <c r="Q47" s="822"/>
      <c r="R47" s="842"/>
    </row>
    <row r="48" spans="1:21" ht="21.95" customHeight="1" x14ac:dyDescent="0.25">
      <c r="A48" s="50"/>
      <c r="B48" s="50"/>
      <c r="C48" s="51"/>
      <c r="D48" s="793"/>
      <c r="E48" s="22" t="s">
        <v>196</v>
      </c>
      <c r="F48" s="2">
        <v>11.46</v>
      </c>
      <c r="G48" s="785">
        <v>11.46</v>
      </c>
      <c r="H48" s="793">
        <v>0</v>
      </c>
      <c r="I48" s="785">
        <v>0</v>
      </c>
      <c r="J48" s="360">
        <v>0</v>
      </c>
      <c r="K48" s="134">
        <v>0</v>
      </c>
      <c r="L48" s="360">
        <v>495.20999999999913</v>
      </c>
      <c r="M48">
        <v>0</v>
      </c>
      <c r="N48" s="846"/>
      <c r="O48" s="772">
        <v>5.1499999999999997E-2</v>
      </c>
      <c r="P48" s="738">
        <v>5.3E-3</v>
      </c>
      <c r="Q48" s="785"/>
      <c r="R48" s="842"/>
      <c r="S48" s="48"/>
      <c r="T48" s="48"/>
    </row>
    <row r="49" spans="1:22" ht="21.95" customHeight="1" x14ac:dyDescent="0.25">
      <c r="A49" s="50"/>
      <c r="B49" s="51"/>
      <c r="C49" s="51"/>
      <c r="D49" s="793"/>
      <c r="E49" s="22" t="s">
        <v>270</v>
      </c>
      <c r="F49" s="2">
        <v>123.85</v>
      </c>
      <c r="G49" s="785">
        <v>123.85</v>
      </c>
      <c r="H49" s="751">
        <v>0</v>
      </c>
      <c r="I49" s="785">
        <v>0</v>
      </c>
      <c r="J49" s="360">
        <v>0</v>
      </c>
      <c r="K49" s="134">
        <v>0</v>
      </c>
      <c r="L49" s="360">
        <v>154.77999999999975</v>
      </c>
      <c r="M49">
        <v>0</v>
      </c>
      <c r="N49" s="846"/>
      <c r="O49" s="772">
        <v>2.5700000000000001E-2</v>
      </c>
      <c r="P49" s="738">
        <v>-1.1900000000000001E-2</v>
      </c>
      <c r="Q49" s="785"/>
      <c r="R49" s="842"/>
      <c r="T49" s="48"/>
    </row>
    <row r="50" spans="1:22" ht="21.95" customHeight="1" x14ac:dyDescent="0.25">
      <c r="A50" s="50"/>
      <c r="B50" s="50"/>
      <c r="C50" s="51"/>
      <c r="D50" s="793"/>
      <c r="E50" s="22" t="s">
        <v>837</v>
      </c>
      <c r="F50" s="2">
        <v>99.04</v>
      </c>
      <c r="G50" s="785">
        <v>99.04</v>
      </c>
      <c r="H50" s="793">
        <v>0</v>
      </c>
      <c r="I50" s="785">
        <v>0</v>
      </c>
      <c r="J50" s="360">
        <v>604.30000000000109</v>
      </c>
      <c r="K50" s="134">
        <v>0</v>
      </c>
      <c r="L50" s="360">
        <v>604.30000000000109</v>
      </c>
      <c r="M50">
        <v>0</v>
      </c>
      <c r="N50" s="846"/>
      <c r="O50" s="772">
        <v>6.8659127625201937E-3</v>
      </c>
      <c r="P50" s="738">
        <v>-8.0000000000000004E-4</v>
      </c>
      <c r="Q50" s="822">
        <v>20.850526315789477</v>
      </c>
      <c r="R50" s="842"/>
      <c r="S50" s="738"/>
    </row>
    <row r="51" spans="1:22" ht="21.95" customHeight="1" x14ac:dyDescent="0.25">
      <c r="A51" s="50"/>
      <c r="B51" s="50"/>
      <c r="C51" s="51"/>
      <c r="D51" s="793"/>
      <c r="E51" s="22" t="s">
        <v>972</v>
      </c>
      <c r="F51" s="2">
        <v>99.39</v>
      </c>
      <c r="G51" s="785">
        <v>99.39</v>
      </c>
      <c r="H51" s="793">
        <v>0</v>
      </c>
      <c r="I51" s="785">
        <v>0</v>
      </c>
      <c r="J51" s="360">
        <v>500.88000000000011</v>
      </c>
      <c r="K51" s="134">
        <v>0</v>
      </c>
      <c r="L51" s="785">
        <v>500.88000000000011</v>
      </c>
      <c r="M51">
        <v>0</v>
      </c>
      <c r="N51" s="846"/>
      <c r="O51" s="772">
        <v>6.4392796055941243E-3</v>
      </c>
      <c r="P51" s="738">
        <v>4.0000000000000001E-3</v>
      </c>
      <c r="Q51" s="822">
        <v>13.467479674796749</v>
      </c>
      <c r="R51" s="842"/>
      <c r="S51" s="738"/>
      <c r="T51" s="48"/>
    </row>
    <row r="52" spans="1:22" ht="21.95" customHeight="1" x14ac:dyDescent="0.25">
      <c r="A52" s="50"/>
      <c r="B52" s="50"/>
      <c r="C52" s="51"/>
      <c r="D52" s="793"/>
      <c r="E52" s="22" t="s">
        <v>17</v>
      </c>
      <c r="F52" s="2">
        <v>15.25</v>
      </c>
      <c r="G52" s="785">
        <v>15.25</v>
      </c>
      <c r="H52" s="793">
        <v>0</v>
      </c>
      <c r="I52" s="785">
        <v>0</v>
      </c>
      <c r="J52" s="360">
        <v>-20818.210000000079</v>
      </c>
      <c r="K52" s="134">
        <v>0</v>
      </c>
      <c r="L52" s="360">
        <v>-20818.210000000079</v>
      </c>
      <c r="M52">
        <v>0</v>
      </c>
      <c r="N52" s="846"/>
      <c r="O52" s="772">
        <v>0</v>
      </c>
      <c r="P52" s="738">
        <v>0</v>
      </c>
      <c r="Q52" s="785"/>
      <c r="R52" s="842"/>
      <c r="S52" s="48"/>
      <c r="U52" s="48"/>
    </row>
    <row r="53" spans="1:22" ht="21.95" customHeight="1" x14ac:dyDescent="0.25">
      <c r="A53" s="50"/>
      <c r="B53" s="51"/>
      <c r="C53" s="51"/>
      <c r="D53" s="793"/>
      <c r="E53" s="22" t="s">
        <v>308</v>
      </c>
      <c r="F53" s="2">
        <v>135.83000000000001</v>
      </c>
      <c r="G53" s="785">
        <v>135.83000000000001</v>
      </c>
      <c r="H53" s="793">
        <v>0</v>
      </c>
      <c r="I53" s="785">
        <v>0</v>
      </c>
      <c r="J53" s="360">
        <v>0</v>
      </c>
      <c r="K53" s="134">
        <v>0</v>
      </c>
      <c r="L53" s="360">
        <v>720.56000000000131</v>
      </c>
      <c r="M53">
        <v>0</v>
      </c>
      <c r="N53" s="846"/>
      <c r="O53" s="772">
        <v>0</v>
      </c>
      <c r="P53" s="738">
        <v>-4.3E-3</v>
      </c>
      <c r="Q53" s="785"/>
      <c r="R53" s="842"/>
      <c r="S53" s="48"/>
    </row>
    <row r="54" spans="1:22" ht="21.95" customHeight="1" x14ac:dyDescent="0.25">
      <c r="A54" s="51"/>
      <c r="B54" s="51"/>
      <c r="C54" s="51"/>
      <c r="D54" s="793"/>
      <c r="E54" s="22" t="s">
        <v>700</v>
      </c>
      <c r="F54" s="2">
        <v>86.27</v>
      </c>
      <c r="G54" s="785">
        <v>86.27</v>
      </c>
      <c r="H54" s="793">
        <v>0</v>
      </c>
      <c r="I54" s="785">
        <v>0</v>
      </c>
      <c r="J54" s="360">
        <v>0</v>
      </c>
      <c r="K54" s="134">
        <v>0</v>
      </c>
      <c r="L54" s="360">
        <v>329.55999999999949</v>
      </c>
      <c r="M54">
        <v>0</v>
      </c>
      <c r="N54" s="846"/>
      <c r="O54" s="772">
        <v>1.78E-2</v>
      </c>
      <c r="P54" s="738">
        <v>1.2699999999999999E-2</v>
      </c>
      <c r="Q54" s="822"/>
      <c r="R54" s="842"/>
      <c r="S54" s="48"/>
      <c r="T54" s="48"/>
    </row>
    <row r="55" spans="1:22" ht="21.95" customHeight="1" x14ac:dyDescent="0.25">
      <c r="A55" s="50"/>
      <c r="B55" s="51"/>
      <c r="C55" s="51"/>
      <c r="D55" s="793"/>
      <c r="E55" s="22" t="s">
        <v>743</v>
      </c>
      <c r="F55" s="2">
        <v>646.29999999999995</v>
      </c>
      <c r="G55" s="785">
        <v>646.29999999999995</v>
      </c>
      <c r="H55" s="751">
        <v>0</v>
      </c>
      <c r="I55" s="785">
        <v>0</v>
      </c>
      <c r="J55" s="360">
        <v>0</v>
      </c>
      <c r="K55" s="134">
        <v>0</v>
      </c>
      <c r="L55" s="360">
        <v>559.89000000000033</v>
      </c>
      <c r="M55">
        <v>0</v>
      </c>
      <c r="N55" s="846"/>
      <c r="O55" s="772">
        <v>0</v>
      </c>
      <c r="P55" s="738">
        <v>-2.5000000000000001E-3</v>
      </c>
      <c r="Q55" s="822"/>
      <c r="R55" s="842"/>
      <c r="S55" s="48"/>
      <c r="T55" s="48"/>
    </row>
    <row r="56" spans="1:22" ht="21.95" customHeight="1" x14ac:dyDescent="0.25">
      <c r="A56" s="50"/>
      <c r="B56" s="51"/>
      <c r="C56" s="51"/>
      <c r="D56" s="793"/>
      <c r="E56" s="22" t="s">
        <v>956</v>
      </c>
      <c r="F56" s="2">
        <v>213.51</v>
      </c>
      <c r="G56" s="785">
        <v>213.51</v>
      </c>
      <c r="H56" s="793">
        <v>0</v>
      </c>
      <c r="I56" s="785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46" t="s">
        <v>1059</v>
      </c>
      <c r="O56" s="772">
        <v>8.2431736218444105E-3</v>
      </c>
      <c r="P56" s="738">
        <v>-2.1600000000000001E-2</v>
      </c>
      <c r="Q56" s="785">
        <v>24.769141531322507</v>
      </c>
      <c r="R56" s="842"/>
    </row>
    <row r="57" spans="1:22" ht="21.95" customHeight="1" x14ac:dyDescent="0.25">
      <c r="A57" s="51"/>
      <c r="B57" s="50"/>
      <c r="C57" s="51"/>
      <c r="D57" s="793"/>
      <c r="E57" s="22" t="s">
        <v>194</v>
      </c>
      <c r="F57" s="2">
        <v>70.94</v>
      </c>
      <c r="G57" s="785">
        <v>70.94</v>
      </c>
      <c r="H57" s="793">
        <v>0</v>
      </c>
      <c r="I57" s="785">
        <v>0</v>
      </c>
      <c r="J57" s="360">
        <v>0</v>
      </c>
      <c r="K57" s="134">
        <v>0</v>
      </c>
      <c r="L57" s="360">
        <v>785.90999999999985</v>
      </c>
      <c r="M57">
        <v>0</v>
      </c>
      <c r="N57" s="846"/>
      <c r="O57" s="772">
        <v>1.29E-2</v>
      </c>
      <c r="P57" s="738">
        <v>-5.7000000000000002E-3</v>
      </c>
      <c r="Q57" s="785"/>
      <c r="R57" s="842"/>
      <c r="S57" s="738"/>
      <c r="T57" s="48"/>
    </row>
    <row r="58" spans="1:22" ht="21.95" customHeight="1" x14ac:dyDescent="0.25">
      <c r="A58" s="50"/>
      <c r="B58" s="51"/>
      <c r="C58" s="51"/>
      <c r="D58" s="793"/>
      <c r="E58" s="22" t="s">
        <v>224</v>
      </c>
      <c r="F58" s="2">
        <v>60.12</v>
      </c>
      <c r="G58" s="785">
        <v>60.12</v>
      </c>
      <c r="H58" s="793">
        <v>0</v>
      </c>
      <c r="I58" s="785">
        <v>0</v>
      </c>
      <c r="J58" s="360">
        <v>0</v>
      </c>
      <c r="K58" s="134">
        <v>0</v>
      </c>
      <c r="L58" s="360">
        <v>257.64999999999964</v>
      </c>
      <c r="M58">
        <v>0</v>
      </c>
      <c r="N58" s="846"/>
      <c r="O58" s="772">
        <v>0</v>
      </c>
      <c r="P58" s="738">
        <v>3.3E-3</v>
      </c>
      <c r="Q58" s="785"/>
      <c r="R58" s="842"/>
      <c r="S58" s="738"/>
      <c r="T58" s="48"/>
    </row>
    <row r="59" spans="1:22" ht="21.95" customHeight="1" x14ac:dyDescent="0.25">
      <c r="A59" s="50"/>
      <c r="B59" s="50"/>
      <c r="C59" s="51"/>
      <c r="D59" s="793"/>
      <c r="E59" s="22" t="s">
        <v>832</v>
      </c>
      <c r="F59" s="2">
        <v>438.58</v>
      </c>
      <c r="G59" s="785">
        <v>438.58</v>
      </c>
      <c r="H59" s="793">
        <v>0</v>
      </c>
      <c r="I59" s="785">
        <v>0</v>
      </c>
      <c r="J59" s="360">
        <v>0</v>
      </c>
      <c r="K59" s="134">
        <v>0</v>
      </c>
      <c r="L59" s="360">
        <v>1264.8599999999997</v>
      </c>
      <c r="M59">
        <v>0</v>
      </c>
      <c r="N59" s="846"/>
      <c r="O59" s="772">
        <v>0</v>
      </c>
      <c r="P59" s="738">
        <v>-1.37E-2</v>
      </c>
      <c r="Q59" s="785"/>
      <c r="R59" s="842"/>
      <c r="S59" s="738"/>
      <c r="U59" s="48"/>
    </row>
    <row r="60" spans="1:22" ht="21.95" customHeight="1" x14ac:dyDescent="0.25">
      <c r="A60" s="50"/>
      <c r="B60" s="50"/>
      <c r="C60" s="51"/>
      <c r="D60" s="793"/>
      <c r="E60" s="22" t="s">
        <v>742</v>
      </c>
      <c r="F60" s="2">
        <v>72.28</v>
      </c>
      <c r="G60" s="785">
        <v>72.28</v>
      </c>
      <c r="H60" s="793">
        <v>0</v>
      </c>
      <c r="I60" s="785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46" t="s">
        <v>1059</v>
      </c>
      <c r="O60" s="772">
        <v>0</v>
      </c>
      <c r="P60" s="738">
        <v>-1.6999999999999999E-3</v>
      </c>
      <c r="Q60" s="822">
        <v>17.694002447980417</v>
      </c>
      <c r="R60" s="842"/>
      <c r="S60" s="48"/>
      <c r="T60" s="48"/>
      <c r="V60" s="48"/>
    </row>
    <row r="61" spans="1:22" ht="21.95" customHeight="1" x14ac:dyDescent="0.25">
      <c r="A61" s="50"/>
      <c r="B61" s="50"/>
      <c r="C61" s="51"/>
      <c r="D61" s="793"/>
      <c r="E61" s="22" t="s">
        <v>34</v>
      </c>
      <c r="F61" s="2">
        <v>54.7</v>
      </c>
      <c r="G61" s="785">
        <v>54.7</v>
      </c>
      <c r="H61" s="751">
        <v>0</v>
      </c>
      <c r="I61" s="785">
        <v>0</v>
      </c>
      <c r="J61" s="360">
        <v>0</v>
      </c>
      <c r="K61" s="134">
        <v>0</v>
      </c>
      <c r="L61" s="360">
        <v>21137.586999999941</v>
      </c>
      <c r="M61">
        <v>0</v>
      </c>
      <c r="N61" s="846"/>
      <c r="O61" s="772">
        <v>0</v>
      </c>
      <c r="P61" s="738">
        <v>-3.1899999999999998E-2</v>
      </c>
      <c r="Q61" s="822"/>
      <c r="R61" s="842"/>
      <c r="S61" s="48"/>
    </row>
    <row r="62" spans="1:22" ht="21.95" customHeight="1" x14ac:dyDescent="0.25">
      <c r="A62" s="50"/>
      <c r="B62" s="50"/>
      <c r="C62" s="51"/>
      <c r="D62" s="793"/>
      <c r="E62" s="22" t="s">
        <v>172</v>
      </c>
      <c r="F62" s="2">
        <v>55.06</v>
      </c>
      <c r="G62" s="785">
        <v>55.06</v>
      </c>
      <c r="H62" s="824">
        <v>0</v>
      </c>
      <c r="I62" s="785">
        <v>0</v>
      </c>
      <c r="J62" s="360">
        <v>0</v>
      </c>
      <c r="K62" s="134">
        <v>0</v>
      </c>
      <c r="L62" s="360">
        <v>119.92000000000053</v>
      </c>
      <c r="M62">
        <v>0</v>
      </c>
      <c r="N62" s="846"/>
      <c r="O62" s="772">
        <v>3.6400000000000002E-2</v>
      </c>
      <c r="P62" s="738">
        <v>5.0000000000000001E-4</v>
      </c>
      <c r="Q62" s="785"/>
      <c r="R62" s="842"/>
      <c r="S62" s="48"/>
    </row>
    <row r="63" spans="1:22" ht="21.95" customHeight="1" x14ac:dyDescent="0.25">
      <c r="A63" s="50"/>
      <c r="B63" s="50"/>
      <c r="C63" s="51"/>
      <c r="D63" s="793"/>
      <c r="E63" s="22" t="s">
        <v>27</v>
      </c>
      <c r="F63" s="2">
        <v>54.81</v>
      </c>
      <c r="G63" s="785">
        <v>54.81</v>
      </c>
      <c r="H63" s="751">
        <v>0</v>
      </c>
      <c r="I63" s="785">
        <v>0</v>
      </c>
      <c r="J63" s="360">
        <v>0</v>
      </c>
      <c r="K63" s="134">
        <v>0</v>
      </c>
      <c r="L63" s="360">
        <v>1407.5400000000009</v>
      </c>
      <c r="M63">
        <v>0</v>
      </c>
      <c r="N63" s="846"/>
      <c r="O63" s="772">
        <v>3.0200000000000001E-2</v>
      </c>
      <c r="P63" s="738">
        <v>3.0999999999999999E-3</v>
      </c>
      <c r="Q63" s="822"/>
      <c r="R63" s="842"/>
    </row>
    <row r="64" spans="1:22" ht="21.95" customHeight="1" x14ac:dyDescent="0.25">
      <c r="A64" s="50"/>
      <c r="B64" s="50"/>
      <c r="C64" s="51"/>
      <c r="D64" s="793"/>
      <c r="E64" s="22" t="s">
        <v>22</v>
      </c>
      <c r="F64" s="2">
        <v>65.17</v>
      </c>
      <c r="G64" s="785">
        <v>65.17</v>
      </c>
      <c r="H64" s="793">
        <v>0</v>
      </c>
      <c r="I64" s="785">
        <v>0</v>
      </c>
      <c r="J64" s="360">
        <v>0</v>
      </c>
      <c r="K64" s="134">
        <v>0</v>
      </c>
      <c r="L64" s="360">
        <v>3178.8000000000466</v>
      </c>
      <c r="M64">
        <v>0</v>
      </c>
      <c r="N64" s="819"/>
      <c r="O64" s="772">
        <v>2.07E-2</v>
      </c>
      <c r="P64" s="738">
        <v>2.4500000000000001E-2</v>
      </c>
      <c r="Q64" s="785"/>
      <c r="R64" s="842"/>
      <c r="T64" s="48"/>
      <c r="U64" s="48"/>
    </row>
    <row r="65" spans="1:25" ht="21.95" customHeight="1" x14ac:dyDescent="0.25">
      <c r="A65" s="51"/>
      <c r="B65" s="51"/>
      <c r="C65" s="51"/>
      <c r="D65" s="793"/>
      <c r="E65" s="22" t="s">
        <v>42</v>
      </c>
      <c r="F65" s="2">
        <v>142.49</v>
      </c>
      <c r="G65" s="785">
        <v>142.49</v>
      </c>
      <c r="H65" s="751">
        <v>0</v>
      </c>
      <c r="I65" s="785">
        <v>0</v>
      </c>
      <c r="J65" s="360">
        <v>0</v>
      </c>
      <c r="K65" s="134">
        <v>0</v>
      </c>
      <c r="L65" s="360">
        <v>128.08999999999833</v>
      </c>
      <c r="M65">
        <v>0</v>
      </c>
      <c r="N65" s="846"/>
      <c r="O65" s="772">
        <v>2.18E-2</v>
      </c>
      <c r="P65" s="738">
        <v>8.3000000000000001E-3</v>
      </c>
      <c r="Q65" s="785"/>
      <c r="R65" s="842"/>
      <c r="S65" s="738"/>
    </row>
    <row r="66" spans="1:25" ht="21.95" customHeight="1" x14ac:dyDescent="0.25">
      <c r="A66" s="50"/>
      <c r="B66" s="50"/>
      <c r="C66" s="51"/>
      <c r="D66" s="793"/>
      <c r="E66" s="22" t="s">
        <v>268</v>
      </c>
      <c r="F66" s="2">
        <v>52.49</v>
      </c>
      <c r="G66" s="785">
        <v>52.49</v>
      </c>
      <c r="H66" s="824">
        <v>0</v>
      </c>
      <c r="I66" s="785">
        <v>0</v>
      </c>
      <c r="J66" s="360">
        <v>0</v>
      </c>
      <c r="K66" s="134">
        <v>0</v>
      </c>
      <c r="L66" s="785">
        <v>427.92000000000007</v>
      </c>
      <c r="M66">
        <v>0</v>
      </c>
      <c r="N66" s="846"/>
      <c r="O66" s="772">
        <v>0</v>
      </c>
      <c r="P66" s="738">
        <v>2.0000000000000001E-4</v>
      </c>
      <c r="Q66" s="822"/>
      <c r="R66" s="842"/>
      <c r="S66" s="48"/>
      <c r="T66" s="347"/>
      <c r="U66" s="347"/>
    </row>
    <row r="67" spans="1:25" ht="21.95" customHeight="1" x14ac:dyDescent="0.25">
      <c r="A67" s="50"/>
      <c r="B67" s="50"/>
      <c r="C67" s="51"/>
      <c r="D67" s="793"/>
      <c r="E67" s="22" t="s">
        <v>170</v>
      </c>
      <c r="F67" s="2">
        <v>99.71</v>
      </c>
      <c r="G67" s="785">
        <v>99.71</v>
      </c>
      <c r="H67" s="751">
        <v>0</v>
      </c>
      <c r="I67" s="785">
        <v>0</v>
      </c>
      <c r="J67" s="360">
        <v>0</v>
      </c>
      <c r="K67" s="134">
        <v>0</v>
      </c>
      <c r="L67" s="785">
        <v>1368.9000000000015</v>
      </c>
      <c r="M67">
        <v>0</v>
      </c>
      <c r="N67" s="819"/>
      <c r="O67" s="772">
        <v>1.14E-2</v>
      </c>
      <c r="P67" s="738">
        <v>8.8000000000000005E-3</v>
      </c>
      <c r="Q67" s="785"/>
      <c r="R67" s="842"/>
      <c r="S67" s="738"/>
      <c r="T67" s="48"/>
    </row>
    <row r="68" spans="1:25" ht="21.95" customHeight="1" x14ac:dyDescent="0.25">
      <c r="A68" s="50"/>
      <c r="B68" s="50"/>
      <c r="C68" s="51"/>
      <c r="D68" s="793"/>
      <c r="E68" s="22" t="s">
        <v>8</v>
      </c>
      <c r="F68" s="2">
        <v>83.97</v>
      </c>
      <c r="G68" s="785">
        <v>83.97</v>
      </c>
      <c r="H68" s="793">
        <v>0</v>
      </c>
      <c r="I68" s="785">
        <v>0</v>
      </c>
      <c r="J68" s="360">
        <v>0</v>
      </c>
      <c r="K68" s="134">
        <v>0</v>
      </c>
      <c r="L68" s="785">
        <v>121.94999999999982</v>
      </c>
      <c r="M68">
        <v>0</v>
      </c>
      <c r="N68" s="846"/>
      <c r="O68" s="772">
        <v>1.67E-2</v>
      </c>
      <c r="P68" s="738">
        <v>9.4999999999999998E-3</v>
      </c>
      <c r="Q68" s="785"/>
      <c r="R68" s="842"/>
      <c r="U68" s="48"/>
    </row>
    <row r="69" spans="1:25" ht="21.95" customHeight="1" x14ac:dyDescent="0.25">
      <c r="A69" s="51"/>
      <c r="B69" s="51"/>
      <c r="C69" s="51"/>
      <c r="D69" s="793"/>
      <c r="E69" s="22" t="s">
        <v>10</v>
      </c>
      <c r="F69" s="2">
        <v>50.71</v>
      </c>
      <c r="G69" s="785">
        <v>50.71</v>
      </c>
      <c r="H69" s="793">
        <v>0</v>
      </c>
      <c r="I69" s="785">
        <v>0</v>
      </c>
      <c r="J69" s="360">
        <v>0</v>
      </c>
      <c r="K69" s="134">
        <v>0</v>
      </c>
      <c r="L69" s="360">
        <v>1128.3800000000047</v>
      </c>
      <c r="M69">
        <v>0</v>
      </c>
      <c r="N69" s="846"/>
      <c r="O69" s="772">
        <v>1.2500000000000001E-2</v>
      </c>
      <c r="P69" s="738">
        <v>1.04E-2</v>
      </c>
      <c r="Q69" s="785"/>
      <c r="R69" s="842"/>
      <c r="S69" s="738"/>
      <c r="T69" s="48"/>
    </row>
    <row r="70" spans="1:25" ht="21.95" customHeight="1" x14ac:dyDescent="0.25">
      <c r="A70" s="50"/>
      <c r="B70" s="50"/>
      <c r="C70" s="51"/>
      <c r="D70" s="793"/>
      <c r="E70" s="22" t="s">
        <v>223</v>
      </c>
      <c r="F70" s="2">
        <v>41.1</v>
      </c>
      <c r="G70" s="785">
        <v>41.1</v>
      </c>
      <c r="H70" s="793">
        <v>0</v>
      </c>
      <c r="I70" s="785">
        <v>0</v>
      </c>
      <c r="J70" s="360">
        <v>0</v>
      </c>
      <c r="K70" s="134">
        <v>0</v>
      </c>
      <c r="L70" s="360">
        <v>4376.9599999999991</v>
      </c>
      <c r="M70">
        <v>0</v>
      </c>
      <c r="N70" s="819"/>
      <c r="O70" s="772">
        <v>4.0899999999999999E-2</v>
      </c>
      <c r="P70" s="738">
        <v>1.3599999999999999E-2</v>
      </c>
      <c r="Q70" s="822"/>
      <c r="R70" s="842"/>
      <c r="S70" s="738"/>
      <c r="U70" s="48"/>
    </row>
    <row r="71" spans="1:25" ht="21.95" customHeight="1" x14ac:dyDescent="0.25">
      <c r="A71" s="50"/>
      <c r="B71" s="50"/>
      <c r="C71" s="51"/>
      <c r="D71" s="793"/>
      <c r="E71" s="22" t="s">
        <v>342</v>
      </c>
      <c r="F71" s="2">
        <v>75.83</v>
      </c>
      <c r="G71" s="785">
        <v>75.83</v>
      </c>
      <c r="H71" s="793">
        <v>0</v>
      </c>
      <c r="I71" s="785">
        <v>0</v>
      </c>
      <c r="J71" s="360">
        <v>129.92000000000007</v>
      </c>
      <c r="K71" s="134">
        <v>0</v>
      </c>
      <c r="L71" s="360">
        <v>2190.3500000000004</v>
      </c>
      <c r="M71">
        <v>0</v>
      </c>
      <c r="N71" s="846">
        <v>43243</v>
      </c>
      <c r="O71" s="772">
        <v>4.3499999999999997E-2</v>
      </c>
      <c r="P71" s="738">
        <v>8.0999999999999996E-3</v>
      </c>
      <c r="Q71" s="785">
        <v>14.443809523809524</v>
      </c>
      <c r="R71" s="842"/>
      <c r="S71" s="738"/>
    </row>
    <row r="72" spans="1:25" ht="21.95" customHeight="1" x14ac:dyDescent="0.25">
      <c r="A72" s="50"/>
      <c r="B72" s="50"/>
      <c r="C72" s="51"/>
      <c r="D72" s="793"/>
      <c r="E72" s="22" t="s">
        <v>24</v>
      </c>
      <c r="F72" s="2">
        <v>66.709999999999994</v>
      </c>
      <c r="G72" s="785">
        <v>66.709999999999994</v>
      </c>
      <c r="H72" s="793">
        <v>0</v>
      </c>
      <c r="I72" s="785">
        <v>0</v>
      </c>
      <c r="J72" s="360">
        <v>0</v>
      </c>
      <c r="K72" s="134">
        <v>0</v>
      </c>
      <c r="L72" s="360">
        <v>937.36999999999534</v>
      </c>
      <c r="M72">
        <v>0</v>
      </c>
      <c r="N72" s="846"/>
      <c r="O72" s="772">
        <v>0</v>
      </c>
      <c r="P72" s="738">
        <v>1.38E-2</v>
      </c>
      <c r="Q72" s="785"/>
      <c r="R72" s="842"/>
      <c r="S72" s="48"/>
      <c r="T72" s="48"/>
      <c r="U72" s="48"/>
    </row>
    <row r="73" spans="1:25" ht="21.95" customHeight="1" x14ac:dyDescent="0.25">
      <c r="A73" s="154"/>
      <c r="B73" s="50"/>
      <c r="C73" s="51"/>
      <c r="D73" s="793"/>
      <c r="E73" s="22" t="s">
        <v>45</v>
      </c>
      <c r="F73" s="2">
        <v>95</v>
      </c>
      <c r="G73" s="785">
        <v>95</v>
      </c>
      <c r="H73" s="793">
        <v>0</v>
      </c>
      <c r="I73" s="785">
        <v>0</v>
      </c>
      <c r="J73" s="360">
        <v>0</v>
      </c>
      <c r="K73" s="134">
        <v>0</v>
      </c>
      <c r="L73" s="360">
        <v>523.61999999999898</v>
      </c>
      <c r="M73">
        <v>0</v>
      </c>
      <c r="N73" s="846"/>
      <c r="O73" s="772">
        <v>1.67E-2</v>
      </c>
      <c r="P73" s="738">
        <v>-6.4999999999999997E-3</v>
      </c>
      <c r="Q73" s="785"/>
      <c r="R73" s="842"/>
      <c r="S73" s="48"/>
      <c r="T73" s="48"/>
    </row>
    <row r="74" spans="1:25" ht="21.95" customHeight="1" x14ac:dyDescent="0.25">
      <c r="A74" s="50"/>
      <c r="B74" s="50"/>
      <c r="C74" s="50"/>
      <c r="D74" s="793"/>
      <c r="E74" s="22" t="s">
        <v>47</v>
      </c>
      <c r="F74" s="2">
        <v>152.47999999999999</v>
      </c>
      <c r="G74" s="785">
        <v>152.47999999999999</v>
      </c>
      <c r="H74" s="793">
        <v>0</v>
      </c>
      <c r="I74" s="785">
        <v>0</v>
      </c>
      <c r="J74" s="360">
        <v>0</v>
      </c>
      <c r="K74" s="134">
        <v>0</v>
      </c>
      <c r="L74" s="360">
        <v>-168.6200000000008</v>
      </c>
      <c r="M74">
        <v>0</v>
      </c>
      <c r="N74" s="846"/>
      <c r="O74" s="772">
        <v>2.18E-2</v>
      </c>
      <c r="P74" s="738">
        <v>1.0800000000000001E-2</v>
      </c>
      <c r="Q74" s="785"/>
      <c r="R74" s="842"/>
      <c r="S74" s="48"/>
    </row>
    <row r="75" spans="1:25" ht="21.95" customHeight="1" x14ac:dyDescent="0.25">
      <c r="A75" s="51"/>
      <c r="B75" s="51"/>
      <c r="C75" s="51"/>
      <c r="D75" s="793"/>
      <c r="E75" s="22" t="s">
        <v>33</v>
      </c>
      <c r="F75" s="2">
        <v>239.45</v>
      </c>
      <c r="G75" s="785">
        <v>239.45</v>
      </c>
      <c r="H75" s="793">
        <v>0</v>
      </c>
      <c r="I75" s="785">
        <v>0</v>
      </c>
      <c r="J75" s="360">
        <v>0</v>
      </c>
      <c r="K75" s="134">
        <v>0</v>
      </c>
      <c r="L75" s="360">
        <v>780.73999999999796</v>
      </c>
      <c r="M75">
        <v>0</v>
      </c>
      <c r="N75" s="846"/>
      <c r="O75" s="772">
        <v>1.8599999999999998E-2</v>
      </c>
      <c r="P75" s="738">
        <v>-4.4000000000000003E-3</v>
      </c>
      <c r="Q75" s="785"/>
      <c r="R75" s="842"/>
      <c r="S75" s="48"/>
      <c r="T75" s="48"/>
      <c r="V75" s="48"/>
    </row>
    <row r="76" spans="1:25" ht="21.95" customHeight="1" x14ac:dyDescent="0.25">
      <c r="A76" s="51"/>
      <c r="B76" s="51"/>
      <c r="C76" s="51"/>
      <c r="D76" s="793"/>
      <c r="E76" s="22" t="s">
        <v>13</v>
      </c>
      <c r="F76" s="2">
        <v>69.489999999999995</v>
      </c>
      <c r="G76" s="785">
        <v>69.489999999999995</v>
      </c>
      <c r="H76" s="793">
        <v>0</v>
      </c>
      <c r="I76" s="785">
        <v>0</v>
      </c>
      <c r="J76" s="360">
        <v>0</v>
      </c>
      <c r="K76" s="134">
        <v>0</v>
      </c>
      <c r="L76" s="360">
        <v>1461.5600000000013</v>
      </c>
      <c r="M76">
        <v>0</v>
      </c>
      <c r="N76" s="819"/>
      <c r="O76" s="772">
        <v>0</v>
      </c>
      <c r="P76" s="738">
        <v>-3.5999999999999999E-3</v>
      </c>
      <c r="Q76" s="785"/>
      <c r="R76" s="842"/>
      <c r="S76" s="738"/>
    </row>
    <row r="77" spans="1:25" ht="21.95" customHeight="1" x14ac:dyDescent="0.25">
      <c r="A77" s="50"/>
      <c r="B77" s="50"/>
      <c r="C77" s="51"/>
      <c r="D77" s="793"/>
      <c r="E77" s="22" t="s">
        <v>52</v>
      </c>
      <c r="F77" s="2">
        <v>54.33</v>
      </c>
      <c r="G77" s="785">
        <v>54.33</v>
      </c>
      <c r="H77" s="751">
        <v>0</v>
      </c>
      <c r="I77" s="785">
        <v>0</v>
      </c>
      <c r="J77" s="360">
        <v>0</v>
      </c>
      <c r="K77" s="134">
        <v>0</v>
      </c>
      <c r="L77" s="785">
        <v>1056.739999999998</v>
      </c>
      <c r="M77">
        <v>0</v>
      </c>
      <c r="N77" s="846"/>
      <c r="O77" s="772">
        <v>2.1999999999999999E-2</v>
      </c>
      <c r="P77" s="738">
        <v>-3.3E-3</v>
      </c>
      <c r="Q77" s="822"/>
      <c r="R77" s="842"/>
      <c r="S77" s="738"/>
      <c r="T77" s="48"/>
    </row>
    <row r="78" spans="1:25" ht="21.95" customHeight="1" x14ac:dyDescent="0.25">
      <c r="A78" s="51"/>
      <c r="B78" s="51"/>
      <c r="C78" s="51"/>
      <c r="D78" s="793"/>
      <c r="E78" s="22" t="s">
        <v>63</v>
      </c>
      <c r="F78" s="2">
        <v>104.34</v>
      </c>
      <c r="G78" s="785">
        <v>104.34</v>
      </c>
      <c r="H78" s="793">
        <v>0</v>
      </c>
      <c r="I78" s="785">
        <v>0</v>
      </c>
      <c r="J78" s="360">
        <v>0</v>
      </c>
      <c r="K78" s="134">
        <v>0</v>
      </c>
      <c r="L78" s="360">
        <v>257.30999999999949</v>
      </c>
      <c r="M78">
        <v>0</v>
      </c>
      <c r="N78" s="846"/>
      <c r="O78" s="772">
        <v>1.38E-2</v>
      </c>
      <c r="P78" s="738">
        <v>-6.7000000000000002E-3</v>
      </c>
      <c r="Q78" s="822"/>
      <c r="R78" s="842"/>
      <c r="S78" s="48"/>
    </row>
    <row r="79" spans="1:25" ht="21.95" customHeight="1" x14ac:dyDescent="0.25">
      <c r="A79" s="50"/>
      <c r="B79" s="50"/>
      <c r="C79" s="51"/>
      <c r="D79" s="793"/>
      <c r="E79" s="22" t="s">
        <v>9</v>
      </c>
      <c r="F79" s="2">
        <v>9.2899999999999991</v>
      </c>
      <c r="G79" s="785">
        <v>9.2899999999999991</v>
      </c>
      <c r="H79" s="793">
        <v>0</v>
      </c>
      <c r="I79" s="785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46"/>
      <c r="O79" s="772">
        <v>0.04</v>
      </c>
      <c r="P79" s="738">
        <v>-9.5999999999999992E-3</v>
      </c>
      <c r="Q79" s="785"/>
      <c r="R79" s="842"/>
      <c r="S79" s="738"/>
      <c r="T79" s="48"/>
      <c r="Y79" s="48"/>
    </row>
    <row r="80" spans="1:25" ht="21.95" customHeight="1" x14ac:dyDescent="0.25">
      <c r="A80" s="50"/>
      <c r="B80" s="50"/>
      <c r="C80" s="51"/>
      <c r="D80" s="793"/>
      <c r="E80" s="22" t="s">
        <v>53</v>
      </c>
      <c r="F80" s="2">
        <v>75.52</v>
      </c>
      <c r="G80" s="785">
        <v>75.52</v>
      </c>
      <c r="H80" s="793">
        <v>0</v>
      </c>
      <c r="I80" s="785">
        <v>0</v>
      </c>
      <c r="J80" s="360">
        <v>0</v>
      </c>
      <c r="K80" s="134">
        <v>0</v>
      </c>
      <c r="L80" s="360">
        <v>33.940000000000055</v>
      </c>
      <c r="M80">
        <v>0</v>
      </c>
      <c r="N80" s="846"/>
      <c r="O80" s="772">
        <v>7.4000000000000003E-3</v>
      </c>
      <c r="P80" s="738">
        <v>1.34E-2</v>
      </c>
      <c r="Q80" s="785"/>
      <c r="R80" s="842"/>
      <c r="S80" s="48"/>
      <c r="U80" s="48"/>
    </row>
    <row r="81" spans="1:18" ht="21.95" customHeight="1" x14ac:dyDescent="0.25">
      <c r="A81" s="50"/>
      <c r="B81" s="50"/>
      <c r="C81" s="51"/>
      <c r="D81" s="793"/>
      <c r="E81" s="22" t="s">
        <v>56</v>
      </c>
      <c r="F81" s="2">
        <v>38.299999999999997</v>
      </c>
      <c r="G81" s="785">
        <v>38.299999999999997</v>
      </c>
      <c r="H81" s="793">
        <v>0</v>
      </c>
      <c r="I81" s="785">
        <v>0</v>
      </c>
      <c r="J81" s="360">
        <v>0</v>
      </c>
      <c r="K81" s="134">
        <v>0</v>
      </c>
      <c r="L81" s="360">
        <v>36.819999999999709</v>
      </c>
      <c r="M81">
        <v>0</v>
      </c>
      <c r="N81" s="846"/>
      <c r="O81" s="772">
        <v>4.2999999999999997E-2</v>
      </c>
      <c r="P81" s="738">
        <v>7.1000000000000004E-3</v>
      </c>
      <c r="Q81" s="785"/>
      <c r="R81" s="842"/>
    </row>
    <row r="82" spans="1:18" ht="21.95" customHeight="1" x14ac:dyDescent="0.25">
      <c r="A82" s="50"/>
      <c r="B82" s="50"/>
      <c r="C82" s="51"/>
      <c r="D82" s="793"/>
      <c r="E82" s="22" t="s">
        <v>0</v>
      </c>
      <c r="F82" s="2">
        <v>211.01</v>
      </c>
      <c r="G82" s="785">
        <v>211.01</v>
      </c>
      <c r="H82" s="751">
        <v>0</v>
      </c>
      <c r="I82" s="785">
        <v>0</v>
      </c>
      <c r="J82" s="360">
        <v>0</v>
      </c>
      <c r="K82" s="134">
        <v>0</v>
      </c>
      <c r="L82" s="360">
        <v>465.57999999999993</v>
      </c>
      <c r="M82">
        <v>0</v>
      </c>
      <c r="N82" s="846"/>
      <c r="O82" s="772">
        <v>3.8999999999999998E-3</v>
      </c>
      <c r="P82" s="738">
        <v>2.0999999999999999E-3</v>
      </c>
      <c r="Q82" s="785"/>
      <c r="R82" s="842"/>
    </row>
    <row r="83" spans="1:18" ht="21.95" customHeight="1" x14ac:dyDescent="0.25">
      <c r="A83" s="50"/>
      <c r="B83" s="50"/>
      <c r="C83" s="51"/>
      <c r="D83" s="793"/>
      <c r="E83" s="22" t="s">
        <v>39</v>
      </c>
      <c r="F83" s="2">
        <v>49.45</v>
      </c>
      <c r="G83" s="785">
        <v>49.45</v>
      </c>
      <c r="H83" s="751">
        <v>0</v>
      </c>
      <c r="I83" s="785">
        <v>0</v>
      </c>
      <c r="J83" s="360">
        <v>0</v>
      </c>
      <c r="K83" s="134">
        <v>0</v>
      </c>
      <c r="L83" s="360">
        <v>529.88000000000284</v>
      </c>
      <c r="M83">
        <v>0</v>
      </c>
      <c r="N83" s="846"/>
      <c r="O83" s="772">
        <v>2.3E-2</v>
      </c>
      <c r="P83" s="738">
        <v>6.1000000000000004E-3</v>
      </c>
      <c r="Q83" s="822"/>
      <c r="R83" s="842"/>
    </row>
    <row r="84" spans="1:18" ht="21.95" customHeight="1" x14ac:dyDescent="0.25">
      <c r="A84" s="50"/>
      <c r="B84" s="50"/>
      <c r="C84" s="51"/>
      <c r="D84" s="793"/>
      <c r="E84" s="22" t="s">
        <v>54</v>
      </c>
      <c r="F84" s="2">
        <v>124.61</v>
      </c>
      <c r="G84" s="785">
        <v>124.61</v>
      </c>
      <c r="H84" s="793">
        <v>0</v>
      </c>
      <c r="I84" s="785">
        <v>0</v>
      </c>
      <c r="J84" s="360">
        <v>0</v>
      </c>
      <c r="K84" s="134">
        <v>0</v>
      </c>
      <c r="L84" s="360">
        <v>114.84999999999991</v>
      </c>
      <c r="M84">
        <v>0</v>
      </c>
      <c r="N84" s="846"/>
      <c r="O84" s="772">
        <v>2.35E-2</v>
      </c>
      <c r="P84" s="738">
        <v>-1.4E-3</v>
      </c>
      <c r="Q84" s="822"/>
      <c r="R84" s="842"/>
    </row>
    <row r="85" spans="1:18" ht="21.95" customHeight="1" x14ac:dyDescent="0.25">
      <c r="A85" s="50"/>
      <c r="B85" s="51"/>
      <c r="C85" s="51"/>
      <c r="D85" s="793"/>
      <c r="E85" s="22" t="s">
        <v>51</v>
      </c>
      <c r="F85" s="2">
        <v>242.96</v>
      </c>
      <c r="G85" s="785">
        <v>242.96</v>
      </c>
      <c r="H85" s="793">
        <v>0</v>
      </c>
      <c r="I85" s="785">
        <v>0</v>
      </c>
      <c r="J85" s="360">
        <v>0</v>
      </c>
      <c r="K85" s="134">
        <v>0</v>
      </c>
      <c r="L85" s="360">
        <v>176.70000000000073</v>
      </c>
      <c r="M85">
        <v>0</v>
      </c>
      <c r="N85" s="846"/>
      <c r="O85" s="772">
        <v>1.52E-2</v>
      </c>
      <c r="P85" s="738">
        <v>5.0000000000000001E-3</v>
      </c>
      <c r="Q85" s="822"/>
      <c r="R85" s="842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116">
    <sortCondition descending="1" ref="I1"/>
  </sortState>
  <dataConsolidate/>
  <conditionalFormatting sqref="O70:O71 O1 O79:O1048576">
    <cfRule type="expression" dxfId="2792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1" priority="414">
      <formula>$H2=0</formula>
    </cfRule>
  </conditionalFormatting>
  <conditionalFormatting sqref="J2:K4 J70:K71 J6:K6 J21:K58 J12:K19 J86:K200">
    <cfRule type="expression" dxfId="2790" priority="415">
      <formula>$J2=0</formula>
    </cfRule>
  </conditionalFormatting>
  <conditionalFormatting sqref="L70:L71 L1:L6 L86:L1048576 L8:L58">
    <cfRule type="expression" dxfId="2789" priority="413">
      <formula>$L2=0</formula>
    </cfRule>
  </conditionalFormatting>
  <conditionalFormatting sqref="M1">
    <cfRule type="expression" dxfId="2788" priority="409">
      <formula>$L2=0</formula>
    </cfRule>
  </conditionalFormatting>
  <conditionalFormatting sqref="J2:K4 J6:K6 J21:K58 J12:K19">
    <cfRule type="expression" dxfId="2787" priority="457">
      <formula>$J2&gt;0</formula>
    </cfRule>
  </conditionalFormatting>
  <conditionalFormatting sqref="L2:L6 L8:L58">
    <cfRule type="expression" dxfId="2786" priority="411">
      <formula>$L2&lt;0</formula>
    </cfRule>
    <cfRule type="expression" dxfId="2785" priority="412">
      <formula>$L2&gt;0</formula>
    </cfRule>
  </conditionalFormatting>
  <conditionalFormatting sqref="J2:K4 J70:K71 J6:K6 J21:K58 J12:K19 J86:K458">
    <cfRule type="expression" dxfId="2784" priority="456">
      <formula>$J2&lt;0</formula>
    </cfRule>
  </conditionalFormatting>
  <conditionalFormatting sqref="E59 I59">
    <cfRule type="expression" dxfId="2783" priority="385">
      <formula>$H59=0</formula>
    </cfRule>
  </conditionalFormatting>
  <conditionalFormatting sqref="J59:K59">
    <cfRule type="expression" dxfId="2782" priority="386">
      <formula>$J59=0</formula>
    </cfRule>
  </conditionalFormatting>
  <conditionalFormatting sqref="L59">
    <cfRule type="expression" dxfId="2781" priority="384">
      <formula>$L60=0</formula>
    </cfRule>
  </conditionalFormatting>
  <conditionalFormatting sqref="J59:K59">
    <cfRule type="expression" dxfId="2780" priority="388">
      <formula>$J59&gt;0</formula>
    </cfRule>
  </conditionalFormatting>
  <conditionalFormatting sqref="L59">
    <cfRule type="expression" dxfId="2779" priority="382">
      <formula>$L59&lt;0</formula>
    </cfRule>
    <cfRule type="expression" dxfId="2778" priority="383">
      <formula>$L59&gt;0</formula>
    </cfRule>
  </conditionalFormatting>
  <conditionalFormatting sqref="J59:K59">
    <cfRule type="expression" dxfId="2777" priority="387">
      <formula>$J59&lt;0</formula>
    </cfRule>
  </conditionalFormatting>
  <conditionalFormatting sqref="E5 I5">
    <cfRule type="expression" dxfId="2776" priority="363">
      <formula>$H5=0</formula>
    </cfRule>
  </conditionalFormatting>
  <conditionalFormatting sqref="J5:K5">
    <cfRule type="expression" dxfId="2775" priority="364">
      <formula>$J5=0</formula>
    </cfRule>
  </conditionalFormatting>
  <conditionalFormatting sqref="J5:K5">
    <cfRule type="expression" dxfId="2774" priority="366">
      <formula>$J5&gt;0</formula>
    </cfRule>
  </conditionalFormatting>
  <conditionalFormatting sqref="J5:K5">
    <cfRule type="expression" dxfId="2773" priority="365">
      <formula>$J5&lt;0</formula>
    </cfRule>
  </conditionalFormatting>
  <conditionalFormatting sqref="E60 I60">
    <cfRule type="expression" dxfId="2772" priority="341">
      <formula>$H60=0</formula>
    </cfRule>
  </conditionalFormatting>
  <conditionalFormatting sqref="J60:K60">
    <cfRule type="expression" dxfId="2771" priority="342">
      <formula>$J60=0</formula>
    </cfRule>
  </conditionalFormatting>
  <conditionalFormatting sqref="L60">
    <cfRule type="expression" dxfId="2770" priority="340">
      <formula>$L61=0</formula>
    </cfRule>
  </conditionalFormatting>
  <conditionalFormatting sqref="J60:K60">
    <cfRule type="expression" dxfId="2769" priority="344">
      <formula>$J60&gt;0</formula>
    </cfRule>
  </conditionalFormatting>
  <conditionalFormatting sqref="L60">
    <cfRule type="expression" dxfId="2768" priority="338">
      <formula>$L60&lt;0</formula>
    </cfRule>
    <cfRule type="expression" dxfId="2767" priority="339">
      <formula>$L60&gt;0</formula>
    </cfRule>
  </conditionalFormatting>
  <conditionalFormatting sqref="J60:K60">
    <cfRule type="expression" dxfId="2766" priority="343">
      <formula>$J60&lt;0</formula>
    </cfRule>
  </conditionalFormatting>
  <conditionalFormatting sqref="E62 I62">
    <cfRule type="expression" dxfId="2765" priority="330">
      <formula>$H62=0</formula>
    </cfRule>
  </conditionalFormatting>
  <conditionalFormatting sqref="J62:K62">
    <cfRule type="expression" dxfId="2764" priority="331">
      <formula>$J62=0</formula>
    </cfRule>
  </conditionalFormatting>
  <conditionalFormatting sqref="L62">
    <cfRule type="expression" dxfId="2763" priority="329">
      <formula>$L63=0</formula>
    </cfRule>
  </conditionalFormatting>
  <conditionalFormatting sqref="J62:K62">
    <cfRule type="expression" dxfId="2762" priority="333">
      <formula>$J62&gt;0</formula>
    </cfRule>
  </conditionalFormatting>
  <conditionalFormatting sqref="L62">
    <cfRule type="expression" dxfId="2761" priority="327">
      <formula>$L62&lt;0</formula>
    </cfRule>
    <cfRule type="expression" dxfId="2760" priority="328">
      <formula>$L62&gt;0</formula>
    </cfRule>
  </conditionalFormatting>
  <conditionalFormatting sqref="J62:K62">
    <cfRule type="expression" dxfId="2759" priority="332">
      <formula>$J62&lt;0</formula>
    </cfRule>
  </conditionalFormatting>
  <conditionalFormatting sqref="E61 I61">
    <cfRule type="expression" dxfId="2758" priority="319">
      <formula>$H61=0</formula>
    </cfRule>
  </conditionalFormatting>
  <conditionalFormatting sqref="J61:K61">
    <cfRule type="expression" dxfId="2757" priority="320">
      <formula>$J61=0</formula>
    </cfRule>
  </conditionalFormatting>
  <conditionalFormatting sqref="L61">
    <cfRule type="expression" dxfId="2756" priority="318">
      <formula>$L62=0</formula>
    </cfRule>
  </conditionalFormatting>
  <conditionalFormatting sqref="J61:K61">
    <cfRule type="expression" dxfId="2755" priority="322">
      <formula>$J61&gt;0</formula>
    </cfRule>
  </conditionalFormatting>
  <conditionalFormatting sqref="L61">
    <cfRule type="expression" dxfId="2754" priority="316">
      <formula>$L61&lt;0</formula>
    </cfRule>
    <cfRule type="expression" dxfId="2753" priority="317">
      <formula>$L61&gt;0</formula>
    </cfRule>
  </conditionalFormatting>
  <conditionalFormatting sqref="J61:K61">
    <cfRule type="expression" dxfId="2752" priority="321">
      <formula>$J61&lt;0</formula>
    </cfRule>
  </conditionalFormatting>
  <conditionalFormatting sqref="E8 I8">
    <cfRule type="expression" dxfId="2751" priority="304">
      <formula>$H8=0</formula>
    </cfRule>
  </conditionalFormatting>
  <conditionalFormatting sqref="J8:K8">
    <cfRule type="expression" dxfId="2750" priority="305">
      <formula>$J8=0</formula>
    </cfRule>
  </conditionalFormatting>
  <conditionalFormatting sqref="J8:K8">
    <cfRule type="expression" dxfId="2749" priority="307">
      <formula>$J8&gt;0</formula>
    </cfRule>
  </conditionalFormatting>
  <conditionalFormatting sqref="J8:K8">
    <cfRule type="expression" dxfId="2748" priority="306">
      <formula>$J8&lt;0</formula>
    </cfRule>
  </conditionalFormatting>
  <conditionalFormatting sqref="E63 I63">
    <cfRule type="expression" dxfId="2747" priority="294">
      <formula>$H63=0</formula>
    </cfRule>
  </conditionalFormatting>
  <conditionalFormatting sqref="J63:K63">
    <cfRule type="expression" dxfId="2746" priority="295">
      <formula>$J63=0</formula>
    </cfRule>
  </conditionalFormatting>
  <conditionalFormatting sqref="L63">
    <cfRule type="expression" dxfId="2745" priority="293">
      <formula>$L64=0</formula>
    </cfRule>
  </conditionalFormatting>
  <conditionalFormatting sqref="J63:K63">
    <cfRule type="expression" dxfId="2744" priority="297">
      <formula>$J63&gt;0</formula>
    </cfRule>
  </conditionalFormatting>
  <conditionalFormatting sqref="L63">
    <cfRule type="expression" dxfId="2743" priority="291">
      <formula>$L63&lt;0</formula>
    </cfRule>
    <cfRule type="expression" dxfId="2742" priority="292">
      <formula>$L63&gt;0</formula>
    </cfRule>
  </conditionalFormatting>
  <conditionalFormatting sqref="J63:K63">
    <cfRule type="expression" dxfId="2741" priority="296">
      <formula>$J63&lt;0</formula>
    </cfRule>
  </conditionalFormatting>
  <conditionalFormatting sqref="E20 I20">
    <cfRule type="expression" dxfId="2740" priority="284">
      <formula>$H20=0</formula>
    </cfRule>
  </conditionalFormatting>
  <conditionalFormatting sqref="J20:K20">
    <cfRule type="expression" dxfId="2739" priority="285">
      <formula>$J20=0</formula>
    </cfRule>
  </conditionalFormatting>
  <conditionalFormatting sqref="J20:K20">
    <cfRule type="expression" dxfId="2738" priority="287">
      <formula>$J20&gt;0</formula>
    </cfRule>
  </conditionalFormatting>
  <conditionalFormatting sqref="J20:K20">
    <cfRule type="expression" dxfId="2737" priority="286">
      <formula>$J20&lt;0</formula>
    </cfRule>
  </conditionalFormatting>
  <conditionalFormatting sqref="E64 I64">
    <cfRule type="expression" dxfId="2736" priority="275">
      <formula>$H64=0</formula>
    </cfRule>
  </conditionalFormatting>
  <conditionalFormatting sqref="J64:K64">
    <cfRule type="expression" dxfId="2735" priority="276">
      <formula>$J64=0</formula>
    </cfRule>
  </conditionalFormatting>
  <conditionalFormatting sqref="L64">
    <cfRule type="expression" dxfId="2734" priority="274">
      <formula>$L65=0</formula>
    </cfRule>
  </conditionalFormatting>
  <conditionalFormatting sqref="J64:K64">
    <cfRule type="expression" dxfId="2733" priority="278">
      <formula>$J64&gt;0</formula>
    </cfRule>
  </conditionalFormatting>
  <conditionalFormatting sqref="L64">
    <cfRule type="expression" dxfId="2732" priority="272">
      <formula>$L64&lt;0</formula>
    </cfRule>
    <cfRule type="expression" dxfId="2731" priority="273">
      <formula>$L64&gt;0</formula>
    </cfRule>
  </conditionalFormatting>
  <conditionalFormatting sqref="J64:K64">
    <cfRule type="expression" dxfId="2730" priority="277">
      <formula>$J64&lt;0</formula>
    </cfRule>
  </conditionalFormatting>
  <conditionalFormatting sqref="E65 I65">
    <cfRule type="expression" dxfId="2729" priority="268">
      <formula>$H65=0</formula>
    </cfRule>
  </conditionalFormatting>
  <conditionalFormatting sqref="J65:K65">
    <cfRule type="expression" dxfId="2728" priority="269">
      <formula>$J65=0</formula>
    </cfRule>
  </conditionalFormatting>
  <conditionalFormatting sqref="L65">
    <cfRule type="expression" dxfId="2727" priority="267">
      <formula>$L66=0</formula>
    </cfRule>
  </conditionalFormatting>
  <conditionalFormatting sqref="J65:K65">
    <cfRule type="expression" dxfId="2726" priority="271">
      <formula>$J65&gt;0</formula>
    </cfRule>
  </conditionalFormatting>
  <conditionalFormatting sqref="L65">
    <cfRule type="expression" dxfId="2725" priority="265">
      <formula>$L65&lt;0</formula>
    </cfRule>
    <cfRule type="expression" dxfId="2724" priority="266">
      <formula>$L65&gt;0</formula>
    </cfRule>
  </conditionalFormatting>
  <conditionalFormatting sqref="J65:K65">
    <cfRule type="expression" dxfId="2723" priority="270">
      <formula>$J65&lt;0</formula>
    </cfRule>
  </conditionalFormatting>
  <conditionalFormatting sqref="E11 I11">
    <cfRule type="expression" dxfId="2722" priority="259">
      <formula>$H11=0</formula>
    </cfRule>
  </conditionalFormatting>
  <conditionalFormatting sqref="J11:K11">
    <cfRule type="expression" dxfId="2721" priority="260">
      <formula>$J11=0</formula>
    </cfRule>
  </conditionalFormatting>
  <conditionalFormatting sqref="J11:K11">
    <cfRule type="expression" dxfId="2720" priority="262">
      <formula>$J11&gt;0</formula>
    </cfRule>
  </conditionalFormatting>
  <conditionalFormatting sqref="J11:K11">
    <cfRule type="expression" dxfId="2719" priority="261">
      <formula>$J11&lt;0</formula>
    </cfRule>
  </conditionalFormatting>
  <conditionalFormatting sqref="E9 I9">
    <cfRule type="expression" dxfId="2718" priority="252">
      <formula>$H9=0</formula>
    </cfRule>
  </conditionalFormatting>
  <conditionalFormatting sqref="J9:K9">
    <cfRule type="expression" dxfId="2717" priority="253">
      <formula>$J9=0</formula>
    </cfRule>
  </conditionalFormatting>
  <conditionalFormatting sqref="J9:K9">
    <cfRule type="expression" dxfId="2716" priority="255">
      <formula>$J9&gt;0</formula>
    </cfRule>
  </conditionalFormatting>
  <conditionalFormatting sqref="J9:K9">
    <cfRule type="expression" dxfId="2715" priority="254">
      <formula>$J9&lt;0</formula>
    </cfRule>
  </conditionalFormatting>
  <conditionalFormatting sqref="E66 I66">
    <cfRule type="expression" dxfId="2714" priority="243">
      <formula>$H66=0</formula>
    </cfRule>
  </conditionalFormatting>
  <conditionalFormatting sqref="J66:K66">
    <cfRule type="expression" dxfId="2713" priority="244">
      <formula>$J66=0</formula>
    </cfRule>
  </conditionalFormatting>
  <conditionalFormatting sqref="L66">
    <cfRule type="expression" dxfId="2712" priority="242">
      <formula>$L67=0</formula>
    </cfRule>
  </conditionalFormatting>
  <conditionalFormatting sqref="J66:K66">
    <cfRule type="expression" dxfId="2711" priority="246">
      <formula>$J66&gt;0</formula>
    </cfRule>
  </conditionalFormatting>
  <conditionalFormatting sqref="L66">
    <cfRule type="expression" dxfId="2710" priority="240">
      <formula>$L66&lt;0</formula>
    </cfRule>
    <cfRule type="expression" dxfId="2709" priority="241">
      <formula>$L66&gt;0</formula>
    </cfRule>
  </conditionalFormatting>
  <conditionalFormatting sqref="J66:K66">
    <cfRule type="expression" dxfId="2708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7" priority="234">
      <formula>$H10=0</formula>
    </cfRule>
  </conditionalFormatting>
  <conditionalFormatting sqref="J10:K10">
    <cfRule type="expression" dxfId="2706" priority="235">
      <formula>$J10=0</formula>
    </cfRule>
  </conditionalFormatting>
  <conditionalFormatting sqref="J10:K10">
    <cfRule type="expression" dxfId="2705" priority="237">
      <formula>$J10&gt;0</formula>
    </cfRule>
  </conditionalFormatting>
  <conditionalFormatting sqref="J10:K10">
    <cfRule type="expression" dxfId="2704" priority="236">
      <formula>$J10&lt;0</formula>
    </cfRule>
  </conditionalFormatting>
  <conditionalFormatting sqref="E26:E28 E30 E45:E49 E36:E43">
    <cfRule type="expression" dxfId="2703" priority="230">
      <formula>$H26=0</formula>
    </cfRule>
  </conditionalFormatting>
  <conditionalFormatting sqref="E29">
    <cfRule type="expression" dxfId="2702" priority="229">
      <formula>$H29=0</formula>
    </cfRule>
  </conditionalFormatting>
  <conditionalFormatting sqref="E31">
    <cfRule type="expression" dxfId="2701" priority="228">
      <formula>$H31=0</formula>
    </cfRule>
  </conditionalFormatting>
  <conditionalFormatting sqref="E32">
    <cfRule type="expression" dxfId="2700" priority="227">
      <formula>$H32=0</formula>
    </cfRule>
  </conditionalFormatting>
  <conditionalFormatting sqref="E44">
    <cfRule type="expression" dxfId="2699" priority="226">
      <formula>$H44=0</formula>
    </cfRule>
  </conditionalFormatting>
  <conditionalFormatting sqref="E35">
    <cfRule type="expression" dxfId="2698" priority="225">
      <formula>$H35=0</formula>
    </cfRule>
  </conditionalFormatting>
  <conditionalFormatting sqref="E33">
    <cfRule type="expression" dxfId="2697" priority="224">
      <formula>$H33=0</formula>
    </cfRule>
  </conditionalFormatting>
  <conditionalFormatting sqref="E34">
    <cfRule type="expression" dxfId="2696" priority="223">
      <formula>$H34=0</formula>
    </cfRule>
  </conditionalFormatting>
  <conditionalFormatting sqref="E67 I67">
    <cfRule type="expression" dxfId="2695" priority="219">
      <formula>$H67=0</formula>
    </cfRule>
  </conditionalFormatting>
  <conditionalFormatting sqref="J67:K67">
    <cfRule type="expression" dxfId="2694" priority="220">
      <formula>$J67=0</formula>
    </cfRule>
  </conditionalFormatting>
  <conditionalFormatting sqref="L67">
    <cfRule type="expression" dxfId="2693" priority="218">
      <formula>$L68=0</formula>
    </cfRule>
  </conditionalFormatting>
  <conditionalFormatting sqref="J67:K67">
    <cfRule type="expression" dxfId="2692" priority="222">
      <formula>$J67&gt;0</formula>
    </cfRule>
  </conditionalFormatting>
  <conditionalFormatting sqref="L67">
    <cfRule type="expression" dxfId="2691" priority="216">
      <formula>$L67&lt;0</formula>
    </cfRule>
    <cfRule type="expression" dxfId="2690" priority="217">
      <formula>$L67&gt;0</formula>
    </cfRule>
  </conditionalFormatting>
  <conditionalFormatting sqref="J67:K67">
    <cfRule type="expression" dxfId="2689" priority="221">
      <formula>$J67&lt;0</formula>
    </cfRule>
  </conditionalFormatting>
  <conditionalFormatting sqref="I69 E69:E70">
    <cfRule type="expression" dxfId="2688" priority="212">
      <formula>$H69=0</formula>
    </cfRule>
  </conditionalFormatting>
  <conditionalFormatting sqref="J69:K69">
    <cfRule type="expression" dxfId="2687" priority="213">
      <formula>$J69=0</formula>
    </cfRule>
  </conditionalFormatting>
  <conditionalFormatting sqref="L69">
    <cfRule type="expression" dxfId="2686" priority="211">
      <formula>$L70=0</formula>
    </cfRule>
  </conditionalFormatting>
  <conditionalFormatting sqref="J69:K69">
    <cfRule type="expression" dxfId="2685" priority="215">
      <formula>$J69&gt;0</formula>
    </cfRule>
  </conditionalFormatting>
  <conditionalFormatting sqref="L69">
    <cfRule type="expression" dxfId="2684" priority="209">
      <formula>$L69&lt;0</formula>
    </cfRule>
    <cfRule type="expression" dxfId="2683" priority="210">
      <formula>$L69&gt;0</formula>
    </cfRule>
  </conditionalFormatting>
  <conditionalFormatting sqref="J69:K69">
    <cfRule type="expression" dxfId="2682" priority="214">
      <formula>$J69&lt;0</formula>
    </cfRule>
  </conditionalFormatting>
  <conditionalFormatting sqref="E68 I68">
    <cfRule type="expression" dxfId="2681" priority="205">
      <formula>$H68=0</formula>
    </cfRule>
  </conditionalFormatting>
  <conditionalFormatting sqref="J68:K68">
    <cfRule type="expression" dxfId="2680" priority="206">
      <formula>$J68=0</formula>
    </cfRule>
  </conditionalFormatting>
  <conditionalFormatting sqref="L68">
    <cfRule type="expression" dxfId="2679" priority="204">
      <formula>$L69=0</formula>
    </cfRule>
  </conditionalFormatting>
  <conditionalFormatting sqref="J68:K68">
    <cfRule type="expression" dxfId="2678" priority="208">
      <formula>$J68&gt;0</formula>
    </cfRule>
  </conditionalFormatting>
  <conditionalFormatting sqref="L68">
    <cfRule type="expression" dxfId="2677" priority="202">
      <formula>$L68&lt;0</formula>
    </cfRule>
    <cfRule type="expression" dxfId="2676" priority="203">
      <formula>$L68&gt;0</formula>
    </cfRule>
  </conditionalFormatting>
  <conditionalFormatting sqref="J68:K68">
    <cfRule type="expression" dxfId="2675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4" priority="197">
      <formula>$H69=0</formula>
    </cfRule>
  </conditionalFormatting>
  <conditionalFormatting sqref="J69:K69">
    <cfRule type="expression" dxfId="2673" priority="198">
      <formula>$J69=0</formula>
    </cfRule>
  </conditionalFormatting>
  <conditionalFormatting sqref="L69">
    <cfRule type="expression" dxfId="2672" priority="196">
      <formula>$L70=0</formula>
    </cfRule>
  </conditionalFormatting>
  <conditionalFormatting sqref="J69:K69">
    <cfRule type="expression" dxfId="2671" priority="200">
      <formula>$J69&gt;0</formula>
    </cfRule>
  </conditionalFormatting>
  <conditionalFormatting sqref="L69">
    <cfRule type="expression" dxfId="2670" priority="194">
      <formula>$L69&lt;0</formula>
    </cfRule>
    <cfRule type="expression" dxfId="2669" priority="195">
      <formula>$L69&gt;0</formula>
    </cfRule>
  </conditionalFormatting>
  <conditionalFormatting sqref="J69:K69">
    <cfRule type="expression" dxfId="2668" priority="199">
      <formula>$J69&lt;0</formula>
    </cfRule>
  </conditionalFormatting>
  <conditionalFormatting sqref="E71 I71">
    <cfRule type="expression" dxfId="2667" priority="190">
      <formula>$H71=0</formula>
    </cfRule>
  </conditionalFormatting>
  <conditionalFormatting sqref="J71:K71">
    <cfRule type="expression" dxfId="2666" priority="191">
      <formula>$J71=0</formula>
    </cfRule>
  </conditionalFormatting>
  <conditionalFormatting sqref="L71">
    <cfRule type="expression" dxfId="2665" priority="189">
      <formula>$L72=0</formula>
    </cfRule>
  </conditionalFormatting>
  <conditionalFormatting sqref="J71:K71">
    <cfRule type="expression" dxfId="2664" priority="193">
      <formula>$J71&gt;0</formula>
    </cfRule>
  </conditionalFormatting>
  <conditionalFormatting sqref="L71">
    <cfRule type="expression" dxfId="2663" priority="187">
      <formula>$L71&lt;0</formula>
    </cfRule>
    <cfRule type="expression" dxfId="2662" priority="188">
      <formula>$L71&gt;0</formula>
    </cfRule>
  </conditionalFormatting>
  <conditionalFormatting sqref="J71:K71">
    <cfRule type="expression" dxfId="2661" priority="192">
      <formula>$J71&lt;0</formula>
    </cfRule>
  </conditionalFormatting>
  <conditionalFormatting sqref="I70">
    <cfRule type="expression" dxfId="2660" priority="183">
      <formula>$H70=0</formula>
    </cfRule>
  </conditionalFormatting>
  <conditionalFormatting sqref="J70:K70">
    <cfRule type="expression" dxfId="2659" priority="184">
      <formula>$J70=0</formula>
    </cfRule>
  </conditionalFormatting>
  <conditionalFormatting sqref="L70">
    <cfRule type="expression" dxfId="2658" priority="182">
      <formula>$L71=0</formula>
    </cfRule>
  </conditionalFormatting>
  <conditionalFormatting sqref="J70:K70">
    <cfRule type="expression" dxfId="2657" priority="186">
      <formula>$J70&gt;0</formula>
    </cfRule>
  </conditionalFormatting>
  <conditionalFormatting sqref="L70">
    <cfRule type="expression" dxfId="2656" priority="180">
      <formula>$L70&lt;0</formula>
    </cfRule>
    <cfRule type="expression" dxfId="2655" priority="181">
      <formula>$L70&gt;0</formula>
    </cfRule>
  </conditionalFormatting>
  <conditionalFormatting sqref="J70:K70">
    <cfRule type="expression" dxfId="2654" priority="185">
      <formula>$J70&lt;0</formula>
    </cfRule>
  </conditionalFormatting>
  <conditionalFormatting sqref="O73:O74">
    <cfRule type="expression" dxfId="2653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2" priority="172">
      <formula>$J73=0</formula>
    </cfRule>
  </conditionalFormatting>
  <conditionalFormatting sqref="L73:L74">
    <cfRule type="expression" dxfId="2651" priority="171">
      <formula>$L74=0</formula>
    </cfRule>
  </conditionalFormatting>
  <conditionalFormatting sqref="J73:K74">
    <cfRule type="expression" dxfId="2650" priority="173">
      <formula>$J73&lt;0</formula>
    </cfRule>
  </conditionalFormatting>
  <conditionalFormatting sqref="E72 I72">
    <cfRule type="expression" dxfId="2649" priority="167">
      <formula>$H72=0</formula>
    </cfRule>
  </conditionalFormatting>
  <conditionalFormatting sqref="J72:K72">
    <cfRule type="expression" dxfId="2648" priority="168">
      <formula>$J72=0</formula>
    </cfRule>
  </conditionalFormatting>
  <conditionalFormatting sqref="L72">
    <cfRule type="expression" dxfId="2647" priority="166">
      <formula>$L73=0</formula>
    </cfRule>
  </conditionalFormatting>
  <conditionalFormatting sqref="J72:K72">
    <cfRule type="expression" dxfId="2646" priority="170">
      <formula>$J72&gt;0</formula>
    </cfRule>
  </conditionalFormatting>
  <conditionalFormatting sqref="L72">
    <cfRule type="expression" dxfId="2645" priority="164">
      <formula>$L72&lt;0</formula>
    </cfRule>
    <cfRule type="expression" dxfId="2644" priority="165">
      <formula>$L72&gt;0</formula>
    </cfRule>
  </conditionalFormatting>
  <conditionalFormatting sqref="J72:K72">
    <cfRule type="expression" dxfId="2643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2" priority="159">
      <formula>$H72=0</formula>
    </cfRule>
  </conditionalFormatting>
  <conditionalFormatting sqref="J72:K72">
    <cfRule type="expression" dxfId="2641" priority="160">
      <formula>$J72=0</formula>
    </cfRule>
  </conditionalFormatting>
  <conditionalFormatting sqref="L72">
    <cfRule type="expression" dxfId="2640" priority="158">
      <formula>$L73=0</formula>
    </cfRule>
  </conditionalFormatting>
  <conditionalFormatting sqref="J72:K72">
    <cfRule type="expression" dxfId="2639" priority="162">
      <formula>$J72&gt;0</formula>
    </cfRule>
  </conditionalFormatting>
  <conditionalFormatting sqref="L72">
    <cfRule type="expression" dxfId="2638" priority="156">
      <formula>$L72&lt;0</formula>
    </cfRule>
    <cfRule type="expression" dxfId="2637" priority="157">
      <formula>$L72&gt;0</formula>
    </cfRule>
  </conditionalFormatting>
  <conditionalFormatting sqref="J72:K72">
    <cfRule type="expression" dxfId="2636" priority="161">
      <formula>$J72&lt;0</formula>
    </cfRule>
  </conditionalFormatting>
  <conditionalFormatting sqref="E74 I74">
    <cfRule type="expression" dxfId="2635" priority="152">
      <formula>$H74=0</formula>
    </cfRule>
  </conditionalFormatting>
  <conditionalFormatting sqref="J74:K74">
    <cfRule type="expression" dxfId="2634" priority="153">
      <formula>$J74=0</formula>
    </cfRule>
  </conditionalFormatting>
  <conditionalFormatting sqref="L74">
    <cfRule type="expression" dxfId="2633" priority="151">
      <formula>$L75=0</formula>
    </cfRule>
  </conditionalFormatting>
  <conditionalFormatting sqref="J74:K74">
    <cfRule type="expression" dxfId="2632" priority="155">
      <formula>$J74&gt;0</formula>
    </cfRule>
  </conditionalFormatting>
  <conditionalFormatting sqref="L74">
    <cfRule type="expression" dxfId="2631" priority="149">
      <formula>$L74&lt;0</formula>
    </cfRule>
    <cfRule type="expression" dxfId="2630" priority="150">
      <formula>$L74&gt;0</formula>
    </cfRule>
  </conditionalFormatting>
  <conditionalFormatting sqref="J74:K74">
    <cfRule type="expression" dxfId="2629" priority="154">
      <formula>$J74&lt;0</formula>
    </cfRule>
  </conditionalFormatting>
  <conditionalFormatting sqref="E73 I73">
    <cfRule type="expression" dxfId="2628" priority="145">
      <formula>$H73=0</formula>
    </cfRule>
  </conditionalFormatting>
  <conditionalFormatting sqref="J73:K73">
    <cfRule type="expression" dxfId="2627" priority="146">
      <formula>$J73=0</formula>
    </cfRule>
  </conditionalFormatting>
  <conditionalFormatting sqref="L73">
    <cfRule type="expression" dxfId="2626" priority="144">
      <formula>$L74=0</formula>
    </cfRule>
  </conditionalFormatting>
  <conditionalFormatting sqref="J73:K73">
    <cfRule type="expression" dxfId="2625" priority="148">
      <formula>$J73&gt;0</formula>
    </cfRule>
  </conditionalFormatting>
  <conditionalFormatting sqref="L73">
    <cfRule type="expression" dxfId="2624" priority="142">
      <formula>$L73&lt;0</formula>
    </cfRule>
    <cfRule type="expression" dxfId="2623" priority="143">
      <formula>$L73&gt;0</formula>
    </cfRule>
  </conditionalFormatting>
  <conditionalFormatting sqref="J73:K73">
    <cfRule type="expression" dxfId="2622" priority="147">
      <formula>$J73&lt;0</formula>
    </cfRule>
  </conditionalFormatting>
  <conditionalFormatting sqref="O75">
    <cfRule type="expression" dxfId="2621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0" priority="134">
      <formula>$J75=0</formula>
    </cfRule>
  </conditionalFormatting>
  <conditionalFormatting sqref="L75">
    <cfRule type="expression" dxfId="2619" priority="133">
      <formula>$L76=0</formula>
    </cfRule>
  </conditionalFormatting>
  <conditionalFormatting sqref="J75:K75">
    <cfRule type="expression" dxfId="2618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7" priority="128">
      <formula>$H75=0</formula>
    </cfRule>
  </conditionalFormatting>
  <conditionalFormatting sqref="J75:K75">
    <cfRule type="expression" dxfId="2616" priority="129">
      <formula>$J75=0</formula>
    </cfRule>
  </conditionalFormatting>
  <conditionalFormatting sqref="L75">
    <cfRule type="expression" dxfId="2615" priority="127">
      <formula>$L76=0</formula>
    </cfRule>
  </conditionalFormatting>
  <conditionalFormatting sqref="J75:K75">
    <cfRule type="expression" dxfId="2614" priority="131">
      <formula>$J75&gt;0</formula>
    </cfRule>
  </conditionalFormatting>
  <conditionalFormatting sqref="L75">
    <cfRule type="expression" dxfId="2613" priority="125">
      <formula>$L75&lt;0</formula>
    </cfRule>
    <cfRule type="expression" dxfId="2612" priority="126">
      <formula>$L75&gt;0</formula>
    </cfRule>
  </conditionalFormatting>
  <conditionalFormatting sqref="J75:K75">
    <cfRule type="expression" dxfId="2611" priority="130">
      <formula>$J75&lt;0</formula>
    </cfRule>
  </conditionalFormatting>
  <conditionalFormatting sqref="E7 I7">
    <cfRule type="expression" dxfId="2610" priority="120">
      <formula>$H7=0</formula>
    </cfRule>
  </conditionalFormatting>
  <conditionalFormatting sqref="J7:K7">
    <cfRule type="expression" dxfId="2609" priority="121">
      <formula>$J7=0</formula>
    </cfRule>
  </conditionalFormatting>
  <conditionalFormatting sqref="L7">
    <cfRule type="expression" dxfId="2608" priority="119">
      <formula>$L8=0</formula>
    </cfRule>
  </conditionalFormatting>
  <conditionalFormatting sqref="J7:K7">
    <cfRule type="expression" dxfId="2607" priority="123">
      <formula>$J7&gt;0</formula>
    </cfRule>
  </conditionalFormatting>
  <conditionalFormatting sqref="L7">
    <cfRule type="expression" dxfId="2606" priority="117">
      <formula>$L7&lt;0</formula>
    </cfRule>
    <cfRule type="expression" dxfId="2605" priority="118">
      <formula>$L7&gt;0</formula>
    </cfRule>
  </conditionalFormatting>
  <conditionalFormatting sqref="J7:K7">
    <cfRule type="expression" dxfId="2604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3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2" priority="110">
      <formula>$J76=0</formula>
    </cfRule>
  </conditionalFormatting>
  <conditionalFormatting sqref="L76">
    <cfRule type="expression" dxfId="2601" priority="109">
      <formula>$L77=0</formula>
    </cfRule>
  </conditionalFormatting>
  <conditionalFormatting sqref="J76:K76">
    <cfRule type="expression" dxfId="2600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9" priority="104">
      <formula>$H76=0</formula>
    </cfRule>
  </conditionalFormatting>
  <conditionalFormatting sqref="J76:K76">
    <cfRule type="expression" dxfId="2598" priority="105">
      <formula>$J76=0</formula>
    </cfRule>
  </conditionalFormatting>
  <conditionalFormatting sqref="L76">
    <cfRule type="expression" dxfId="2597" priority="103">
      <formula>$L77=0</formula>
    </cfRule>
  </conditionalFormatting>
  <conditionalFormatting sqref="J76:K76">
    <cfRule type="expression" dxfId="2596" priority="107">
      <formula>$J76&gt;0</formula>
    </cfRule>
  </conditionalFormatting>
  <conditionalFormatting sqref="L76">
    <cfRule type="expression" dxfId="2595" priority="101">
      <formula>$L76&lt;0</formula>
    </cfRule>
    <cfRule type="expression" dxfId="2594" priority="102">
      <formula>$L76&gt;0</formula>
    </cfRule>
  </conditionalFormatting>
  <conditionalFormatting sqref="J76:K76">
    <cfRule type="expression" dxfId="2593" priority="106">
      <formula>$J76&lt;0</formula>
    </cfRule>
  </conditionalFormatting>
  <conditionalFormatting sqref="O77">
    <cfRule type="expression" dxfId="2592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1" priority="97">
      <formula>$J77=0</formula>
    </cfRule>
  </conditionalFormatting>
  <conditionalFormatting sqref="L77">
    <cfRule type="expression" dxfId="2590" priority="96">
      <formula>$L78=0</formula>
    </cfRule>
  </conditionalFormatting>
  <conditionalFormatting sqref="J77:K77">
    <cfRule type="expression" dxfId="2589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8" priority="91">
      <formula>$H77=0</formula>
    </cfRule>
  </conditionalFormatting>
  <conditionalFormatting sqref="J77:K77">
    <cfRule type="expression" dxfId="2587" priority="92">
      <formula>$J77=0</formula>
    </cfRule>
  </conditionalFormatting>
  <conditionalFormatting sqref="L77">
    <cfRule type="expression" dxfId="2586" priority="90">
      <formula>$L78=0</formula>
    </cfRule>
  </conditionalFormatting>
  <conditionalFormatting sqref="J77:K77">
    <cfRule type="expression" dxfId="2585" priority="94">
      <formula>$J77&gt;0</formula>
    </cfRule>
  </conditionalFormatting>
  <conditionalFormatting sqref="L77">
    <cfRule type="expression" dxfId="2584" priority="88">
      <formula>$L77&lt;0</formula>
    </cfRule>
    <cfRule type="expression" dxfId="2583" priority="89">
      <formula>$L77&gt;0</formula>
    </cfRule>
  </conditionalFormatting>
  <conditionalFormatting sqref="J77:K77">
    <cfRule type="expression" dxfId="2582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1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0" priority="83">
      <formula>$J78=0</formula>
    </cfRule>
  </conditionalFormatting>
  <conditionalFormatting sqref="L78">
    <cfRule type="expression" dxfId="2579" priority="82">
      <formula>$L79=0</formula>
    </cfRule>
  </conditionalFormatting>
  <conditionalFormatting sqref="J78:K78">
    <cfRule type="expression" dxfId="2578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7" priority="77">
      <formula>$H78=0</formula>
    </cfRule>
  </conditionalFormatting>
  <conditionalFormatting sqref="J78:K78">
    <cfRule type="expression" dxfId="2576" priority="78">
      <formula>$J78=0</formula>
    </cfRule>
  </conditionalFormatting>
  <conditionalFormatting sqref="L78">
    <cfRule type="expression" dxfId="2575" priority="76">
      <formula>$L79=0</formula>
    </cfRule>
  </conditionalFormatting>
  <conditionalFormatting sqref="J78:K78">
    <cfRule type="expression" dxfId="2574" priority="80">
      <formula>$J78&gt;0</formula>
    </cfRule>
  </conditionalFormatting>
  <conditionalFormatting sqref="L78">
    <cfRule type="expression" dxfId="2573" priority="74">
      <formula>$L78&lt;0</formula>
    </cfRule>
    <cfRule type="expression" dxfId="2572" priority="75">
      <formula>$L78&gt;0</formula>
    </cfRule>
  </conditionalFormatting>
  <conditionalFormatting sqref="J78:K78">
    <cfRule type="expression" dxfId="2571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0" priority="70">
      <formula>$J79=0</formula>
    </cfRule>
  </conditionalFormatting>
  <conditionalFormatting sqref="L79">
    <cfRule type="expression" dxfId="2569" priority="69">
      <formula>$L80=0</formula>
    </cfRule>
  </conditionalFormatting>
  <conditionalFormatting sqref="J79:K79">
    <cfRule type="expression" dxfId="2568" priority="71">
      <formula>$J79&lt;0</formula>
    </cfRule>
  </conditionalFormatting>
  <conditionalFormatting sqref="E79 I79">
    <cfRule type="expression" dxfId="2567" priority="65">
      <formula>$H79=0</formula>
    </cfRule>
  </conditionalFormatting>
  <conditionalFormatting sqref="J79:K79">
    <cfRule type="expression" dxfId="2566" priority="66">
      <formula>$J79=0</formula>
    </cfRule>
  </conditionalFormatting>
  <conditionalFormatting sqref="L79">
    <cfRule type="expression" dxfId="2565" priority="64">
      <formula>$L80=0</formula>
    </cfRule>
  </conditionalFormatting>
  <conditionalFormatting sqref="J79:K79">
    <cfRule type="expression" dxfId="2564" priority="68">
      <formula>$J79&gt;0</formula>
    </cfRule>
  </conditionalFormatting>
  <conditionalFormatting sqref="L79">
    <cfRule type="expression" dxfId="2563" priority="62">
      <formula>$L79&lt;0</formula>
    </cfRule>
    <cfRule type="expression" dxfId="2562" priority="63">
      <formula>$L79&gt;0</formula>
    </cfRule>
  </conditionalFormatting>
  <conditionalFormatting sqref="J79:K79">
    <cfRule type="expression" dxfId="2561" priority="67">
      <formula>$J79&lt;0</formula>
    </cfRule>
  </conditionalFormatting>
  <conditionalFormatting sqref="J80:K80">
    <cfRule type="expression" dxfId="2560" priority="60">
      <formula>$J80=0</formula>
    </cfRule>
  </conditionalFormatting>
  <conditionalFormatting sqref="L80">
    <cfRule type="expression" dxfId="2559" priority="59">
      <formula>$L81=0</formula>
    </cfRule>
  </conditionalFormatting>
  <conditionalFormatting sqref="J80:K80">
    <cfRule type="expression" dxfId="2558" priority="61">
      <formula>$J80&lt;0</formula>
    </cfRule>
  </conditionalFormatting>
  <conditionalFormatting sqref="E80 I80">
    <cfRule type="expression" dxfId="2557" priority="55">
      <formula>$H80=0</formula>
    </cfRule>
  </conditionalFormatting>
  <conditionalFormatting sqref="J80:K80">
    <cfRule type="expression" dxfId="2556" priority="56">
      <formula>$J80=0</formula>
    </cfRule>
  </conditionalFormatting>
  <conditionalFormatting sqref="L80">
    <cfRule type="expression" dxfId="2555" priority="54">
      <formula>$L81=0</formula>
    </cfRule>
  </conditionalFormatting>
  <conditionalFormatting sqref="J80:K80">
    <cfRule type="expression" dxfId="2554" priority="58">
      <formula>$J80&gt;0</formula>
    </cfRule>
  </conditionalFormatting>
  <conditionalFormatting sqref="L80">
    <cfRule type="expression" dxfId="2553" priority="52">
      <formula>$L80&lt;0</formula>
    </cfRule>
    <cfRule type="expression" dxfId="2552" priority="53">
      <formula>$L80&gt;0</formula>
    </cfRule>
  </conditionalFormatting>
  <conditionalFormatting sqref="J80:K80">
    <cfRule type="expression" dxfId="2551" priority="57">
      <formula>$J80&lt;0</formula>
    </cfRule>
  </conditionalFormatting>
  <conditionalFormatting sqref="J81:K81">
    <cfRule type="expression" dxfId="2550" priority="50">
      <formula>$J81=0</formula>
    </cfRule>
  </conditionalFormatting>
  <conditionalFormatting sqref="L81">
    <cfRule type="expression" dxfId="2549" priority="49">
      <formula>$L82=0</formula>
    </cfRule>
  </conditionalFormatting>
  <conditionalFormatting sqref="J81:K81">
    <cfRule type="expression" dxfId="2548" priority="51">
      <formula>$J81&lt;0</formula>
    </cfRule>
  </conditionalFormatting>
  <conditionalFormatting sqref="E81 I81">
    <cfRule type="expression" dxfId="2547" priority="45">
      <formula>$H81=0</formula>
    </cfRule>
  </conditionalFormatting>
  <conditionalFormatting sqref="J81:K81">
    <cfRule type="expression" dxfId="2546" priority="46">
      <formula>$J81=0</formula>
    </cfRule>
  </conditionalFormatting>
  <conditionalFormatting sqref="L81">
    <cfRule type="expression" dxfId="2545" priority="44">
      <formula>$L82=0</formula>
    </cfRule>
  </conditionalFormatting>
  <conditionalFormatting sqref="J81:K81">
    <cfRule type="expression" dxfId="2544" priority="48">
      <formula>$J81&gt;0</formula>
    </cfRule>
  </conditionalFormatting>
  <conditionalFormatting sqref="L81">
    <cfRule type="expression" dxfId="2543" priority="42">
      <formula>$L81&lt;0</formula>
    </cfRule>
    <cfRule type="expression" dxfId="2542" priority="43">
      <formula>$L81&gt;0</formula>
    </cfRule>
  </conditionalFormatting>
  <conditionalFormatting sqref="J81:K81">
    <cfRule type="expression" dxfId="2541" priority="47">
      <formula>$J81&lt;0</formula>
    </cfRule>
  </conditionalFormatting>
  <conditionalFormatting sqref="J82:K82">
    <cfRule type="expression" dxfId="2540" priority="40">
      <formula>$J82=0</formula>
    </cfRule>
  </conditionalFormatting>
  <conditionalFormatting sqref="L82">
    <cfRule type="expression" dxfId="2539" priority="39">
      <formula>$L83=0</formula>
    </cfRule>
  </conditionalFormatting>
  <conditionalFormatting sqref="J82:K82">
    <cfRule type="expression" dxfId="2538" priority="41">
      <formula>$J82&lt;0</formula>
    </cfRule>
  </conditionalFormatting>
  <conditionalFormatting sqref="E82 I82">
    <cfRule type="expression" dxfId="2537" priority="35">
      <formula>$H82=0</formula>
    </cfRule>
  </conditionalFormatting>
  <conditionalFormatting sqref="J82:K82">
    <cfRule type="expression" dxfId="2536" priority="36">
      <formula>$J82=0</formula>
    </cfRule>
  </conditionalFormatting>
  <conditionalFormatting sqref="L82">
    <cfRule type="expression" dxfId="2535" priority="34">
      <formula>$L83=0</formula>
    </cfRule>
  </conditionalFormatting>
  <conditionalFormatting sqref="J82:K82">
    <cfRule type="expression" dxfId="2534" priority="38">
      <formula>$J82&gt;0</formula>
    </cfRule>
  </conditionalFormatting>
  <conditionalFormatting sqref="L82">
    <cfRule type="expression" dxfId="2533" priority="32">
      <formula>$L82&lt;0</formula>
    </cfRule>
    <cfRule type="expression" dxfId="2532" priority="33">
      <formula>$L82&gt;0</formula>
    </cfRule>
  </conditionalFormatting>
  <conditionalFormatting sqref="J82:K82">
    <cfRule type="expression" dxfId="2531" priority="37">
      <formula>$J82&lt;0</formula>
    </cfRule>
  </conditionalFormatting>
  <conditionalFormatting sqref="J83:K83">
    <cfRule type="expression" dxfId="2530" priority="30">
      <formula>$J83=0</formula>
    </cfRule>
  </conditionalFormatting>
  <conditionalFormatting sqref="L83">
    <cfRule type="expression" dxfId="2529" priority="29">
      <formula>$L84=0</formula>
    </cfRule>
  </conditionalFormatting>
  <conditionalFormatting sqref="J83:K83">
    <cfRule type="expression" dxfId="2528" priority="31">
      <formula>$J83&lt;0</formula>
    </cfRule>
  </conditionalFormatting>
  <conditionalFormatting sqref="E83 I83">
    <cfRule type="expression" dxfId="2527" priority="25">
      <formula>$H83=0</formula>
    </cfRule>
  </conditionalFormatting>
  <conditionalFormatting sqref="J83:K83">
    <cfRule type="expression" dxfId="2526" priority="26">
      <formula>$J83=0</formula>
    </cfRule>
  </conditionalFormatting>
  <conditionalFormatting sqref="L83">
    <cfRule type="expression" dxfId="2525" priority="24">
      <formula>$L84=0</formula>
    </cfRule>
  </conditionalFormatting>
  <conditionalFormatting sqref="J83:K83">
    <cfRule type="expression" dxfId="2524" priority="28">
      <formula>$J83&gt;0</formula>
    </cfRule>
  </conditionalFormatting>
  <conditionalFormatting sqref="L83">
    <cfRule type="expression" dxfId="2523" priority="22">
      <formula>$L83&lt;0</formula>
    </cfRule>
    <cfRule type="expression" dxfId="2522" priority="23">
      <formula>$L83&gt;0</formula>
    </cfRule>
  </conditionalFormatting>
  <conditionalFormatting sqref="J83:K83">
    <cfRule type="expression" dxfId="2521" priority="27">
      <formula>$J83&lt;0</formula>
    </cfRule>
  </conditionalFormatting>
  <conditionalFormatting sqref="J84:K84">
    <cfRule type="expression" dxfId="2520" priority="20">
      <formula>$J84=0</formula>
    </cfRule>
  </conditionalFormatting>
  <conditionalFormatting sqref="L84">
    <cfRule type="expression" dxfId="2519" priority="19">
      <formula>$L85=0</formula>
    </cfRule>
  </conditionalFormatting>
  <conditionalFormatting sqref="J84:K84">
    <cfRule type="expression" dxfId="2518" priority="21">
      <formula>$J84&lt;0</formula>
    </cfRule>
  </conditionalFormatting>
  <conditionalFormatting sqref="E84 I84">
    <cfRule type="expression" dxfId="2517" priority="15">
      <formula>$H84=0</formula>
    </cfRule>
  </conditionalFormatting>
  <conditionalFormatting sqref="J84:K84">
    <cfRule type="expression" dxfId="2516" priority="16">
      <formula>$J84=0</formula>
    </cfRule>
  </conditionalFormatting>
  <conditionalFormatting sqref="L84">
    <cfRule type="expression" dxfId="2515" priority="14">
      <formula>$L85=0</formula>
    </cfRule>
  </conditionalFormatting>
  <conditionalFormatting sqref="J84:K84">
    <cfRule type="expression" dxfId="2514" priority="18">
      <formula>$J84&gt;0</formula>
    </cfRule>
  </conditionalFormatting>
  <conditionalFormatting sqref="L84">
    <cfRule type="expression" dxfId="2513" priority="12">
      <formula>$L84&lt;0</formula>
    </cfRule>
    <cfRule type="expression" dxfId="2512" priority="13">
      <formula>$L84&gt;0</formula>
    </cfRule>
  </conditionalFormatting>
  <conditionalFormatting sqref="J84:K84">
    <cfRule type="expression" dxfId="2511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0" priority="9">
      <formula>$J85=0</formula>
    </cfRule>
  </conditionalFormatting>
  <conditionalFormatting sqref="L85">
    <cfRule type="expression" dxfId="2509" priority="8">
      <formula>$L86=0</formula>
    </cfRule>
  </conditionalFormatting>
  <conditionalFormatting sqref="J85:K85">
    <cfRule type="expression" dxfId="2508" priority="10">
      <formula>$J85&lt;0</formula>
    </cfRule>
  </conditionalFormatting>
  <conditionalFormatting sqref="E85 I85">
    <cfRule type="expression" dxfId="2507" priority="4">
      <formula>$H85=0</formula>
    </cfRule>
  </conditionalFormatting>
  <conditionalFormatting sqref="J85:K85">
    <cfRule type="expression" dxfId="2506" priority="5">
      <formula>$J85=0</formula>
    </cfRule>
  </conditionalFormatting>
  <conditionalFormatting sqref="L85">
    <cfRule type="expression" dxfId="2505" priority="3">
      <formula>$L86=0</formula>
    </cfRule>
  </conditionalFormatting>
  <conditionalFormatting sqref="J85:K85">
    <cfRule type="expression" dxfId="2504" priority="7">
      <formula>$J85&gt;0</formula>
    </cfRule>
  </conditionalFormatting>
  <conditionalFormatting sqref="L85">
    <cfRule type="expression" dxfId="2503" priority="1">
      <formula>$L85&lt;0</formula>
    </cfRule>
    <cfRule type="expression" dxfId="2502" priority="2">
      <formula>$L85&gt;0</formula>
    </cfRule>
  </conditionalFormatting>
  <conditionalFormatting sqref="J85:K85">
    <cfRule type="expression" dxfId="2501" priority="6">
      <formula>$J85&lt;0</formula>
    </cfRule>
  </conditionalFormatting>
  <hyperlinks>
    <hyperlink ref="E33" location="BIIB!A1" display="BIIB"/>
    <hyperlink ref="E34" location="MYL!A1" display="MYL"/>
    <hyperlink ref="E6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24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4" location="MRO!A1" display="MRO"/>
    <hyperlink ref="E31" location="GE!A1" display="GE"/>
    <hyperlink ref="E13" location="XRAY!A1" display="XRAY"/>
    <hyperlink ref="E19" location="XLP!A1" display="XLP"/>
    <hyperlink ref="E2" location="KR!A1" display="KR"/>
    <hyperlink ref="E48" location="F!A1" display="F"/>
    <hyperlink ref="E49" location="JNJ!A1" display="JNJ"/>
    <hyperlink ref="E20" location="ULTA!A1" display="ULTA"/>
    <hyperlink ref="E50" location="FRC!A1" display="FRC"/>
    <hyperlink ref="E26" location="AAP!A1" display="AAP"/>
    <hyperlink ref="E8" location="CMCSA!A1" display="CMCSA"/>
    <hyperlink ref="E51" location="XEC!A1" display="XEC"/>
    <hyperlink ref="E14" location="MO!A1" display="MO"/>
    <hyperlink ref="E22" location="T!A1" display="T"/>
    <hyperlink ref="E29" location="COST!A1" display="COST"/>
    <hyperlink ref="E52" location="CPN!A1" display="CPN"/>
    <hyperlink ref="E53" location="EW!A1" display="EW"/>
    <hyperlink ref="E54" location="TJX!A1" display="TJX"/>
    <hyperlink ref="E12" location="QQQ!A1" display="QQQ"/>
    <hyperlink ref="E3" location="WBA!A1" display="WBA"/>
    <hyperlink ref="E55" location="AZO!A1" display="AZO"/>
    <hyperlink ref="E17" location="FL!A1" display="FL"/>
    <hyperlink ref="E56" location="MLM!A1" display="MLM"/>
    <hyperlink ref="E23" location="KHC!A1" display="KHC"/>
    <hyperlink ref="E32" location="KBWY!A1" display="KBWY"/>
    <hyperlink ref="E7" location="AYI!A1" display="AYI"/>
    <hyperlink ref="E21" location="DIA!A1" display="DIA"/>
    <hyperlink ref="E30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11" location="WFC!A1" display="WFC"/>
    <hyperlink ref="E69" location="AA!A1" display="AA"/>
    <hyperlink ref="E70" location="CF!A1" display="CF"/>
    <hyperlink ref="E71" location="TGT!A1" display="TGT"/>
    <hyperlink ref="E9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J267" sqref="J267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5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8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8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8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8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2" t="s">
        <v>385</v>
      </c>
      <c r="B167" s="653">
        <v>42767</v>
      </c>
      <c r="C167" s="654">
        <v>35</v>
      </c>
      <c r="D167" s="655">
        <v>69.58</v>
      </c>
      <c r="E167" s="655">
        <v>0</v>
      </c>
      <c r="F167" s="655">
        <f>C167*D167+E167</f>
        <v>2435.2999999999997</v>
      </c>
      <c r="G167" s="653">
        <v>42803</v>
      </c>
      <c r="H167" s="656">
        <v>35</v>
      </c>
      <c r="I167" s="655">
        <v>87.78</v>
      </c>
      <c r="J167" s="655">
        <v>7.0000000000000007E-2</v>
      </c>
      <c r="K167" s="655">
        <f>I167*H167-J167</f>
        <v>3072.23</v>
      </c>
      <c r="L167" s="653">
        <v>42829</v>
      </c>
      <c r="M167" s="654">
        <v>14.44</v>
      </c>
      <c r="N167" s="657"/>
      <c r="O167" s="658"/>
    </row>
    <row r="168" spans="1:18" ht="18" customHeight="1" x14ac:dyDescent="0.25">
      <c r="A168" s="659"/>
      <c r="B168" s="654"/>
      <c r="C168" s="659">
        <f>SUM(C167:C167)</f>
        <v>35</v>
      </c>
      <c r="D168" s="660"/>
      <c r="E168" s="660"/>
      <c r="F168" s="660">
        <f>SUM(F167:F167)</f>
        <v>2435.2999999999997</v>
      </c>
      <c r="G168" s="659"/>
      <c r="H168" s="659">
        <f>SUM(H167:H167)</f>
        <v>35</v>
      </c>
      <c r="I168" s="660"/>
      <c r="J168" s="660"/>
      <c r="K168" s="660">
        <f>SUM(K167:K167)</f>
        <v>3072.23</v>
      </c>
      <c r="L168" s="659"/>
      <c r="M168" s="660">
        <f>SUM(M167:M167)</f>
        <v>14.44</v>
      </c>
      <c r="N168" s="650">
        <f>K168-F168</f>
        <v>636.93000000000029</v>
      </c>
      <c r="O168" s="65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8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8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222</v>
      </c>
      <c r="R251" s="431"/>
      <c r="S251" s="412" t="s">
        <v>217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/>
      <c r="R252" s="431"/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>
        <v>0.02</v>
      </c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72966.373166668258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 -R302</f>
        <v>71759.89316666832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71759.890000000014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/>
      <c r="N271" s="26"/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8">
        <f>N269-N271-N270</f>
        <v>3.1666683062212542E-3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1.52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500" priority="7">
      <formula>#REF!&gt;0</formula>
    </cfRule>
    <cfRule type="expression" dxfId="249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9"/>
  <sheetViews>
    <sheetView zoomScaleNormal="100" workbookViewId="0">
      <pane ySplit="1" topLeftCell="A632" activePane="bottomLeft" state="frozen"/>
      <selection pane="bottomLeft" activeCell="AX57" sqref="AX57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281</v>
      </c>
      <c r="H1" s="337" t="s">
        <v>280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784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215</v>
      </c>
      <c r="U1" s="339" t="s">
        <v>216</v>
      </c>
      <c r="V1" s="338" t="s">
        <v>220</v>
      </c>
      <c r="W1" s="338" t="s">
        <v>221</v>
      </c>
      <c r="X1" s="338" t="s">
        <v>964</v>
      </c>
      <c r="Y1" s="338" t="s">
        <v>963</v>
      </c>
      <c r="Z1" s="338" t="s">
        <v>940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7"/>
      <c r="AA2" s="330">
        <f>LOOKUP(2,1/(M:M&lt;&gt;""),M:M)</f>
        <v>71759.890000000014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6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5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8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8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8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8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8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8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8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8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8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8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8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8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8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8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8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8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8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8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8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8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8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8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8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8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8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8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8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8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8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8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8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8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8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8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89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8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8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8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8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8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8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8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8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8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8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8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8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8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8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8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8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8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8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8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8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8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8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8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8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8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8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8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8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8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8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8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8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8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8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8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8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8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8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8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8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8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8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8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8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8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8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8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8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8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8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8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8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8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8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8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8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8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8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8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8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8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8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8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8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8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8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8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8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8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8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8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8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8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8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8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8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8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8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8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8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8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8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8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8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8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8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8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8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8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8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8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8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8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8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8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8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8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8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8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8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8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8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8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8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8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8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8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8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8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8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8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8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8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8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8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8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8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8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8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8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8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8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8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8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8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8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8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8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8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8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8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8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8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8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8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8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8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8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8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8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8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8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8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8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8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8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8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8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8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8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8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8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8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8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8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8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8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8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8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8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8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8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8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8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8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8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8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8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8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8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8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8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8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8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8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8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8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8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8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8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8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8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8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8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8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8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8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8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8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8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8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8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8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8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8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8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8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8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8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8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8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8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8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8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8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8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8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8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8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8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8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8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8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8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8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8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8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8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8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8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8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8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8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8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8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8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8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8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8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8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8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8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8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8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8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8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8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8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8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8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8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8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8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8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1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8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8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8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8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8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8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1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8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1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8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1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8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1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8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1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8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8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8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8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8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8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1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8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1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8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1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8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1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8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1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8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8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8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8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8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1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8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1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8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1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8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1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8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8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8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8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8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8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1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8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1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8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1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8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1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8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8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8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8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8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8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1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8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1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8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1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4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8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1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4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8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1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4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8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8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8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8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8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8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1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4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8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1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4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8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1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4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8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1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4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8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1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4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8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8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8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8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8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1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4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8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0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8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1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4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8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1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4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8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1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4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8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8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8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8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8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8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1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4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8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1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4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8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1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4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8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1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4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8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1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4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8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8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8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8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8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8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1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4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8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1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4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8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1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4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8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1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4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8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1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8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8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8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8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8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8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1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4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8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1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4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8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1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4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8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1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4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8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8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8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8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8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8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1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4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8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1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4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8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1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4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8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1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4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8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0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8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8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8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8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8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8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1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4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8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1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4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8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1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4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8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1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4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8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1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4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8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8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8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8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8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8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1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4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8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1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4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8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1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4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8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1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4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8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1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4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8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8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8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8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8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1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4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8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1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4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8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1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4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8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1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4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8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1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4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8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8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8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8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8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8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8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8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8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8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8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8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8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8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8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8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8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8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8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8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8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8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8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8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8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8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8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8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8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8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8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8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8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8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8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8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8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8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8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8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8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8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8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8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8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8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8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8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8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8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8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8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8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8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8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8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8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8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8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8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8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8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8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8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8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8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8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8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8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8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8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8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8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8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8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8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8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8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8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8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8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8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8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8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8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8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8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8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8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8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8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8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8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8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8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8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8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8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8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8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8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8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8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8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8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8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8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8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8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8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8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8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8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8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8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8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89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89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89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89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89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89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89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89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89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89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89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89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89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89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89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89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89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89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89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89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89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89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89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89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89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89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89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89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89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89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89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89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89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89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89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89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89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89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89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89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89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89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89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89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89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89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89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89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89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89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89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89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89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89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89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89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89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89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89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89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89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89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89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89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89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89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89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89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89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89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89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89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89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89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89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89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89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89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89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89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89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89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1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89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1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89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1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 t="shared" ref="X639:X644" si="3161">E639/(A639/365.25)/V639</f>
        <v>0.6467017846977352</v>
      </c>
      <c r="Y639" s="173">
        <f t="shared" ref="Y639" si="3162">O639/W639</f>
        <v>0.17398328349008801</v>
      </c>
      <c r="Z639" s="789">
        <f t="shared" ref="Z639" si="3163">-(E639-N639)</f>
        <v>-0.11993529384952711</v>
      </c>
    </row>
    <row r="640" spans="1:26" ht="20.100000000000001" customHeight="1" x14ac:dyDescent="0.25">
      <c r="A640" s="162">
        <f t="shared" ref="A640" si="3164">B640-$B$2</f>
        <v>991</v>
      </c>
      <c r="B640" s="171">
        <v>43224</v>
      </c>
      <c r="C640" s="213">
        <v>2663.42</v>
      </c>
      <c r="D640" s="170">
        <f t="shared" ref="D640" si="3165">(C640-C639)/C639</f>
        <v>1.2948714389324004E-2</v>
      </c>
      <c r="E640" s="207">
        <f t="shared" ref="E640" si="3166">(C640-$C$2)/$C$2</f>
        <v>0.26682331005878884</v>
      </c>
      <c r="F640" s="217">
        <v>7209.61</v>
      </c>
      <c r="G640" s="170">
        <f t="shared" ref="G640" si="3167">(F640-F639)/F639</f>
        <v>1.7135641881167871E-2</v>
      </c>
      <c r="H640" s="201">
        <f t="shared" ref="H640" si="3168">(F640-F$2)/F$2</f>
        <v>0.4159534143802659</v>
      </c>
      <c r="I640" s="831">
        <v>457844.7</v>
      </c>
      <c r="J640" s="172">
        <v>400000</v>
      </c>
      <c r="K640" s="172">
        <f t="shared" ref="K640" si="3169">I640-I639-J640+J639</f>
        <v>5567.109999999986</v>
      </c>
      <c r="L640" s="170">
        <f t="shared" ref="L640" si="3170">K640/I639</f>
        <v>1.2309055595701715E-2</v>
      </c>
      <c r="M640" s="180">
        <f t="shared" ref="M640" si="3171">I640-J640</f>
        <v>57844.700000000012</v>
      </c>
      <c r="N640" s="182">
        <f t="shared" ref="N640" si="3172">M640/J640</f>
        <v>0.14461175000000004</v>
      </c>
      <c r="O640" s="181">
        <f t="shared" ref="O640" si="3173">N640/(A640/365.25)</f>
        <v>5.3299133892532803E-2</v>
      </c>
      <c r="P640" s="180" t="b">
        <f t="shared" ref="P640" si="3174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5">I640-R640</f>
        <v>116337.69</v>
      </c>
      <c r="T640" s="172">
        <v>-34815</v>
      </c>
      <c r="U640" s="172">
        <f t="shared" ref="U640" si="3176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 t="shared" si="3161"/>
        <v>0.68728550691537571</v>
      </c>
      <c r="Y640" s="173">
        <f t="shared" ref="Y640" si="3177">O640/W640</f>
        <v>0.19239918891500063</v>
      </c>
      <c r="Z640" s="789">
        <f t="shared" ref="Z640" si="3178">-(E640-N640)</f>
        <v>-0.1222115600587888</v>
      </c>
    </row>
    <row r="641" spans="1:26" ht="20.100000000000001" customHeight="1" x14ac:dyDescent="0.25">
      <c r="A641" s="162">
        <f t="shared" ref="A641" si="3179">B641-$B$2</f>
        <v>994</v>
      </c>
      <c r="B641" s="171">
        <v>43227</v>
      </c>
      <c r="C641" s="213">
        <v>2672.63</v>
      </c>
      <c r="D641" s="170">
        <f t="shared" ref="D641" si="3180">(C641-C640)/C640</f>
        <v>3.4579600663808322E-3</v>
      </c>
      <c r="E641" s="207">
        <f t="shared" ref="E641" si="3181">(C641-$C$2)/$C$2</f>
        <v>0.2712039344761325</v>
      </c>
      <c r="F641" s="217">
        <v>7265.21</v>
      </c>
      <c r="G641" s="170">
        <f t="shared" ref="G641" si="3182">(F641-F640)/F640</f>
        <v>7.711928939290803E-3</v>
      </c>
      <c r="H641" s="201">
        <f t="shared" ref="H641" si="3183">(F641-F$2)/F$2</f>
        <v>0.42687314649331271</v>
      </c>
      <c r="I641" s="831">
        <v>456957.86</v>
      </c>
      <c r="J641" s="172">
        <v>400000</v>
      </c>
      <c r="K641" s="172">
        <f t="shared" ref="K641" si="3184">I641-I640-J641+J640</f>
        <v>-886.84000000002561</v>
      </c>
      <c r="L641" s="170">
        <f t="shared" ref="L641" si="3185">K641/I640</f>
        <v>-1.9369886776018715E-3</v>
      </c>
      <c r="M641" s="180">
        <f t="shared" ref="M641" si="3186">I641-J641</f>
        <v>56957.859999999986</v>
      </c>
      <c r="N641" s="182">
        <f t="shared" ref="N641" si="3187">M641/J641</f>
        <v>0.14239464999999996</v>
      </c>
      <c r="O641" s="181">
        <f t="shared" ref="O641" si="3188">N641/(A641/365.25)</f>
        <v>5.2323587437122718E-2</v>
      </c>
      <c r="P641" s="180" t="b">
        <f t="shared" ref="P641" si="3189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90">I641-R641</f>
        <v>130234.57</v>
      </c>
      <c r="T641" s="172">
        <v>-35135</v>
      </c>
      <c r="U641" s="172">
        <f t="shared" ref="U641" si="3191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 t="shared" si="3161"/>
        <v>0.69694485698870945</v>
      </c>
      <c r="Y641" s="173">
        <f t="shared" ref="Y641" si="3192">O641/W641</f>
        <v>0.18902284291543675</v>
      </c>
      <c r="Z641" s="789">
        <f t="shared" ref="Z641" si="3193">-(E641-N641)</f>
        <v>-0.12880928447613255</v>
      </c>
    </row>
    <row r="642" spans="1:26" ht="20.100000000000001" customHeight="1" x14ac:dyDescent="0.25">
      <c r="A642" s="162">
        <f t="shared" ref="A642" si="3194">B642-$B$2</f>
        <v>995</v>
      </c>
      <c r="B642" s="171">
        <v>43228</v>
      </c>
      <c r="C642" s="213">
        <v>2671.92</v>
      </c>
      <c r="D642" s="170">
        <f t="shared" ref="D642" si="3195">(C642-C641)/C641</f>
        <v>-2.6565592693340878E-4</v>
      </c>
      <c r="E642" s="207">
        <f t="shared" ref="E642" si="3196">(C642-$C$2)/$C$2</f>
        <v>0.27086623161659784</v>
      </c>
      <c r="F642" s="217">
        <v>7266.9</v>
      </c>
      <c r="G642" s="170">
        <f t="shared" ref="G642" si="3197">(F642-F641)/F641</f>
        <v>2.3261543713114967E-4</v>
      </c>
      <c r="H642" s="201">
        <f t="shared" ref="H642" si="3198">(F642-F$2)/F$2</f>
        <v>0.42720505921401497</v>
      </c>
      <c r="I642" s="831">
        <v>457631.51</v>
      </c>
      <c r="J642" s="172">
        <v>400000</v>
      </c>
      <c r="K642" s="172">
        <f t="shared" ref="K642" si="3199">I642-I641-J642+J641</f>
        <v>673.65000000002328</v>
      </c>
      <c r="L642" s="170">
        <f t="shared" ref="L642" si="3200">K642/I641</f>
        <v>1.4742059585100982E-3</v>
      </c>
      <c r="M642" s="180">
        <f t="shared" ref="M642" si="3201">I642-J642</f>
        <v>57631.510000000009</v>
      </c>
      <c r="N642" s="182">
        <f t="shared" ref="N642" si="3202">M642/J642</f>
        <v>0.14407877500000002</v>
      </c>
      <c r="O642" s="181">
        <f t="shared" ref="O642" si="3203">N642/(A642/365.25)</f>
        <v>5.2889218662060311E-2</v>
      </c>
      <c r="P642" s="180" t="b">
        <f t="shared" ref="P642" si="3204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5">I642-R642</f>
        <v>108806.58000000002</v>
      </c>
      <c r="T642" s="172">
        <v>-34915</v>
      </c>
      <c r="U642" s="172">
        <f t="shared" ref="U642" si="3206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 t="shared" si="3161"/>
        <v>0.69591908069554453</v>
      </c>
      <c r="Y642" s="173">
        <f t="shared" ref="Y642" si="3207">O642/W642</f>
        <v>0.19121548651720474</v>
      </c>
      <c r="Z642" s="789">
        <f t="shared" ref="Z642" si="3208">-(E642-N642)</f>
        <v>-0.12678745661659782</v>
      </c>
    </row>
    <row r="643" spans="1:26" ht="20.100000000000001" customHeight="1" x14ac:dyDescent="0.25">
      <c r="A643" s="162">
        <f t="shared" ref="A643" si="3209">B643-$B$2</f>
        <v>996</v>
      </c>
      <c r="B643" s="171">
        <v>43229</v>
      </c>
      <c r="C643" s="213">
        <v>2697.79</v>
      </c>
      <c r="D643" s="170">
        <f t="shared" ref="D643" si="3210">(C643-C642)/C642</f>
        <v>9.6821761130572361E-3</v>
      </c>
      <c r="E643" s="207">
        <f t="shared" ref="E643" si="3211">(C643-$C$2)/$C$2</f>
        <v>0.28317098228724713</v>
      </c>
      <c r="F643" s="217">
        <v>7339.9</v>
      </c>
      <c r="G643" s="170">
        <f t="shared" ref="G643" si="3212">(F643-F642)/F642</f>
        <v>1.0045548996133153E-2</v>
      </c>
      <c r="H643" s="201">
        <f t="shared" ref="H643" si="3213">(F643-F$2)/F$2</f>
        <v>0.44154211756387846</v>
      </c>
      <c r="I643" s="831">
        <v>461579.02</v>
      </c>
      <c r="J643" s="172">
        <v>400000</v>
      </c>
      <c r="K643" s="172">
        <f t="shared" ref="K643" si="3214">I643-I642-J643+J642</f>
        <v>3947.5100000000093</v>
      </c>
      <c r="L643" s="170">
        <f t="shared" ref="L643" si="3215">K643/I642</f>
        <v>8.6259575963202554E-3</v>
      </c>
      <c r="M643" s="180">
        <f t="shared" ref="M643" si="3216">I643-J643</f>
        <v>61579.020000000019</v>
      </c>
      <c r="N643" s="182">
        <f t="shared" ref="N643" si="3217">M643/J643</f>
        <v>0.15394755000000004</v>
      </c>
      <c r="O643" s="181">
        <f t="shared" ref="O643" si="3218">N643/(A643/365.25)</f>
        <v>5.6455163290662663E-2</v>
      </c>
      <c r="P643" s="180" t="b">
        <f t="shared" ref="P643" si="3219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20">I643-R643</f>
        <v>109945.47000000003</v>
      </c>
      <c r="T643" s="172">
        <v>-34375</v>
      </c>
      <c r="U643" s="172">
        <f t="shared" ref="U643" si="3221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 t="shared" si="3161"/>
        <v>0.72676921769310943</v>
      </c>
      <c r="Y643" s="173">
        <f t="shared" ref="Y643" si="3222">O643/W643</f>
        <v>0.20423316666455604</v>
      </c>
      <c r="Z643" s="789">
        <f t="shared" ref="Z643" si="3223">-(E643-N643)</f>
        <v>-0.12922343228724709</v>
      </c>
    </row>
    <row r="644" spans="1:26" ht="20.100000000000001" customHeight="1" x14ac:dyDescent="0.25">
      <c r="A644" s="162">
        <f t="shared" ref="A644" si="3224">B644-$B$2</f>
        <v>997</v>
      </c>
      <c r="B644" s="171">
        <v>43230</v>
      </c>
      <c r="C644" s="213">
        <v>2723.07</v>
      </c>
      <c r="D644" s="170">
        <f t="shared" ref="D644" si="3225">(C644-C643)/C643</f>
        <v>9.3706329996034541E-3</v>
      </c>
      <c r="E644" s="207">
        <f t="shared" ref="E644" si="3226">(C644-$C$2)/$C$2</f>
        <v>0.29519510663800158</v>
      </c>
      <c r="F644" s="217">
        <v>7404.97</v>
      </c>
      <c r="G644" s="170">
        <f t="shared" ref="G644" si="3227">(F644-F643)/F643</f>
        <v>8.8652433956866745E-3</v>
      </c>
      <c r="H644" s="201">
        <f t="shared" ref="H644" si="3228">(F644-F$2)/F$2</f>
        <v>0.45432173930121583</v>
      </c>
      <c r="I644" s="831">
        <v>464024.89</v>
      </c>
      <c r="J644" s="172">
        <v>400000</v>
      </c>
      <c r="K644" s="172">
        <f t="shared" ref="K644" si="3229">I644-I643-J644+J643</f>
        <v>2445.8699999999953</v>
      </c>
      <c r="L644" s="170">
        <f t="shared" ref="L644" si="3230">K644/I643</f>
        <v>5.2989193486306964E-3</v>
      </c>
      <c r="M644" s="180">
        <f t="shared" ref="M644" si="3231">I644-J644</f>
        <v>64024.890000000014</v>
      </c>
      <c r="N644" s="182">
        <f t="shared" ref="N644" si="3232">M644/J644</f>
        <v>0.16006222500000003</v>
      </c>
      <c r="O644" s="181">
        <f t="shared" ref="O644" si="3233">N644/(A644/365.25)</f>
        <v>5.8638643612086268E-2</v>
      </c>
      <c r="P644" s="180" t="b">
        <f t="shared" ref="P644" si="3234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5">I644-R644</f>
        <v>116798.47000000003</v>
      </c>
      <c r="T644" s="172">
        <v>-34375</v>
      </c>
      <c r="U644" s="172">
        <f t="shared" ref="U644" si="3236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 t="shared" si="3161"/>
        <v>0.75687840094146508</v>
      </c>
      <c r="Y644" s="173">
        <f t="shared" ref="Y644" si="3237">O644/W644</f>
        <v>0.21228557939468987</v>
      </c>
      <c r="Z644" s="789">
        <f t="shared" ref="Z644" si="3238">-(E644-N644)</f>
        <v>-0.13513288163800155</v>
      </c>
    </row>
    <row r="645" spans="1:26" ht="20.100000000000001" customHeight="1" x14ac:dyDescent="0.25">
      <c r="A645" s="162">
        <f t="shared" ref="A645" si="3239">B645-$B$2</f>
        <v>998</v>
      </c>
      <c r="B645" s="171">
        <v>43231</v>
      </c>
      <c r="C645" s="213">
        <v>2727.72</v>
      </c>
      <c r="D645" s="170">
        <f t="shared" ref="D645" si="3240">(C645-C644)/C644</f>
        <v>1.7076314600798495E-3</v>
      </c>
      <c r="E645" s="207">
        <f t="shared" ref="E645" si="3241">(C645-$C$2)/$C$2</f>
        <v>0.29740682254903811</v>
      </c>
      <c r="F645" s="217">
        <v>7402.88</v>
      </c>
      <c r="G645" s="170">
        <f t="shared" ref="G645" si="3242">(F645-F644)/F644</f>
        <v>-2.8224287201705686E-4</v>
      </c>
      <c r="H645" s="201">
        <f t="shared" ref="H645" si="3243">(F645-F$2)/F$2</f>
        <v>0.45391126735667858</v>
      </c>
      <c r="I645" s="831">
        <v>464999.67</v>
      </c>
      <c r="J645" s="172">
        <v>400000</v>
      </c>
      <c r="K645" s="172">
        <f t="shared" ref="K645" si="3244">I645-I644-J645+J644</f>
        <v>974.77999999996973</v>
      </c>
      <c r="L645" s="170">
        <f t="shared" ref="L645" si="3245">K645/I644</f>
        <v>2.1007062789238952E-3</v>
      </c>
      <c r="M645" s="180">
        <f t="shared" ref="M645" si="3246">I645-J645</f>
        <v>64999.669999999984</v>
      </c>
      <c r="N645" s="182">
        <f t="shared" ref="N645" si="3247">M645/J645</f>
        <v>0.16249917499999997</v>
      </c>
      <c r="O645" s="181">
        <f t="shared" ref="O645" si="3248">N645/(A645/365.25)</f>
        <v>5.9471767203156299E-2</v>
      </c>
      <c r="P645" s="180" t="b">
        <f t="shared" ref="P645" si="3249">L645&gt;D645</f>
        <v>1</v>
      </c>
      <c r="Q645" s="182">
        <f>COUNTIF(P$2:P645, TRUE)/(COUNTIF(P$2:P645,FALSE) + COUNTIF(P$2:P645, TRUE))</f>
        <v>0.49223602484472051</v>
      </c>
      <c r="R645" s="172">
        <v>348195.75</v>
      </c>
      <c r="S645" s="172">
        <f t="shared" ref="S645" si="3250">I645-R645</f>
        <v>116803.91999999998</v>
      </c>
      <c r="T645" s="172">
        <v>-33955</v>
      </c>
      <c r="U645" s="172">
        <f t="shared" ref="U645" si="3251">M645-T645</f>
        <v>98954.669999999984</v>
      </c>
      <c r="V645" s="182">
        <f>STDEV(D$2:D645)*SQRT(252)</f>
        <v>0.14277306456679006</v>
      </c>
      <c r="W645" s="182">
        <f>STDEV(L$2:L645)*SQRT(252)</f>
        <v>0.27601172944324498</v>
      </c>
      <c r="X645" s="173">
        <f t="shared" ref="X645" si="3252">E645/(A645/365.25)/V645</f>
        <v>0.76236742085984766</v>
      </c>
      <c r="Y645" s="173">
        <f t="shared" ref="Y645" si="3253">O645/W645</f>
        <v>0.21546826043632036</v>
      </c>
      <c r="Z645" s="789">
        <f t="shared" ref="Z645" si="3254">-(E645-N645)</f>
        <v>-0.13490764754903814</v>
      </c>
    </row>
    <row r="646" spans="1:26" ht="20.100000000000001" customHeight="1" x14ac:dyDescent="0.25">
      <c r="A646" s="162">
        <f t="shared" ref="A646" si="3255">B646-$B$2</f>
        <v>1001</v>
      </c>
      <c r="B646" s="171">
        <v>43234</v>
      </c>
      <c r="C646" s="213">
        <v>2730.13</v>
      </c>
      <c r="D646" s="170">
        <f t="shared" ref="D646" si="3256">(C646-C645)/C645</f>
        <v>8.8352176909664831E-4</v>
      </c>
      <c r="E646" s="207">
        <f t="shared" ref="E646" si="3257">(C646-$C$2)/$C$2</f>
        <v>0.29855310972013471</v>
      </c>
      <c r="F646" s="217">
        <v>7411.31</v>
      </c>
      <c r="G646" s="170">
        <f t="shared" ref="G646" si="3258">(F646-F645)/F645</f>
        <v>1.1387460015561904E-3</v>
      </c>
      <c r="H646" s="201">
        <f t="shared" ref="H646" si="3259">(F646-F$2)/F$2</f>
        <v>0.45556690299899849</v>
      </c>
      <c r="I646" s="831">
        <v>467579.22</v>
      </c>
      <c r="J646" s="172">
        <v>400000</v>
      </c>
      <c r="K646" s="172">
        <f t="shared" ref="K646" si="3260">I646-I645-J646+J645</f>
        <v>2579.5499999999884</v>
      </c>
      <c r="L646" s="170">
        <f t="shared" ref="L646" si="3261">K646/I645</f>
        <v>5.5474232917197309E-3</v>
      </c>
      <c r="M646" s="180">
        <f t="shared" ref="M646" si="3262">I646-J646</f>
        <v>67579.219999999972</v>
      </c>
      <c r="N646" s="182">
        <f t="shared" ref="N646" si="3263">M646/J646</f>
        <v>0.16894804999999993</v>
      </c>
      <c r="O646" s="181">
        <f t="shared" ref="O646" si="3264">N646/(A646/365.25)</f>
        <v>6.1646628633866114E-2</v>
      </c>
      <c r="P646" s="180" t="b">
        <f t="shared" ref="P646" si="3265">L646&gt;D646</f>
        <v>1</v>
      </c>
      <c r="Q646" s="182">
        <f>COUNTIF(P$2:P646, TRUE)/(COUNTIF(P$2:P646,FALSE) + COUNTIF(P$2:P646, TRUE))</f>
        <v>0.49302325581395351</v>
      </c>
      <c r="R646" s="172">
        <v>330265.8</v>
      </c>
      <c r="S646" s="172">
        <f t="shared" ref="S646" si="3266">I646-R646</f>
        <v>137313.41999999998</v>
      </c>
      <c r="T646" s="172">
        <v>-33635</v>
      </c>
      <c r="U646" s="172">
        <f t="shared" ref="U646" si="3267">M646-T646</f>
        <v>101214.21999999997</v>
      </c>
      <c r="V646" s="182">
        <f>STDEV(D$2:D646)*SQRT(252)</f>
        <v>0.14266226356718267</v>
      </c>
      <c r="W646" s="182">
        <f>STDEV(L$2:L646)*SQRT(252)</f>
        <v>0.27581457099278633</v>
      </c>
      <c r="X646" s="173">
        <f t="shared" ref="X646" si="3268">E646/(A646/365.25)/V646</f>
        <v>0.76360477547195693</v>
      </c>
      <c r="Y646" s="173">
        <f t="shared" ref="Y646" si="3269">O646/W646</f>
        <v>0.223507512355025</v>
      </c>
      <c r="Z646" s="789">
        <f t="shared" ref="Z646" si="3270">-(E646-N646)</f>
        <v>-0.12960505972013478</v>
      </c>
    </row>
    <row r="647" spans="1:26" ht="20.100000000000001" customHeight="1" x14ac:dyDescent="0.25">
      <c r="A647" s="162">
        <f t="shared" ref="A647" si="3271">B647-$B$2</f>
        <v>1002</v>
      </c>
      <c r="B647" s="171">
        <v>43235</v>
      </c>
      <c r="C647" s="213">
        <v>2711.45</v>
      </c>
      <c r="D647" s="170">
        <f t="shared" ref="D647" si="3272">(C647-C646)/C646</f>
        <v>-6.8421650251088012E-3</v>
      </c>
      <c r="E647" s="207">
        <f t="shared" ref="E647" si="3273">(C647-$C$2)/$C$2</f>
        <v>0.28966819504956132</v>
      </c>
      <c r="F647" s="217">
        <v>7351.62</v>
      </c>
      <c r="G647" s="170">
        <f t="shared" ref="G647" si="3274">(F647-F646)/F646</f>
        <v>-8.0539067992029083E-3</v>
      </c>
      <c r="H647" s="201">
        <f t="shared" ref="H647" si="3275">(F647-F$2)/F$2</f>
        <v>0.44384390282224012</v>
      </c>
      <c r="I647" s="831">
        <v>466861.67</v>
      </c>
      <c r="J647" s="172">
        <v>400000</v>
      </c>
      <c r="K647" s="172">
        <f t="shared" ref="K647" si="3276">I647-I646-J647+J646</f>
        <v>-717.54999999998836</v>
      </c>
      <c r="L647" s="170">
        <f t="shared" ref="L647" si="3277">K647/I646</f>
        <v>-1.5346062641534591E-3</v>
      </c>
      <c r="M647" s="180">
        <f t="shared" ref="M647" si="3278">I647-J647</f>
        <v>66861.669999999984</v>
      </c>
      <c r="N647" s="182">
        <f t="shared" ref="N647" si="3279">M647/J647</f>
        <v>0.16715417499999996</v>
      </c>
      <c r="O647" s="181">
        <f t="shared" ref="O647" si="3280">N647/(A647/365.25)</f>
        <v>6.0931200018712564E-2</v>
      </c>
      <c r="P647" s="180" t="b">
        <f t="shared" ref="P647" si="3281">L647&gt;D647</f>
        <v>1</v>
      </c>
      <c r="Q647" s="182">
        <f>COUNTIF(P$2:P647, TRUE)/(COUNTIF(P$2:P647,FALSE) + COUNTIF(P$2:P647, TRUE))</f>
        <v>0.4938080495356037</v>
      </c>
      <c r="R647" s="172">
        <v>329544.32000000001</v>
      </c>
      <c r="S647" s="172">
        <f t="shared" ref="S647" si="3282">I647-R647</f>
        <v>137317.34999999998</v>
      </c>
      <c r="T647" s="172">
        <v>-33595</v>
      </c>
      <c r="U647" s="172">
        <f t="shared" ref="U647" si="3283">M647-T647</f>
        <v>100456.66999999998</v>
      </c>
      <c r="V647" s="182">
        <f>STDEV(D$2:D647)*SQRT(252)</f>
        <v>0.1426242316403005</v>
      </c>
      <c r="W647" s="182">
        <f>STDEV(L$2:L647)*SQRT(252)</f>
        <v>0.27560351789719828</v>
      </c>
      <c r="X647" s="173">
        <f t="shared" ref="X647" si="3284">E647/(A647/365.25)/V647</f>
        <v>0.74033792695325229</v>
      </c>
      <c r="Y647" s="173">
        <f t="shared" ref="Y647" si="3285">O647/W647</f>
        <v>0.22108280940535838</v>
      </c>
      <c r="Z647" s="789">
        <f t="shared" ref="Z647" si="3286">-(E647-N647)</f>
        <v>-0.12251402004956136</v>
      </c>
    </row>
    <row r="648" spans="1:26" ht="20.100000000000001" customHeight="1" x14ac:dyDescent="0.25">
      <c r="A648" s="162">
        <f t="shared" ref="A648" si="3287">B648-$B$2</f>
        <v>1003</v>
      </c>
      <c r="B648" s="171">
        <v>43236</v>
      </c>
      <c r="C648" s="213">
        <v>2722.46</v>
      </c>
      <c r="D648" s="170">
        <f t="shared" ref="D648" si="3288">(C648-C647)/C647</f>
        <v>4.0605580040200704E-3</v>
      </c>
      <c r="E648" s="207">
        <f t="shared" ref="E648" si="3289">(C648-$C$2)/$C$2</f>
        <v>0.29490496756149998</v>
      </c>
      <c r="F648" s="217">
        <v>7398.29</v>
      </c>
      <c r="G648" s="170">
        <f t="shared" ref="G648" si="3290">(F648-F647)/F647</f>
        <v>6.3482606554745857E-3</v>
      </c>
      <c r="H648" s="201">
        <f t="shared" ref="H648" si="3291">(F648-F$2)/F$2</f>
        <v>0.45300980026317345</v>
      </c>
      <c r="I648" s="831">
        <v>469460.39</v>
      </c>
      <c r="J648" s="172">
        <v>400000</v>
      </c>
      <c r="K648" s="172">
        <f t="shared" ref="K648" si="3292">I648-I647-J648+J647</f>
        <v>2598.7200000000303</v>
      </c>
      <c r="L648" s="170">
        <f t="shared" ref="L648" si="3293">K648/I647</f>
        <v>5.5663597313526086E-3</v>
      </c>
      <c r="M648" s="180">
        <f t="shared" ref="M648" si="3294">I648-J648</f>
        <v>69460.390000000014</v>
      </c>
      <c r="N648" s="182">
        <f t="shared" ref="N648" si="3295">M648/J648</f>
        <v>0.17365097500000004</v>
      </c>
      <c r="O648" s="181">
        <f t="shared" ref="O648" si="3296">N648/(A648/365.25)</f>
        <v>6.323630968968097E-2</v>
      </c>
      <c r="P648" s="180" t="b">
        <f t="shared" ref="P648" si="3297">L648&gt;D648</f>
        <v>1</v>
      </c>
      <c r="Q648" s="182">
        <f>COUNTIF(P$2:P648, TRUE)/(COUNTIF(P$2:P648,FALSE) + COUNTIF(P$2:P648, TRUE))</f>
        <v>0.49459041731066461</v>
      </c>
      <c r="R648" s="172">
        <v>329098.73</v>
      </c>
      <c r="S648" s="172">
        <f t="shared" ref="S648" si="3298">I648-R648</f>
        <v>140361.66000000003</v>
      </c>
      <c r="T648" s="172">
        <v>-33215</v>
      </c>
      <c r="U648" s="172">
        <f t="shared" ref="U648" si="3299">M648-T648</f>
        <v>102675.39000000001</v>
      </c>
      <c r="V648" s="182">
        <f>STDEV(D$2:D648)*SQRT(252)</f>
        <v>0.14253161835311137</v>
      </c>
      <c r="W648" s="182">
        <f>STDEV(L$2:L648)*SQRT(252)</f>
        <v>0.2754074158314333</v>
      </c>
      <c r="X648" s="173">
        <f t="shared" ref="X648" si="3300">E648/(A648/365.25)/V648</f>
        <v>0.75345993437295689</v>
      </c>
      <c r="Y648" s="173">
        <f t="shared" ref="Y648" si="3301">O648/W648</f>
        <v>0.22961004698720813</v>
      </c>
      <c r="Z648" s="789">
        <f t="shared" ref="Z648" si="3302">-(E648-N648)</f>
        <v>-0.12125399256149993</v>
      </c>
    </row>
    <row r="649" spans="1:26" ht="20.100000000000001" customHeight="1" x14ac:dyDescent="0.25">
      <c r="A649" s="162">
        <f t="shared" ref="A649" si="3303">B649-$B$2</f>
        <v>1004</v>
      </c>
      <c r="B649" s="171">
        <v>43237</v>
      </c>
      <c r="C649" s="213">
        <v>2720.13</v>
      </c>
      <c r="D649" s="170">
        <f t="shared" ref="D649" si="3304">(C649-C648)/C648</f>
        <v>-8.5584361202733085E-4</v>
      </c>
      <c r="E649" s="207">
        <f t="shared" ref="E649" si="3305">(C649-$C$2)/$C$2</f>
        <v>0.29379673141682999</v>
      </c>
      <c r="F649" s="217">
        <v>7382.47</v>
      </c>
      <c r="G649" s="170">
        <f t="shared" ref="G649" si="3306">(F649-F648)/F648</f>
        <v>-2.1383319659001891E-3</v>
      </c>
      <c r="H649" s="201">
        <f t="shared" ref="H649" si="3307">(F649-F$2)/F$2</f>
        <v>0.44990278296050445</v>
      </c>
      <c r="I649" s="831">
        <v>471759.89</v>
      </c>
      <c r="J649" s="172">
        <v>400000</v>
      </c>
      <c r="K649" s="172">
        <f t="shared" ref="K649" si="3308">I649-I648-J649+J648</f>
        <v>2299.5</v>
      </c>
      <c r="L649" s="170">
        <f t="shared" ref="L649" si="3309">K649/I648</f>
        <v>4.8981768195608582E-3</v>
      </c>
      <c r="M649" s="180">
        <f t="shared" ref="M649" si="3310">I649-J649</f>
        <v>71759.890000000014</v>
      </c>
      <c r="N649" s="182">
        <f t="shared" ref="N649" si="3311">M649/J649</f>
        <v>0.17939972500000004</v>
      </c>
      <c r="O649" s="181">
        <f t="shared" ref="O649" si="3312">N649/(A649/365.25)</f>
        <v>6.5264690793077701E-2</v>
      </c>
      <c r="P649" s="180" t="b">
        <f t="shared" ref="P649" si="3313">L649&gt;D649</f>
        <v>1</v>
      </c>
      <c r="Q649" s="182">
        <f>COUNTIF(P$2:P649, TRUE)/(COUNTIF(P$2:P649,FALSE) + COUNTIF(P$2:P649, TRUE))</f>
        <v>0.49537037037037035</v>
      </c>
      <c r="R649" s="172">
        <v>334075.42</v>
      </c>
      <c r="S649" s="172">
        <f t="shared" ref="S649" si="3314">I649-R649</f>
        <v>137684.47000000003</v>
      </c>
      <c r="T649" s="172">
        <v>-32602</v>
      </c>
      <c r="U649" s="172">
        <f t="shared" ref="U649" si="3315">M649-T649</f>
        <v>104361.89000000001</v>
      </c>
      <c r="V649" s="182">
        <f>STDEV(D$2:D649)*SQRT(252)</f>
        <v>0.14242355455399155</v>
      </c>
      <c r="W649" s="182">
        <f>STDEV(L$2:L649)*SQRT(252)</f>
        <v>0.27520733292205884</v>
      </c>
      <c r="X649" s="173">
        <f t="shared" ref="X649" si="3316">E649/(A649/365.25)/V649</f>
        <v>0.75044980844476061</v>
      </c>
      <c r="Y649" s="173">
        <f t="shared" ref="Y649" si="3317">O649/W649</f>
        <v>0.23714735396080902</v>
      </c>
      <c r="Z649" s="789">
        <f t="shared" ref="Z649" si="3318">-(E649-N649)</f>
        <v>-0.11439700641682995</v>
      </c>
    </row>
  </sheetData>
  <conditionalFormatting sqref="D3:D64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280.57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>
        <v>280.57</v>
      </c>
      <c r="R4" s="492">
        <v>-3.3E-3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9" t="s">
        <v>78</v>
      </c>
      <c r="P42" s="849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308.62700000000001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305.82130000000001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303.01560000000001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300.2099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297.4042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294.5985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291.7928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288.9871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286.1814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283.37569999999999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280.57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277.76429999999999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274.95859999999999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272.15289999999999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2"/>
    </row>
    <row r="58" spans="1:21" x14ac:dyDescent="0.25">
      <c r="O58" s="81">
        <v>0.95</v>
      </c>
      <c r="P58" s="81">
        <f t="shared" si="3"/>
        <v>266.54149999999998</v>
      </c>
      <c r="U58" s="472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8" priority="58">
      <formula>F19&gt;0</formula>
    </cfRule>
    <cfRule type="expression" dxfId="249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6" priority="47">
      <formula>H25&gt;0</formula>
    </cfRule>
    <cfRule type="expression" dxfId="2495" priority="48">
      <formula>H25&lt;0</formula>
    </cfRule>
  </conditionalFormatting>
  <conditionalFormatting sqref="M39">
    <cfRule type="expression" dxfId="2494" priority="45">
      <formula>M39&gt;0</formula>
    </cfRule>
    <cfRule type="expression" dxfId="2493" priority="46">
      <formula>M39&lt;0</formula>
    </cfRule>
  </conditionalFormatting>
  <conditionalFormatting sqref="F61:F67">
    <cfRule type="expression" dxfId="2492" priority="43">
      <formula>F61&gt;0</formula>
    </cfRule>
    <cfRule type="expression" dxfId="2491" priority="44">
      <formula>F61&lt;0</formula>
    </cfRule>
  </conditionalFormatting>
  <conditionalFormatting sqref="H61:H67">
    <cfRule type="expression" dxfId="2490" priority="41">
      <formula>H61&gt;0</formula>
    </cfRule>
    <cfRule type="expression" dxfId="2489" priority="42">
      <formula>H61&lt;0</formula>
    </cfRule>
  </conditionalFormatting>
  <conditionalFormatting sqref="F21:F24">
    <cfRule type="expression" dxfId="2488" priority="39">
      <formula>F21&gt;0</formula>
    </cfRule>
    <cfRule type="expression" dxfId="2487" priority="40">
      <formula>F21&lt;0</formula>
    </cfRule>
  </conditionalFormatting>
  <conditionalFormatting sqref="H21:H24">
    <cfRule type="expression" dxfId="2486" priority="37">
      <formula>H21&gt;0</formula>
    </cfRule>
    <cfRule type="expression" dxfId="2485" priority="38">
      <formula>H21&lt;0</formula>
    </cfRule>
  </conditionalFormatting>
  <conditionalFormatting sqref="I25:I28">
    <cfRule type="expression" dxfId="2484" priority="31">
      <formula>I25&gt;0</formula>
    </cfRule>
    <cfRule type="expression" dxfId="2483" priority="32">
      <formula>I25&lt;0</formula>
    </cfRule>
  </conditionalFormatting>
  <conditionalFormatting sqref="I21:I24">
    <cfRule type="expression" dxfId="2482" priority="29">
      <formula>I21&gt;0</formula>
    </cfRule>
    <cfRule type="expression" dxfId="2481" priority="30">
      <formula>I21&lt;0</formula>
    </cfRule>
  </conditionalFormatting>
  <conditionalFormatting sqref="H29">
    <cfRule type="expression" dxfId="2480" priority="27">
      <formula>H29&gt;0</formula>
    </cfRule>
    <cfRule type="expression" dxfId="2479" priority="28">
      <formula>H29&lt;0</formula>
    </cfRule>
  </conditionalFormatting>
  <conditionalFormatting sqref="H30">
    <cfRule type="expression" dxfId="2478" priority="25">
      <formula>H30&gt;0</formula>
    </cfRule>
    <cfRule type="expression" dxfId="2477" priority="26">
      <formula>H30&lt;0</formula>
    </cfRule>
  </conditionalFormatting>
  <conditionalFormatting sqref="H31">
    <cfRule type="expression" dxfId="2476" priority="23">
      <formula>H31&gt;0</formula>
    </cfRule>
    <cfRule type="expression" dxfId="2475" priority="24">
      <formula>H31&lt;0</formula>
    </cfRule>
  </conditionalFormatting>
  <conditionalFormatting sqref="Q7">
    <cfRule type="expression" dxfId="2474" priority="21">
      <formula>Q7&gt;0</formula>
    </cfRule>
    <cfRule type="expression" dxfId="2473" priority="22">
      <formula>Q7&lt;0</formula>
    </cfRule>
  </conditionalFormatting>
  <conditionalFormatting sqref="Q8">
    <cfRule type="expression" dxfId="2472" priority="19">
      <formula>Q8&gt;0</formula>
    </cfRule>
    <cfRule type="expression" dxfId="2471" priority="20">
      <formula>Q8&lt;0</formula>
    </cfRule>
  </conditionalFormatting>
  <conditionalFormatting sqref="F73:F82">
    <cfRule type="expression" dxfId="2470" priority="17">
      <formula>F73&gt;0</formula>
    </cfRule>
    <cfRule type="expression" dxfId="2469" priority="18">
      <formula>F73&lt;0</formula>
    </cfRule>
  </conditionalFormatting>
  <conditionalFormatting sqref="H73:H76">
    <cfRule type="expression" dxfId="2468" priority="15">
      <formula>H73&gt;0</formula>
    </cfRule>
    <cfRule type="expression" dxfId="2467" priority="16">
      <formula>H73&lt;0</formula>
    </cfRule>
  </conditionalFormatting>
  <conditionalFormatting sqref="F69:F72">
    <cfRule type="expression" dxfId="2466" priority="13">
      <formula>F69&gt;0</formula>
    </cfRule>
    <cfRule type="expression" dxfId="2465" priority="14">
      <formula>F69&lt;0</formula>
    </cfRule>
  </conditionalFormatting>
  <conditionalFormatting sqref="H69:H72">
    <cfRule type="expression" dxfId="2464" priority="11">
      <formula>H69&gt;0</formula>
    </cfRule>
    <cfRule type="expression" dxfId="2463" priority="12">
      <formula>H69&lt;0</formula>
    </cfRule>
  </conditionalFormatting>
  <conditionalFormatting sqref="I73:I76">
    <cfRule type="expression" dxfId="2462" priority="9">
      <formula>I73&gt;0</formula>
    </cfRule>
    <cfRule type="expression" dxfId="2461" priority="10">
      <formula>I73&lt;0</formula>
    </cfRule>
  </conditionalFormatting>
  <conditionalFormatting sqref="I69:I72">
    <cfRule type="expression" dxfId="2460" priority="7">
      <formula>I69&gt;0</formula>
    </cfRule>
    <cfRule type="expression" dxfId="2459" priority="8">
      <formula>I69&lt;0</formula>
    </cfRule>
  </conditionalFormatting>
  <conditionalFormatting sqref="H77">
    <cfRule type="expression" dxfId="2458" priority="5">
      <formula>H77&gt;0</formula>
    </cfRule>
    <cfRule type="expression" dxfId="2457" priority="6">
      <formula>H77&lt;0</formula>
    </cfRule>
  </conditionalFormatting>
  <conditionalFormatting sqref="H78">
    <cfRule type="expression" dxfId="2456" priority="3">
      <formula>H78&gt;0</formula>
    </cfRule>
    <cfRule type="expression" dxfId="2455" priority="4">
      <formula>H78&lt;0</formula>
    </cfRule>
  </conditionalFormatting>
  <conditionalFormatting sqref="H79">
    <cfRule type="expression" dxfId="2454" priority="1">
      <formula>H79&gt;0</formula>
    </cfRule>
    <cfRule type="expression" dxfId="245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40.08</v>
      </c>
      <c r="R4" s="492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2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203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44.088000000000001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43.2864</v>
      </c>
      <c r="Q45" s="2"/>
      <c r="T45" s="106" t="s">
        <v>99</v>
      </c>
      <c r="U45" s="354" t="s">
        <v>565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42.885600000000004</v>
      </c>
      <c r="Q46" s="2"/>
      <c r="T46" s="106" t="s">
        <v>100</v>
      </c>
      <c r="U46" s="354" t="s">
        <v>566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42.4848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42.084000000000003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41.683199999999999</v>
      </c>
      <c r="Q49" s="2"/>
      <c r="T49" s="106" t="s">
        <v>121</v>
      </c>
      <c r="U49" s="354" t="s">
        <v>426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41.282400000000003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40.881599999999999</v>
      </c>
      <c r="Q51" s="2"/>
      <c r="T51" s="106" t="s">
        <v>104</v>
      </c>
      <c r="U51" s="354" t="s">
        <v>567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40.480800000000002</v>
      </c>
      <c r="Q52" s="2"/>
      <c r="T52" s="106" t="s">
        <v>105</v>
      </c>
      <c r="U52" s="354" t="s">
        <v>416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4" t="s">
        <v>568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38.877599999999994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38.476799999999997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38.075999999999993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2" priority="29">
      <formula>N19&gt;0</formula>
    </cfRule>
    <cfRule type="expression" dxfId="245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0" priority="23">
      <formula>F22&gt;0</formula>
    </cfRule>
    <cfRule type="expression" dxfId="2449" priority="24">
      <formula>F22&lt;0</formula>
    </cfRule>
  </conditionalFormatting>
  <conditionalFormatting sqref="H22:H31">
    <cfRule type="expression" dxfId="2448" priority="21">
      <formula>H22&gt;0</formula>
    </cfRule>
    <cfRule type="expression" dxfId="2447" priority="22">
      <formula>H22&lt;0</formula>
    </cfRule>
  </conditionalFormatting>
  <conditionalFormatting sqref="I21:J31">
    <cfRule type="expression" dxfId="2446" priority="19">
      <formula>I21&gt;0</formula>
    </cfRule>
    <cfRule type="expression" dxfId="2445" priority="20">
      <formula>I21&lt;0</formula>
    </cfRule>
  </conditionalFormatting>
  <conditionalFormatting sqref="Q8">
    <cfRule type="expression" dxfId="2444" priority="11">
      <formula>Q8&gt;0</formula>
    </cfRule>
    <cfRule type="expression" dxfId="2443" priority="12">
      <formula>Q8&lt;0</formula>
    </cfRule>
  </conditionalFormatting>
  <conditionalFormatting sqref="Q7">
    <cfRule type="expression" dxfId="2442" priority="13">
      <formula>Q7&gt;0</formula>
    </cfRule>
    <cfRule type="expression" dxfId="2441" priority="14">
      <formula>Q7&lt;0</formula>
    </cfRule>
  </conditionalFormatting>
  <conditionalFormatting sqref="F56:F66">
    <cfRule type="expression" dxfId="2440" priority="9">
      <formula>F56&gt;0</formula>
    </cfRule>
    <cfRule type="expression" dxfId="2439" priority="10">
      <formula>F56&lt;0</formula>
    </cfRule>
  </conditionalFormatting>
  <conditionalFormatting sqref="H56:H66">
    <cfRule type="expression" dxfId="2438" priority="7">
      <formula>H56&gt;0</formula>
    </cfRule>
    <cfRule type="expression" dxfId="2437" priority="8">
      <formula>H56&lt;0</formula>
    </cfRule>
  </conditionalFormatting>
  <conditionalFormatting sqref="I56:I66">
    <cfRule type="expression" dxfId="2436" priority="5">
      <formula>I56&gt;0</formula>
    </cfRule>
    <cfRule type="expression" dxfId="2435" priority="6">
      <formula>I56&lt;0</formula>
    </cfRule>
  </conditionalFormatting>
  <conditionalFormatting sqref="F21">
    <cfRule type="expression" dxfId="2434" priority="3">
      <formula>F21&gt;0</formula>
    </cfRule>
    <cfRule type="expression" dxfId="2433" priority="4">
      <formula>F21&lt;0</formula>
    </cfRule>
  </conditionalFormatting>
  <conditionalFormatting sqref="H21">
    <cfRule type="expression" dxfId="2432" priority="1">
      <formula>H21&gt;0</formula>
    </cfRule>
    <cfRule type="expression" dxfId="243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893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38.97</v>
      </c>
      <c r="R4" s="224">
        <v>3.3999999999999998E-3</v>
      </c>
      <c r="T4" s="1">
        <v>43114</v>
      </c>
      <c r="U4" t="s">
        <v>892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9742.5</v>
      </c>
      <c r="T5" s="1">
        <v>43117</v>
      </c>
      <c r="U5" t="s">
        <v>904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791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-2288.1200000000026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-3445.989999999998</v>
      </c>
      <c r="T8" s="774">
        <v>43173</v>
      </c>
      <c r="U8" t="s">
        <v>968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209</v>
      </c>
      <c r="Q9" s="224">
        <f>IF(Q2=0, 0, Q8/Q6)</f>
        <v>-0.2612876834269881</v>
      </c>
      <c r="T9" s="153"/>
      <c r="U9" t="s">
        <v>994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3.1819348216576858E-2</v>
      </c>
      <c r="R11" s="33">
        <v>0.31</v>
      </c>
      <c r="U11" t="s">
        <v>993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958</v>
      </c>
      <c r="Q12" s="1" t="s">
        <v>1107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986</v>
      </c>
      <c r="Q13">
        <f>Q4/4</f>
        <v>9.7424999999999997</v>
      </c>
      <c r="T13" s="1">
        <v>43212</v>
      </c>
      <c r="U13" t="s">
        <v>1040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7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8"/>
      <c r="P16" s="4"/>
      <c r="Q16" s="4"/>
      <c r="R16" s="233"/>
      <c r="S16" s="233"/>
      <c r="T16" s="72">
        <v>43257</v>
      </c>
      <c r="U16" s="4" t="s">
        <v>999</v>
      </c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9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193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762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764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776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4" t="s">
        <v>78</v>
      </c>
      <c r="P39" s="674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42.867000000000004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42.4773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42.087600000000002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41.697900000000004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41.308199999999999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40.918500000000002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40.528799999999997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40.139099999999999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39.749400000000001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39.359699999999997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38.97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38.580300000000001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38.190599999999996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37.800899999999999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37.411200000000001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37.021499999999996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36.631799999999998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36.242100000000001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35.852400000000003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35.462699999999998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35.073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407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448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469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469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214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7">
        <v>42746</v>
      </c>
      <c r="C188" s="636">
        <v>30</v>
      </c>
      <c r="D188" s="638">
        <v>81.81</v>
      </c>
      <c r="E188" s="638">
        <v>0</v>
      </c>
      <c r="F188" s="638">
        <f t="shared" ref="F188:F203" si="47">C188*D188+E188</f>
        <v>2454.3000000000002</v>
      </c>
      <c r="G188" s="637">
        <v>42746</v>
      </c>
      <c r="H188" s="636">
        <v>30</v>
      </c>
      <c r="I188" s="638">
        <v>81.599999999999994</v>
      </c>
      <c r="J188" s="638">
        <v>0.05</v>
      </c>
      <c r="K188" s="638">
        <f t="shared" ref="K188:K196" si="48">H188*I188-J188</f>
        <v>2447.9499999999998</v>
      </c>
      <c r="L188" s="637">
        <v>42794</v>
      </c>
      <c r="M188" s="638">
        <v>13</v>
      </c>
    </row>
    <row r="189" spans="1:13" x14ac:dyDescent="0.25">
      <c r="A189" s="252"/>
      <c r="B189" s="725">
        <v>42748</v>
      </c>
      <c r="C189" s="636">
        <v>20</v>
      </c>
      <c r="D189" s="638">
        <v>80.010000000000005</v>
      </c>
      <c r="E189" s="638">
        <v>0</v>
      </c>
      <c r="F189" s="638">
        <f t="shared" si="47"/>
        <v>1600.2</v>
      </c>
      <c r="G189" s="637">
        <v>42803</v>
      </c>
      <c r="H189" s="726">
        <v>100</v>
      </c>
      <c r="I189" s="638">
        <v>69.58</v>
      </c>
      <c r="J189" s="638">
        <v>0.15</v>
      </c>
      <c r="K189" s="638">
        <f t="shared" si="48"/>
        <v>6957.85</v>
      </c>
      <c r="L189" s="637">
        <v>42887</v>
      </c>
      <c r="M189" s="638">
        <v>62</v>
      </c>
    </row>
    <row r="190" spans="1:13" x14ac:dyDescent="0.25">
      <c r="A190" s="252"/>
      <c r="B190" s="725">
        <v>42754</v>
      </c>
      <c r="C190" s="636">
        <v>30</v>
      </c>
      <c r="D190" s="638">
        <v>80.88</v>
      </c>
      <c r="E190" s="638">
        <v>0</v>
      </c>
      <c r="F190" s="638">
        <f t="shared" si="47"/>
        <v>2426.3999999999996</v>
      </c>
      <c r="G190" s="637">
        <v>42804</v>
      </c>
      <c r="H190" s="726">
        <v>25</v>
      </c>
      <c r="I190" s="638">
        <v>72.58</v>
      </c>
      <c r="J190" s="638">
        <v>0.04</v>
      </c>
      <c r="K190" s="638">
        <f t="shared" si="48"/>
        <v>1814.46</v>
      </c>
      <c r="L190" s="637">
        <v>42978</v>
      </c>
      <c r="M190" s="638">
        <v>77.5</v>
      </c>
    </row>
    <row r="191" spans="1:13" x14ac:dyDescent="0.25">
      <c r="A191" s="252"/>
      <c r="B191" s="637">
        <v>42766</v>
      </c>
      <c r="C191" s="636">
        <v>25</v>
      </c>
      <c r="D191" s="638">
        <v>77</v>
      </c>
      <c r="E191" s="638">
        <v>0</v>
      </c>
      <c r="F191" s="638">
        <f t="shared" si="47"/>
        <v>1925</v>
      </c>
      <c r="G191" s="637">
        <v>42894</v>
      </c>
      <c r="H191" s="726">
        <v>50</v>
      </c>
      <c r="I191" s="638">
        <v>57</v>
      </c>
      <c r="J191" s="638">
        <v>0.06</v>
      </c>
      <c r="K191" s="638">
        <f t="shared" si="48"/>
        <v>2849.94</v>
      </c>
      <c r="L191" s="636"/>
      <c r="M191" s="636"/>
    </row>
    <row r="192" spans="1:13" x14ac:dyDescent="0.25">
      <c r="A192" s="252"/>
      <c r="B192" s="637">
        <v>42772</v>
      </c>
      <c r="C192" s="636">
        <v>25</v>
      </c>
      <c r="D192" s="638">
        <v>75.25</v>
      </c>
      <c r="E192" s="638">
        <v>0</v>
      </c>
      <c r="F192" s="638">
        <f t="shared" si="47"/>
        <v>1881.25</v>
      </c>
      <c r="G192" s="637">
        <v>42915</v>
      </c>
      <c r="H192" s="726">
        <v>100</v>
      </c>
      <c r="I192" s="638">
        <v>64.28</v>
      </c>
      <c r="J192" s="638">
        <v>0.15</v>
      </c>
      <c r="K192" s="638">
        <f t="shared" si="48"/>
        <v>6427.85</v>
      </c>
      <c r="L192" s="636"/>
      <c r="M192" s="636"/>
    </row>
    <row r="193" spans="1:13" x14ac:dyDescent="0.25">
      <c r="A193" s="252"/>
      <c r="B193" s="637">
        <v>42773</v>
      </c>
      <c r="C193" s="636">
        <v>25</v>
      </c>
      <c r="D193" s="638">
        <v>73.08</v>
      </c>
      <c r="E193" s="638">
        <v>0</v>
      </c>
      <c r="F193" s="638">
        <f t="shared" si="47"/>
        <v>1827</v>
      </c>
      <c r="G193" s="637">
        <v>42972</v>
      </c>
      <c r="H193" s="726">
        <v>100</v>
      </c>
      <c r="I193" s="638">
        <v>64</v>
      </c>
      <c r="J193" s="638">
        <v>0.15</v>
      </c>
      <c r="K193" s="638">
        <f t="shared" si="48"/>
        <v>6399.85</v>
      </c>
      <c r="L193" s="636"/>
      <c r="M193" s="636"/>
    </row>
    <row r="194" spans="1:13" x14ac:dyDescent="0.25">
      <c r="A194" s="252"/>
      <c r="B194" s="637">
        <v>42794</v>
      </c>
      <c r="C194" s="636">
        <v>50</v>
      </c>
      <c r="D194" s="638">
        <v>69.05</v>
      </c>
      <c r="E194" s="638">
        <v>0</v>
      </c>
      <c r="F194" s="638">
        <f t="shared" si="47"/>
        <v>3452.5</v>
      </c>
      <c r="G194" s="637">
        <v>42984</v>
      </c>
      <c r="H194" s="726">
        <v>150</v>
      </c>
      <c r="I194" s="638">
        <v>65.38</v>
      </c>
      <c r="J194" s="638">
        <v>0.23</v>
      </c>
      <c r="K194" s="638">
        <f t="shared" si="48"/>
        <v>9806.77</v>
      </c>
      <c r="L194" s="636"/>
      <c r="M194" s="636"/>
    </row>
    <row r="195" spans="1:13" x14ac:dyDescent="0.25">
      <c r="A195" s="252"/>
      <c r="B195" s="637">
        <v>42794</v>
      </c>
      <c r="C195" s="636">
        <v>50</v>
      </c>
      <c r="D195" s="638">
        <v>68.77</v>
      </c>
      <c r="E195" s="638">
        <v>0</v>
      </c>
      <c r="F195" s="638">
        <f t="shared" si="47"/>
        <v>3438.5</v>
      </c>
      <c r="G195" s="637">
        <v>42989</v>
      </c>
      <c r="H195" s="726">
        <v>100</v>
      </c>
      <c r="I195" s="638">
        <v>66.78</v>
      </c>
      <c r="J195" s="638">
        <v>0.15</v>
      </c>
      <c r="K195" s="638">
        <f t="shared" si="48"/>
        <v>6677.85</v>
      </c>
      <c r="L195" s="636"/>
      <c r="M195" s="636"/>
    </row>
    <row r="196" spans="1:13" x14ac:dyDescent="0.25">
      <c r="A196" s="252"/>
      <c r="B196" s="637">
        <v>42794</v>
      </c>
      <c r="C196" s="636">
        <v>50</v>
      </c>
      <c r="D196" s="638">
        <v>65.38</v>
      </c>
      <c r="E196" s="638">
        <v>0</v>
      </c>
      <c r="F196" s="638">
        <f t="shared" si="47"/>
        <v>3269</v>
      </c>
      <c r="G196" s="637">
        <v>43005</v>
      </c>
      <c r="H196" s="726">
        <v>100</v>
      </c>
      <c r="I196" s="638">
        <v>66.48</v>
      </c>
      <c r="J196" s="638">
        <v>0.15</v>
      </c>
      <c r="K196" s="638">
        <f t="shared" si="48"/>
        <v>6647.85</v>
      </c>
      <c r="L196" s="636"/>
      <c r="M196" s="636"/>
    </row>
    <row r="197" spans="1:13" x14ac:dyDescent="0.25">
      <c r="A197" s="252"/>
      <c r="B197" s="637">
        <v>42794</v>
      </c>
      <c r="C197" s="636">
        <v>25</v>
      </c>
      <c r="D197" s="638">
        <v>63.28</v>
      </c>
      <c r="E197" s="638">
        <v>0</v>
      </c>
      <c r="F197" s="638">
        <f t="shared" si="47"/>
        <v>1582</v>
      </c>
      <c r="G197" s="637"/>
      <c r="H197" s="726"/>
      <c r="I197" s="636"/>
      <c r="J197" s="636"/>
      <c r="K197" s="638"/>
      <c r="L197" s="636"/>
      <c r="M197" s="636"/>
    </row>
    <row r="198" spans="1:13" x14ac:dyDescent="0.25">
      <c r="A198" s="252"/>
      <c r="B198" s="637">
        <v>42808</v>
      </c>
      <c r="C198" s="636">
        <v>25</v>
      </c>
      <c r="D198" s="638">
        <v>67.88</v>
      </c>
      <c r="E198" s="638">
        <v>0</v>
      </c>
      <c r="F198" s="638">
        <f t="shared" si="47"/>
        <v>1697</v>
      </c>
      <c r="G198" s="637"/>
      <c r="H198" s="726"/>
      <c r="I198" s="636"/>
      <c r="J198" s="636"/>
      <c r="K198" s="638"/>
      <c r="L198" s="636"/>
      <c r="M198" s="636"/>
    </row>
    <row r="199" spans="1:13" x14ac:dyDescent="0.25">
      <c r="A199" s="252"/>
      <c r="B199" s="637">
        <v>42865</v>
      </c>
      <c r="C199" s="636">
        <v>100</v>
      </c>
      <c r="D199" s="638">
        <v>63.85</v>
      </c>
      <c r="E199" s="638">
        <v>0</v>
      </c>
      <c r="F199" s="638">
        <f t="shared" si="47"/>
        <v>6385</v>
      </c>
      <c r="G199" s="637"/>
      <c r="H199" s="726"/>
      <c r="I199" s="638"/>
      <c r="J199" s="636"/>
      <c r="K199" s="638"/>
      <c r="L199" s="636"/>
      <c r="M199" s="636"/>
    </row>
    <row r="200" spans="1:13" x14ac:dyDescent="0.25">
      <c r="A200" s="252"/>
      <c r="B200" s="637">
        <v>42866</v>
      </c>
      <c r="C200" s="636">
        <v>50</v>
      </c>
      <c r="D200" s="638">
        <v>61.1</v>
      </c>
      <c r="E200" s="638">
        <v>-0.2</v>
      </c>
      <c r="F200" s="638">
        <f t="shared" si="47"/>
        <v>3054.8</v>
      </c>
      <c r="G200" s="637"/>
      <c r="H200" s="726"/>
      <c r="I200" s="636"/>
      <c r="J200" s="636"/>
      <c r="K200" s="638"/>
      <c r="L200" s="636"/>
      <c r="M200" s="636"/>
    </row>
    <row r="201" spans="1:13" x14ac:dyDescent="0.25">
      <c r="A201" s="252"/>
      <c r="B201" s="637">
        <v>42879</v>
      </c>
      <c r="C201" s="636">
        <v>50</v>
      </c>
      <c r="D201" s="638">
        <v>53.3</v>
      </c>
      <c r="E201" s="638">
        <v>0</v>
      </c>
      <c r="F201" s="638">
        <f t="shared" si="47"/>
        <v>2665</v>
      </c>
      <c r="G201" s="637"/>
      <c r="H201" s="726"/>
      <c r="I201" s="636"/>
      <c r="J201" s="636"/>
      <c r="K201" s="638"/>
      <c r="L201" s="636"/>
      <c r="M201" s="636"/>
    </row>
    <row r="202" spans="1:13" x14ac:dyDescent="0.25">
      <c r="A202" s="252"/>
      <c r="B202" s="637">
        <v>42949</v>
      </c>
      <c r="C202" s="636">
        <v>50</v>
      </c>
      <c r="D202" s="638">
        <v>59.32</v>
      </c>
      <c r="E202" s="638">
        <v>0</v>
      </c>
      <c r="F202" s="638">
        <f t="shared" si="47"/>
        <v>2966</v>
      </c>
      <c r="G202" s="637"/>
      <c r="H202" s="726"/>
      <c r="I202" s="636"/>
      <c r="J202" s="636"/>
      <c r="K202" s="638"/>
      <c r="L202" s="636"/>
      <c r="M202" s="636"/>
    </row>
    <row r="203" spans="1:13" x14ac:dyDescent="0.25">
      <c r="A203" s="252"/>
      <c r="B203" s="637">
        <v>42957</v>
      </c>
      <c r="C203" s="636">
        <v>50</v>
      </c>
      <c r="D203" s="638">
        <v>55.78</v>
      </c>
      <c r="E203" s="638">
        <v>0</v>
      </c>
      <c r="F203" s="638">
        <f t="shared" si="47"/>
        <v>2789</v>
      </c>
      <c r="G203" s="636"/>
      <c r="H203" s="636"/>
      <c r="I203" s="636"/>
      <c r="J203" s="636"/>
      <c r="K203" s="638"/>
      <c r="L203" s="636"/>
      <c r="M203" s="636"/>
    </row>
    <row r="204" spans="1:13" x14ac:dyDescent="0.25">
      <c r="A204" s="252"/>
      <c r="B204" s="637">
        <v>42972</v>
      </c>
      <c r="C204" s="636">
        <v>100</v>
      </c>
      <c r="D204" s="638">
        <v>62.88</v>
      </c>
      <c r="E204" s="638">
        <v>0</v>
      </c>
      <c r="F204" s="638">
        <f>C204*D204+E204</f>
        <v>6288</v>
      </c>
      <c r="G204" s="637"/>
      <c r="H204" s="726"/>
      <c r="I204" s="636"/>
      <c r="J204" s="636"/>
      <c r="K204" s="638"/>
      <c r="L204" s="636"/>
      <c r="M204" s="636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193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30" priority="64">
      <formula>N23&gt;0</formula>
    </cfRule>
    <cfRule type="expression" dxfId="242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8" priority="58">
      <formula>F79&gt;0</formula>
    </cfRule>
    <cfRule type="expression" dxfId="2427" priority="59">
      <formula>F79&lt;0</formula>
    </cfRule>
  </conditionalFormatting>
  <conditionalFormatting sqref="H79:H97 H101:H118">
    <cfRule type="expression" dxfId="2426" priority="56">
      <formula>H79&gt;0</formula>
    </cfRule>
    <cfRule type="expression" dxfId="2425" priority="57">
      <formula>H79&lt;0</formula>
    </cfRule>
  </conditionalFormatting>
  <conditionalFormatting sqref="I75:I97 I100:I118">
    <cfRule type="expression" dxfId="2424" priority="54">
      <formula>I75&gt;0</formula>
    </cfRule>
    <cfRule type="expression" dxfId="2423" priority="55">
      <formula>I75&lt;0</formula>
    </cfRule>
  </conditionalFormatting>
  <conditionalFormatting sqref="Q7">
    <cfRule type="expression" dxfId="2422" priority="52">
      <formula>Q7&gt;0</formula>
    </cfRule>
    <cfRule type="expression" dxfId="2421" priority="53">
      <formula>Q7&lt;0</formula>
    </cfRule>
  </conditionalFormatting>
  <conditionalFormatting sqref="Q8">
    <cfRule type="expression" dxfId="2420" priority="50">
      <formula>Q8&gt;0</formula>
    </cfRule>
    <cfRule type="expression" dxfId="2419" priority="51">
      <formula>Q8&lt;0</formula>
    </cfRule>
  </conditionalFormatting>
  <conditionalFormatting sqref="F75:F78">
    <cfRule type="expression" dxfId="2418" priority="48">
      <formula>F75&gt;0</formula>
    </cfRule>
    <cfRule type="expression" dxfId="2417" priority="49">
      <formula>F75&lt;0</formula>
    </cfRule>
  </conditionalFormatting>
  <conditionalFormatting sqref="H75:H78">
    <cfRule type="expression" dxfId="2416" priority="46">
      <formula>H75&gt;0</formula>
    </cfRule>
    <cfRule type="expression" dxfId="2415" priority="47">
      <formula>H75&lt;0</formula>
    </cfRule>
  </conditionalFormatting>
  <conditionalFormatting sqref="F100:F114">
    <cfRule type="expression" dxfId="2414" priority="40">
      <formula>F100&gt;0</formula>
    </cfRule>
    <cfRule type="expression" dxfId="2413" priority="41">
      <formula>F100&lt;0</formula>
    </cfRule>
  </conditionalFormatting>
  <conditionalFormatting sqref="H100:H114">
    <cfRule type="expression" dxfId="2412" priority="38">
      <formula>H100&gt;0</formula>
    </cfRule>
    <cfRule type="expression" dxfId="2411" priority="39">
      <formula>H100&lt;0</formula>
    </cfRule>
  </conditionalFormatting>
  <conditionalFormatting sqref="F29:F61">
    <cfRule type="expression" dxfId="2410" priority="36">
      <formula>F29&gt;0</formula>
    </cfRule>
    <cfRule type="expression" dxfId="2409" priority="37">
      <formula>F29&lt;0</formula>
    </cfRule>
  </conditionalFormatting>
  <conditionalFormatting sqref="H29:H61">
    <cfRule type="expression" dxfId="2408" priority="34">
      <formula>H29&gt;0</formula>
    </cfRule>
    <cfRule type="expression" dxfId="2407" priority="35">
      <formula>H29&lt;0</formula>
    </cfRule>
  </conditionalFormatting>
  <conditionalFormatting sqref="J38:J68">
    <cfRule type="expression" dxfId="2406" priority="32">
      <formula>J38&gt;0</formula>
    </cfRule>
    <cfRule type="expression" dxfId="2405" priority="33">
      <formula>J38&lt;0</formula>
    </cfRule>
  </conditionalFormatting>
  <conditionalFormatting sqref="J43">
    <cfRule type="expression" dxfId="2404" priority="30">
      <formula>J43&gt;0</formula>
    </cfRule>
    <cfRule type="expression" dxfId="2403" priority="31">
      <formula>J43&lt;0</formula>
    </cfRule>
  </conditionalFormatting>
  <conditionalFormatting sqref="Q9">
    <cfRule type="expression" dxfId="2402" priority="24">
      <formula>Q9&gt;0</formula>
    </cfRule>
    <cfRule type="expression" dxfId="2401" priority="25">
      <formula>Q9&lt;0</formula>
    </cfRule>
  </conditionalFormatting>
  <conditionalFormatting sqref="R4">
    <cfRule type="expression" dxfId="2400" priority="26">
      <formula>R4&gt;0</formula>
    </cfRule>
    <cfRule type="expression" dxfId="239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8" priority="21">
      <formula>F120&gt;0</formula>
    </cfRule>
    <cfRule type="expression" dxfId="2397" priority="22">
      <formula>F120&lt;0</formula>
    </cfRule>
  </conditionalFormatting>
  <conditionalFormatting sqref="H120:H160">
    <cfRule type="expression" dxfId="2396" priority="19">
      <formula>H120&gt;0</formula>
    </cfRule>
    <cfRule type="expression" dxfId="2395" priority="20">
      <formula>H120&lt;0</formula>
    </cfRule>
  </conditionalFormatting>
  <conditionalFormatting sqref="J129:J160">
    <cfRule type="expression" dxfId="2394" priority="17">
      <formula>J129&gt;0</formula>
    </cfRule>
    <cfRule type="expression" dxfId="2393" priority="18">
      <formula>J129&lt;0</formula>
    </cfRule>
  </conditionalFormatting>
  <conditionalFormatting sqref="J134">
    <cfRule type="expression" dxfId="2392" priority="15">
      <formula>J134&gt;0</formula>
    </cfRule>
    <cfRule type="expression" dxfId="2391" priority="16">
      <formula>J134&lt;0</formula>
    </cfRule>
  </conditionalFormatting>
  <conditionalFormatting sqref="J31:J40">
    <cfRule type="expression" dxfId="2390" priority="13">
      <formula>J31&gt;0</formula>
    </cfRule>
    <cfRule type="expression" dxfId="2389" priority="14">
      <formula>J31&lt;0</formula>
    </cfRule>
  </conditionalFormatting>
  <conditionalFormatting sqref="J36:J37">
    <cfRule type="expression" dxfId="2388" priority="11">
      <formula>J36&gt;0</formula>
    </cfRule>
    <cfRule type="expression" dxfId="2387" priority="12">
      <formula>J36&lt;0</formula>
    </cfRule>
  </conditionalFormatting>
  <conditionalFormatting sqref="Q10">
    <cfRule type="expression" dxfId="2386" priority="9">
      <formula>Q10&gt;0</formula>
    </cfRule>
    <cfRule type="expression" dxfId="2385" priority="10">
      <formula>Q10&lt;0</formula>
    </cfRule>
  </conditionalFormatting>
  <conditionalFormatting sqref="K38:K55 K57:K68">
    <cfRule type="expression" dxfId="2384" priority="7">
      <formula>K38&gt;0</formula>
    </cfRule>
    <cfRule type="expression" dxfId="2383" priority="8">
      <formula>K38&lt;0</formula>
    </cfRule>
  </conditionalFormatting>
  <conditionalFormatting sqref="K43">
    <cfRule type="expression" dxfId="2382" priority="5">
      <formula>K43&gt;0</formula>
    </cfRule>
    <cfRule type="expression" dxfId="2381" priority="6">
      <formula>K43&lt;0</formula>
    </cfRule>
  </conditionalFormatting>
  <conditionalFormatting sqref="K31:K40">
    <cfRule type="expression" dxfId="2380" priority="3">
      <formula>K31&gt;0</formula>
    </cfRule>
    <cfRule type="expression" dxfId="2379" priority="4">
      <formula>K31&lt;0</formula>
    </cfRule>
  </conditionalFormatting>
  <conditionalFormatting sqref="K36:K37">
    <cfRule type="expression" dxfId="2378" priority="1">
      <formula>K36&gt;0</formula>
    </cfRule>
    <cfRule type="expression" dxfId="237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186.99</v>
      </c>
      <c r="R4" s="492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250</v>
      </c>
      <c r="T41" s="106" t="s">
        <v>98</v>
      </c>
      <c r="U41" s="354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9" t="s">
        <v>78</v>
      </c>
      <c r="P42" s="849"/>
      <c r="T42" s="106" t="s">
        <v>99</v>
      </c>
      <c r="U42" s="354" t="s">
        <v>569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4" t="s">
        <v>570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4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198.20940000000002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4" t="s">
        <v>571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4" t="s">
        <v>572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4" t="s">
        <v>573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4" t="s">
        <v>534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202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6" priority="35">
      <formula>N19&gt;0</formula>
    </cfRule>
    <cfRule type="expression" dxfId="237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4" priority="21">
      <formula>F25&gt;0</formula>
    </cfRule>
    <cfRule type="expression" dxfId="2373" priority="22">
      <formula>F25&lt;0</formula>
    </cfRule>
  </conditionalFormatting>
  <conditionalFormatting sqref="H25:H47">
    <cfRule type="expression" dxfId="2372" priority="19">
      <formula>H25&gt;0</formula>
    </cfRule>
    <cfRule type="expression" dxfId="2371" priority="20">
      <formula>H25&lt;0</formula>
    </cfRule>
  </conditionalFormatting>
  <conditionalFormatting sqref="I25:I27">
    <cfRule type="expression" dxfId="2370" priority="15">
      <formula>I25&gt;0</formula>
    </cfRule>
    <cfRule type="expression" dxfId="2369" priority="16">
      <formula>I25&lt;0</formula>
    </cfRule>
  </conditionalFormatting>
  <conditionalFormatting sqref="Q7">
    <cfRule type="expression" dxfId="2368" priority="5">
      <formula>Q7&gt;0</formula>
    </cfRule>
    <cfRule type="expression" dxfId="2367" priority="6">
      <formula>Q7&lt;0</formula>
    </cfRule>
  </conditionalFormatting>
  <conditionalFormatting sqref="Q8">
    <cfRule type="expression" dxfId="2366" priority="3">
      <formula>Q8&gt;0</formula>
    </cfRule>
    <cfRule type="expression" dxfId="236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101.22</v>
      </c>
      <c r="R4" s="477">
        <v>6.3E-3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225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101.22</v>
      </c>
      <c r="Q51" s="2"/>
      <c r="T51" s="91" t="s">
        <v>104</v>
      </c>
      <c r="U51" s="127" t="s">
        <v>574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97.171199999999999</v>
      </c>
      <c r="T55" s="91" t="s">
        <v>107</v>
      </c>
      <c r="U55" s="127" t="s">
        <v>575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94.134600000000006</v>
      </c>
      <c r="T58" s="91" t="s">
        <v>108</v>
      </c>
      <c r="U58" s="127" t="s">
        <v>542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193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4" priority="9">
      <formula>F36&gt;0</formula>
    </cfRule>
    <cfRule type="expression" dxfId="2363" priority="10">
      <formula>F36&lt;0</formula>
    </cfRule>
  </conditionalFormatting>
  <conditionalFormatting sqref="F25:F35">
    <cfRule type="expression" dxfId="2362" priority="7">
      <formula>F25&gt;0</formula>
    </cfRule>
    <cfRule type="expression" dxfId="2361" priority="8">
      <formula>F25&lt;0</formula>
    </cfRule>
  </conditionalFormatting>
  <conditionalFormatting sqref="H25:H35">
    <cfRule type="expression" dxfId="2360" priority="5">
      <formula>H25&gt;0</formula>
    </cfRule>
    <cfRule type="expression" dxfId="2359" priority="6">
      <formula>H25&lt;0</formula>
    </cfRule>
  </conditionalFormatting>
  <conditionalFormatting sqref="Q7">
    <cfRule type="expression" dxfId="2358" priority="3">
      <formula>Q7&gt;0</formula>
    </cfRule>
    <cfRule type="expression" dxfId="2357" priority="4">
      <formula>Q7&lt;0</formula>
    </cfRule>
  </conditionalFormatting>
  <conditionalFormatting sqref="Q8">
    <cfRule type="expression" dxfId="2356" priority="1">
      <formula>Q8&gt;0</formula>
    </cfRule>
    <cfRule type="expression" dxfId="235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96.67</v>
      </c>
      <c r="R4" s="497">
        <v>4.8999999999999998E-3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705</v>
      </c>
      <c r="P20" s="7" t="s">
        <v>706</v>
      </c>
      <c r="Q20" s="7" t="s">
        <v>707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708</v>
      </c>
      <c r="P21" s="7">
        <v>1.095</v>
      </c>
      <c r="Q21" s="68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709</v>
      </c>
      <c r="P22" s="7">
        <v>1.0920000000000001</v>
      </c>
      <c r="Q22" s="68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710</v>
      </c>
      <c r="P23" s="7" t="s">
        <v>711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7" t="s">
        <v>693</v>
      </c>
      <c r="P24" s="7" t="s">
        <v>712</v>
      </c>
      <c r="Q24" s="7" t="s">
        <v>712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710</v>
      </c>
      <c r="P25" s="7" t="s">
        <v>713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714</v>
      </c>
      <c r="P26" s="7" t="s">
        <v>706</v>
      </c>
      <c r="Q26" s="7" t="s">
        <v>707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709</v>
      </c>
      <c r="P28" s="7">
        <v>0.92200000000000004</v>
      </c>
      <c r="Q28" s="68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693</v>
      </c>
      <c r="P29" s="7" t="s">
        <v>712</v>
      </c>
      <c r="Q29" s="7" t="s">
        <v>712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715</v>
      </c>
      <c r="P30" s="7" t="s">
        <v>706</v>
      </c>
      <c r="Q30" s="7" t="s">
        <v>707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708</v>
      </c>
      <c r="P32" s="7">
        <v>1.026</v>
      </c>
      <c r="Q32" s="68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510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266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5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5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SUM(C68:C83)</f>
        <v>365</v>
      </c>
      <c r="D84" s="519"/>
      <c r="E84" s="519"/>
      <c r="F84" s="519">
        <f>SUM(F68:F83)</f>
        <v>26186.6</v>
      </c>
      <c r="G84" s="518"/>
      <c r="H84" s="540">
        <f>SUM(H68:H83)</f>
        <v>365</v>
      </c>
      <c r="I84" s="519"/>
      <c r="J84" s="519"/>
      <c r="K84" s="519">
        <f>SUM(K68:K83)</f>
        <v>27969.379999999997</v>
      </c>
      <c r="L84" s="518"/>
      <c r="M84" s="519">
        <f>SUM(M68:M83)</f>
        <v>75</v>
      </c>
    </row>
    <row r="85" spans="1:13" ht="15.75" thickBot="1" x14ac:dyDescent="0.3">
      <c r="A85" s="520" t="s">
        <v>193</v>
      </c>
      <c r="B85" s="521"/>
      <c r="C85" s="522">
        <f>SumByColor($A$19,C68:C83)</f>
        <v>250</v>
      </c>
      <c r="D85" s="522"/>
      <c r="E85" s="522"/>
      <c r="F85" s="523">
        <f>SumByColor($A$19,F68:F83)</f>
        <v>17820</v>
      </c>
      <c r="G85" s="522"/>
      <c r="H85" s="522">
        <f>SumByColor($A$19,H68:H83)</f>
        <v>250</v>
      </c>
      <c r="I85" s="522"/>
      <c r="J85" s="522"/>
      <c r="K85" s="523">
        <f>SumByColor($A$19,K68:K83)</f>
        <v>18894</v>
      </c>
      <c r="L85" s="522"/>
      <c r="M85" s="523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4" priority="37">
      <formula>F25&gt;0</formula>
    </cfRule>
    <cfRule type="expression" dxfId="2353" priority="38">
      <formula>F25&lt;0</formula>
    </cfRule>
  </conditionalFormatting>
  <conditionalFormatting sqref="Q7">
    <cfRule type="expression" dxfId="2352" priority="35">
      <formula>Q7&gt;0</formula>
    </cfRule>
    <cfRule type="expression" dxfId="2351" priority="36">
      <formula>Q7&lt;0</formula>
    </cfRule>
  </conditionalFormatting>
  <conditionalFormatting sqref="Q8">
    <cfRule type="expression" dxfId="2350" priority="33">
      <formula>Q8&gt;0</formula>
    </cfRule>
    <cfRule type="expression" dxfId="2349" priority="34">
      <formula>Q8&lt;0</formula>
    </cfRule>
  </conditionalFormatting>
  <conditionalFormatting sqref="F44:F46">
    <cfRule type="expression" dxfId="2348" priority="31">
      <formula>F44&gt;0</formula>
    </cfRule>
    <cfRule type="expression" dxfId="2347" priority="32">
      <formula>F44&lt;0</formula>
    </cfRule>
  </conditionalFormatting>
  <conditionalFormatting sqref="H44:H46">
    <cfRule type="expression" dxfId="2346" priority="29">
      <formula>H44&gt;0</formula>
    </cfRule>
    <cfRule type="expression" dxfId="2345" priority="30">
      <formula>H44&lt;0</formula>
    </cfRule>
  </conditionalFormatting>
  <conditionalFormatting sqref="F89:F110">
    <cfRule type="expression" dxfId="2344" priority="27">
      <formula>F89&gt;0</formula>
    </cfRule>
    <cfRule type="expression" dxfId="2343" priority="28">
      <formula>F89&lt;0</formula>
    </cfRule>
  </conditionalFormatting>
  <conditionalFormatting sqref="H89:H110">
    <cfRule type="expression" dxfId="2342" priority="25">
      <formula>H89&gt;0</formula>
    </cfRule>
    <cfRule type="expression" dxfId="2341" priority="26">
      <formula>H89&lt;0</formula>
    </cfRule>
  </conditionalFormatting>
  <conditionalFormatting sqref="Q10">
    <cfRule type="expression" dxfId="2340" priority="23">
      <formula>Q10&gt;0</formula>
    </cfRule>
    <cfRule type="expression" dxfId="2339" priority="24">
      <formula>Q10&lt;0</formula>
    </cfRule>
  </conditionalFormatting>
  <conditionalFormatting sqref="J25:J38">
    <cfRule type="expression" dxfId="2338" priority="21">
      <formula>J25&gt;0</formula>
    </cfRule>
    <cfRule type="expression" dxfId="2337" priority="22">
      <formula>J25&lt;0</formula>
    </cfRule>
  </conditionalFormatting>
  <conditionalFormatting sqref="K25:K38">
    <cfRule type="expression" dxfId="2336" priority="19">
      <formula>K25&gt;0</formula>
    </cfRule>
    <cfRule type="expression" dxfId="2335" priority="20">
      <formula>K25&lt;0</formula>
    </cfRule>
  </conditionalFormatting>
  <conditionalFormatting sqref="L25:L38">
    <cfRule type="expression" dxfId="2334" priority="17">
      <formula>L25&gt;0</formula>
    </cfRule>
    <cfRule type="expression" dxfId="2333" priority="18">
      <formula>L25&lt;0</formula>
    </cfRule>
  </conditionalFormatting>
  <conditionalFormatting sqref="J40">
    <cfRule type="expression" dxfId="2332" priority="15">
      <formula>J40&gt;0</formula>
    </cfRule>
    <cfRule type="expression" dxfId="2331" priority="16">
      <formula>J40&lt;0</formula>
    </cfRule>
  </conditionalFormatting>
  <conditionalFormatting sqref="L39">
    <cfRule type="expression" dxfId="2330" priority="11">
      <formula>L39&gt;0</formula>
    </cfRule>
    <cfRule type="expression" dxfId="2329" priority="12">
      <formula>L39&lt;0</formula>
    </cfRule>
  </conditionalFormatting>
  <conditionalFormatting sqref="F39">
    <cfRule type="expression" dxfId="2328" priority="9">
      <formula>F39&gt;0</formula>
    </cfRule>
    <cfRule type="expression" dxfId="2327" priority="10">
      <formula>F39&lt;0</formula>
    </cfRule>
  </conditionalFormatting>
  <conditionalFormatting sqref="H39">
    <cfRule type="expression" dxfId="2326" priority="7">
      <formula>H39&gt;0</formula>
    </cfRule>
    <cfRule type="expression" dxfId="2325" priority="8">
      <formula>H39&lt;0</formula>
    </cfRule>
  </conditionalFormatting>
  <conditionalFormatting sqref="J41">
    <cfRule type="expression" dxfId="2324" priority="5">
      <formula>J41&gt;0</formula>
    </cfRule>
    <cfRule type="expression" dxfId="2323" priority="6">
      <formula>J41&lt;0</formula>
    </cfRule>
  </conditionalFormatting>
  <conditionalFormatting sqref="J43">
    <cfRule type="expression" dxfId="2322" priority="3">
      <formula>J43&gt;0</formula>
    </cfRule>
    <cfRule type="expression" dxfId="2321" priority="4">
      <formula>J43&lt;0</formula>
    </cfRule>
  </conditionalFormatting>
  <conditionalFormatting sqref="J44">
    <cfRule type="expression" dxfId="2320" priority="1">
      <formula>J44&gt;0</formula>
    </cfRule>
    <cfRule type="expression" dxfId="231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32.24</v>
      </c>
      <c r="R4" s="477">
        <v>8.8000000000000005E-3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530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5" t="s">
        <v>425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578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579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8" priority="31">
      <formula>F29&gt;0</formula>
    </cfRule>
    <cfRule type="expression" dxfId="2317" priority="32">
      <formula>F29&lt;0</formula>
    </cfRule>
  </conditionalFormatting>
  <conditionalFormatting sqref="F29 F31:F35">
    <cfRule type="expression" dxfId="2316" priority="33">
      <formula>F29&gt;0</formula>
    </cfRule>
    <cfRule type="expression" dxfId="2315" priority="34">
      <formula>F29&lt;0</formula>
    </cfRule>
  </conditionalFormatting>
  <conditionalFormatting sqref="H29 H31:H35">
    <cfRule type="expression" dxfId="2314" priority="29">
      <formula>H29&gt;0</formula>
    </cfRule>
    <cfRule type="expression" dxfId="2313" priority="30">
      <formula>H29&lt;0</formula>
    </cfRule>
  </conditionalFormatting>
  <conditionalFormatting sqref="F21:F28">
    <cfRule type="expression" dxfId="2312" priority="27">
      <formula>F21&gt;0</formula>
    </cfRule>
    <cfRule type="expression" dxfId="2311" priority="28">
      <formula>F21&lt;0</formula>
    </cfRule>
  </conditionalFormatting>
  <conditionalFormatting sqref="H21:H28">
    <cfRule type="expression" dxfId="2310" priority="25">
      <formula>H21&gt;0</formula>
    </cfRule>
    <cfRule type="expression" dxfId="2309" priority="26">
      <formula>H21&lt;0</formula>
    </cfRule>
  </conditionalFormatting>
  <conditionalFormatting sqref="Q8">
    <cfRule type="expression" dxfId="2308" priority="21">
      <formula>Q8&gt;0</formula>
    </cfRule>
    <cfRule type="expression" dxfId="2307" priority="22">
      <formula>Q8&lt;0</formula>
    </cfRule>
  </conditionalFormatting>
  <conditionalFormatting sqref="Q7">
    <cfRule type="expression" dxfId="2306" priority="23">
      <formula>Q7&gt;0</formula>
    </cfRule>
    <cfRule type="expression" dxfId="2305" priority="24">
      <formula>Q7&lt;0</formula>
    </cfRule>
  </conditionalFormatting>
  <conditionalFormatting sqref="F30">
    <cfRule type="expression" dxfId="2304" priority="19">
      <formula>F30&gt;0</formula>
    </cfRule>
    <cfRule type="expression" dxfId="2303" priority="20">
      <formula>F30&lt;0</formula>
    </cfRule>
  </conditionalFormatting>
  <conditionalFormatting sqref="H30">
    <cfRule type="expression" dxfId="2302" priority="17">
      <formula>H30&gt;0</formula>
    </cfRule>
    <cfRule type="expression" dxfId="2301" priority="18">
      <formula>H30&lt;0</formula>
    </cfRule>
  </conditionalFormatting>
  <conditionalFormatting sqref="F68 F70:F74">
    <cfRule type="expression" dxfId="2300" priority="13">
      <formula>F68&gt;0</formula>
    </cfRule>
    <cfRule type="expression" dxfId="2299" priority="14">
      <formula>F68&lt;0</formula>
    </cfRule>
  </conditionalFormatting>
  <conditionalFormatting sqref="F68 F70:F74">
    <cfRule type="expression" dxfId="2298" priority="15">
      <formula>F68&gt;0</formula>
    </cfRule>
    <cfRule type="expression" dxfId="2297" priority="16">
      <formula>F68&lt;0</formula>
    </cfRule>
  </conditionalFormatting>
  <conditionalFormatting sqref="H68 H70:H74">
    <cfRule type="expression" dxfId="2296" priority="11">
      <formula>H68&gt;0</formula>
    </cfRule>
    <cfRule type="expression" dxfId="2295" priority="12">
      <formula>H68&lt;0</formula>
    </cfRule>
  </conditionalFormatting>
  <conditionalFormatting sqref="F60:F67">
    <cfRule type="expression" dxfId="2294" priority="9">
      <formula>F60&gt;0</formula>
    </cfRule>
    <cfRule type="expression" dxfId="2293" priority="10">
      <formula>F60&lt;0</formula>
    </cfRule>
  </conditionalFormatting>
  <conditionalFormatting sqref="H60:H67">
    <cfRule type="expression" dxfId="2292" priority="7">
      <formula>H60&gt;0</formula>
    </cfRule>
    <cfRule type="expression" dxfId="2291" priority="8">
      <formula>H60&lt;0</formula>
    </cfRule>
  </conditionalFormatting>
  <conditionalFormatting sqref="F69">
    <cfRule type="expression" dxfId="2290" priority="5">
      <formula>F69&gt;0</formula>
    </cfRule>
    <cfRule type="expression" dxfId="2289" priority="6">
      <formula>F69&lt;0</formula>
    </cfRule>
  </conditionalFormatting>
  <conditionalFormatting sqref="H69">
    <cfRule type="expression" dxfId="2288" priority="3">
      <formula>H69&gt;0</formula>
    </cfRule>
    <cfRule type="expression" dxfId="2287" priority="4">
      <formula>H69&lt;0</formula>
    </cfRule>
  </conditionalFormatting>
  <conditionalFormatting sqref="Q10">
    <cfRule type="expression" dxfId="2286" priority="1">
      <formula>Q10&gt;0</formula>
    </cfRule>
    <cfRule type="expression" dxfId="228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37.770000000000003</v>
      </c>
      <c r="R4" s="477">
        <v>-1.0200000000000001E-2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580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267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36.2592</v>
      </c>
      <c r="T55" s="91" t="s">
        <v>107</v>
      </c>
      <c r="U55" s="127" t="s">
        <v>582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35.126100000000008</v>
      </c>
      <c r="T58" s="91" t="s">
        <v>108</v>
      </c>
      <c r="U58" s="127" t="s">
        <v>536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193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4" priority="11">
      <formula>F33&gt;0</formula>
    </cfRule>
    <cfRule type="expression" dxfId="2283" priority="12">
      <formula>F33&lt;0</formula>
    </cfRule>
  </conditionalFormatting>
  <conditionalFormatting sqref="Q7">
    <cfRule type="expression" dxfId="2282" priority="9">
      <formula>Q7&gt;0</formula>
    </cfRule>
    <cfRule type="expression" dxfId="2281" priority="10">
      <formula>Q7&lt;0</formula>
    </cfRule>
  </conditionalFormatting>
  <conditionalFormatting sqref="Q8">
    <cfRule type="expression" dxfId="2280" priority="7">
      <formula>Q8&gt;0</formula>
    </cfRule>
    <cfRule type="expression" dxfId="2279" priority="8">
      <formula>Q8&lt;0</formula>
    </cfRule>
  </conditionalFormatting>
  <conditionalFormatting sqref="F25:F32">
    <cfRule type="expression" dxfId="2278" priority="5">
      <formula>F25&gt;0</formula>
    </cfRule>
    <cfRule type="expression" dxfId="2277" priority="6">
      <formula>F25&lt;0</formula>
    </cfRule>
  </conditionalFormatting>
  <conditionalFormatting sqref="H25:H32">
    <cfRule type="expression" dxfId="2276" priority="3">
      <formula>H25&gt;0</formula>
    </cfRule>
    <cfRule type="expression" dxfId="2275" priority="4">
      <formula>H25&lt;0</formula>
    </cfRule>
  </conditionalFormatting>
  <conditionalFormatting sqref="Q10">
    <cfRule type="expression" dxfId="2274" priority="1">
      <formula>Q10&gt;0</formula>
    </cfRule>
    <cfRule type="expression" dxfId="227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456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69" t="s">
        <v>480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11.48</v>
      </c>
      <c r="R4" s="477">
        <v>5.3E-3</v>
      </c>
      <c r="T4" s="158" t="s">
        <v>481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3444</v>
      </c>
      <c r="T5" t="s">
        <v>482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-282.4700000000048</v>
      </c>
      <c r="R7">
        <v>300</v>
      </c>
      <c r="T7" s="1">
        <v>43453</v>
      </c>
      <c r="U7" t="s">
        <v>848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-1565.8899999999994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4">
        <f>IF(Q2=0, 0, Q8/Q6)</f>
        <v>-0.31255975680104747</v>
      </c>
      <c r="T9" s="29">
        <v>43103</v>
      </c>
      <c r="U9" t="s">
        <v>839</v>
      </c>
      <c r="X9" s="134"/>
    </row>
    <row r="10" spans="1:24" x14ac:dyDescent="0.25">
      <c r="A10" t="s">
        <v>791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840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841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1008</v>
      </c>
      <c r="Q12" s="1" t="s">
        <v>1081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986</v>
      </c>
      <c r="Q13">
        <f>Q4/0.32</f>
        <v>35.875</v>
      </c>
      <c r="U13" t="s">
        <v>849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13.202</v>
      </c>
      <c r="U16" s="477" t="s">
        <v>882</v>
      </c>
      <c r="X16" s="134"/>
    </row>
    <row r="17" spans="1:24" x14ac:dyDescent="0.25">
      <c r="O17" s="81">
        <v>1.1399999999999999</v>
      </c>
      <c r="P17" s="81">
        <f t="shared" si="4"/>
        <v>13.087199999999999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12.972399999999999</v>
      </c>
      <c r="T18" s="1">
        <v>43140</v>
      </c>
      <c r="U18" t="s">
        <v>937</v>
      </c>
      <c r="X18" s="134"/>
    </row>
    <row r="19" spans="1:24" ht="15.75" thickBot="1" x14ac:dyDescent="0.3">
      <c r="A19" s="343" t="s">
        <v>193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12.857600000000001</v>
      </c>
      <c r="X19" s="134"/>
    </row>
    <row r="20" spans="1:24" x14ac:dyDescent="0.25">
      <c r="O20" s="81">
        <v>1.1100000000000001</v>
      </c>
      <c r="P20" s="81">
        <f t="shared" si="5"/>
        <v>12.742800000000001</v>
      </c>
      <c r="T20" s="1">
        <v>43152</v>
      </c>
      <c r="U20" t="s">
        <v>941</v>
      </c>
      <c r="X20" s="134"/>
    </row>
    <row r="21" spans="1:24" x14ac:dyDescent="0.25">
      <c r="O21" s="81">
        <v>1.1000000000000001</v>
      </c>
      <c r="P21" s="81">
        <f t="shared" si="5"/>
        <v>12.628000000000002</v>
      </c>
      <c r="X21" s="134"/>
    </row>
    <row r="22" spans="1:24" x14ac:dyDescent="0.25">
      <c r="O22" s="81">
        <v>1.0900000000000001</v>
      </c>
      <c r="P22" s="81">
        <f t="shared" si="5"/>
        <v>12.513200000000001</v>
      </c>
      <c r="T22" s="1">
        <v>43160</v>
      </c>
      <c r="U22" t="s">
        <v>888</v>
      </c>
      <c r="X22" s="134"/>
    </row>
    <row r="23" spans="1:24" x14ac:dyDescent="0.25">
      <c r="O23" s="81">
        <v>1.08</v>
      </c>
      <c r="P23" s="81">
        <f t="shared" si="5"/>
        <v>12.398400000000001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O24" s="81">
        <v>1.07</v>
      </c>
      <c r="P24" s="81">
        <f t="shared" ref="P24:P26" si="6">O24*$Q$4</f>
        <v>12.283600000000002</v>
      </c>
      <c r="T24" s="1">
        <v>43191</v>
      </c>
      <c r="U24" t="s">
        <v>1006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12.168800000000001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12.054</v>
      </c>
      <c r="T26" s="1">
        <v>43237</v>
      </c>
      <c r="U26" t="s">
        <v>1111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11.939200000000001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11.824400000000001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11.7096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11.594800000000001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11.48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11.3652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11.250400000000001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11.1356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11.020799999999999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10.906000000000001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10.7912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0" t="s">
        <v>920</v>
      </c>
      <c r="J38" s="39">
        <v>880</v>
      </c>
      <c r="K38" s="39"/>
      <c r="L38" s="4"/>
      <c r="O38" s="81">
        <v>0.93</v>
      </c>
      <c r="P38" s="81">
        <f t="shared" si="19"/>
        <v>10.676400000000001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10.5616</v>
      </c>
      <c r="X39" s="134"/>
    </row>
    <row r="40" spans="1:24" x14ac:dyDescent="0.25">
      <c r="A40" s="4">
        <v>0</v>
      </c>
      <c r="B40" s="186">
        <v>43108</v>
      </c>
      <c r="C40" s="554">
        <v>600</v>
      </c>
      <c r="D40" s="58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10.446800000000001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10.332000000000001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0" t="s">
        <v>921</v>
      </c>
      <c r="J42" s="39">
        <v>736</v>
      </c>
      <c r="K42" s="39"/>
      <c r="L42" s="4"/>
      <c r="O42" s="81">
        <v>0.89</v>
      </c>
      <c r="P42" s="81">
        <f t="shared" ref="P42:P44" si="26">O42*$Q$4</f>
        <v>10.2172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10.102400000000001</v>
      </c>
      <c r="Q43" s="2"/>
      <c r="X43" s="134"/>
    </row>
    <row r="44" spans="1:24" x14ac:dyDescent="0.25">
      <c r="A44" s="4"/>
      <c r="B44" s="186">
        <v>43132</v>
      </c>
      <c r="C44" s="554">
        <v>600</v>
      </c>
      <c r="D44" s="58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9.9876000000000005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487</v>
      </c>
      <c r="T47" s="569" t="s">
        <v>480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491</v>
      </c>
      <c r="T48" s="22" t="s">
        <v>490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492</v>
      </c>
      <c r="T49" s="22" t="s">
        <v>493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494</v>
      </c>
      <c r="T50" s="22" t="s">
        <v>495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498</v>
      </c>
      <c r="T53" s="22" t="s">
        <v>488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497</v>
      </c>
      <c r="T54" s="22" t="s">
        <v>489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496</v>
      </c>
      <c r="T55" s="22" t="s">
        <v>499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2" t="s">
        <v>1</v>
      </c>
      <c r="B59" s="512" t="s">
        <v>2</v>
      </c>
      <c r="C59" s="512" t="s">
        <v>4</v>
      </c>
      <c r="D59" s="513" t="s">
        <v>5</v>
      </c>
      <c r="E59" s="513" t="s">
        <v>94</v>
      </c>
      <c r="F59" s="513" t="s">
        <v>60</v>
      </c>
      <c r="G59" s="512" t="s">
        <v>3</v>
      </c>
      <c r="H59" s="512" t="s">
        <v>6</v>
      </c>
      <c r="I59" s="513" t="s">
        <v>7</v>
      </c>
      <c r="J59" s="513" t="s">
        <v>95</v>
      </c>
      <c r="K59" s="513" t="s">
        <v>61</v>
      </c>
      <c r="L59" s="512" t="s">
        <v>37</v>
      </c>
      <c r="M59" s="512" t="s">
        <v>38</v>
      </c>
      <c r="O59" s="81"/>
      <c r="P59" s="81"/>
      <c r="X59" s="134"/>
    </row>
    <row r="60" spans="1:24" x14ac:dyDescent="0.25">
      <c r="A60" s="514" t="s">
        <v>282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5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6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5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5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5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7" t="s">
        <v>81</v>
      </c>
      <c r="B76" s="518"/>
      <c r="C76" s="518">
        <f>SUM(C60:C75)</f>
        <v>1400</v>
      </c>
      <c r="D76" s="519"/>
      <c r="E76" s="519"/>
      <c r="F76" s="519">
        <f>SUM(F60:F75)</f>
        <v>29502.2</v>
      </c>
      <c r="G76" s="518"/>
      <c r="H76" s="540">
        <f>SUM(H60:H75)</f>
        <v>1400</v>
      </c>
      <c r="I76" s="519"/>
      <c r="J76" s="519"/>
      <c r="K76" s="519">
        <f>SUM(K60:K75)</f>
        <v>30785.619999999995</v>
      </c>
      <c r="L76" s="518"/>
      <c r="M76" s="519">
        <f>SUM(M60:M68)</f>
        <v>0</v>
      </c>
    </row>
    <row r="77" spans="1:24" ht="15.75" thickBot="1" x14ac:dyDescent="0.3">
      <c r="A77" s="520" t="s">
        <v>193</v>
      </c>
      <c r="B77" s="521"/>
      <c r="C77" s="522">
        <f>SumByColor($A$19,C60:C75)</f>
        <v>1200</v>
      </c>
      <c r="D77" s="522"/>
      <c r="E77" s="522"/>
      <c r="F77" s="523">
        <f>SumByColor($A$19,F60:F75)</f>
        <v>24399</v>
      </c>
      <c r="G77" s="522"/>
      <c r="H77" s="522">
        <f>SumByColor($A$19,H60:H75)</f>
        <v>1200</v>
      </c>
      <c r="I77" s="522"/>
      <c r="J77" s="522"/>
      <c r="K77" s="523">
        <f>SumByColor($A$19,K60:K75)</f>
        <v>25337</v>
      </c>
      <c r="L77" s="522"/>
      <c r="M77" s="523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678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6">
        <v>42754</v>
      </c>
      <c r="C103" s="554">
        <v>600</v>
      </c>
      <c r="D103" s="58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410</v>
      </c>
      <c r="B108" s="186">
        <v>42773</v>
      </c>
      <c r="C108" s="554">
        <v>600</v>
      </c>
      <c r="D108" s="58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438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2" priority="75">
      <formula>F32&gt;0</formula>
    </cfRule>
    <cfRule type="expression" dxfId="2271" priority="76">
      <formula>F32&lt;0</formula>
    </cfRule>
  </conditionalFormatting>
  <conditionalFormatting sqref="Q7">
    <cfRule type="expression" dxfId="2270" priority="73">
      <formula>Q7&gt;0</formula>
    </cfRule>
    <cfRule type="expression" dxfId="2269" priority="74">
      <formula>Q7&lt;0</formula>
    </cfRule>
  </conditionalFormatting>
  <conditionalFormatting sqref="Q8">
    <cfRule type="expression" dxfId="2268" priority="71">
      <formula>Q8&gt;0</formula>
    </cfRule>
    <cfRule type="expression" dxfId="226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6" priority="63">
      <formula>M58&gt;0</formula>
    </cfRule>
    <cfRule type="expression" dxfId="2265" priority="64">
      <formula>M58&lt;0</formula>
    </cfRule>
  </conditionalFormatting>
  <conditionalFormatting sqref="Q10">
    <cfRule type="expression" dxfId="2264" priority="61">
      <formula>Q10&gt;0</formula>
    </cfRule>
    <cfRule type="expression" dxfId="2263" priority="62">
      <formula>Q10&lt;0</formula>
    </cfRule>
  </conditionalFormatting>
  <conditionalFormatting sqref="F29:F31">
    <cfRule type="expression" dxfId="2262" priority="59">
      <formula>F29&gt;0</formula>
    </cfRule>
    <cfRule type="expression" dxfId="2261" priority="60">
      <formula>F29&lt;0</formula>
    </cfRule>
  </conditionalFormatting>
  <conditionalFormatting sqref="H29:H31">
    <cfRule type="expression" dxfId="2260" priority="57">
      <formula>H29&gt;0</formula>
    </cfRule>
    <cfRule type="expression" dxfId="2259" priority="58">
      <formula>H29&lt;0</formula>
    </cfRule>
  </conditionalFormatting>
  <conditionalFormatting sqref="F83:F94">
    <cfRule type="expression" dxfId="2258" priority="55">
      <formula>F83&gt;0</formula>
    </cfRule>
    <cfRule type="expression" dxfId="2257" priority="56">
      <formula>F83&lt;0</formula>
    </cfRule>
  </conditionalFormatting>
  <conditionalFormatting sqref="H83:H94">
    <cfRule type="expression" dxfId="2256" priority="53">
      <formula>H83&gt;0</formula>
    </cfRule>
    <cfRule type="expression" dxfId="2255" priority="54">
      <formula>H83&lt;0</formula>
    </cfRule>
  </conditionalFormatting>
  <conditionalFormatting sqref="J41">
    <cfRule type="expression" dxfId="2254" priority="51">
      <formula>J41&gt;0</formula>
    </cfRule>
    <cfRule type="expression" dxfId="2253" priority="52">
      <formula>J41&lt;0</formula>
    </cfRule>
  </conditionalFormatting>
  <conditionalFormatting sqref="J39:J47">
    <cfRule type="expression" dxfId="2252" priority="49">
      <formula>J39&gt;0</formula>
    </cfRule>
    <cfRule type="expression" dxfId="2251" priority="50">
      <formula>J39&lt;0</formula>
    </cfRule>
  </conditionalFormatting>
  <conditionalFormatting sqref="F48:F51 H48:H51">
    <cfRule type="expression" dxfId="2250" priority="47">
      <formula>F48&gt;0</formula>
    </cfRule>
    <cfRule type="expression" dxfId="2249" priority="48">
      <formula>F48&lt;0</formula>
    </cfRule>
  </conditionalFormatting>
  <conditionalFormatting sqref="J48:J57">
    <cfRule type="expression" dxfId="2248" priority="45">
      <formula>J48&gt;0</formula>
    </cfRule>
    <cfRule type="expression" dxfId="2247" priority="46">
      <formula>J48&lt;0</formula>
    </cfRule>
  </conditionalFormatting>
  <conditionalFormatting sqref="K45:K52">
    <cfRule type="expression" dxfId="2246" priority="43">
      <formula>K45&gt;0</formula>
    </cfRule>
    <cfRule type="expression" dxfId="2245" priority="44">
      <formula>K45&lt;0</formula>
    </cfRule>
  </conditionalFormatting>
  <conditionalFormatting sqref="K45:K52">
    <cfRule type="expression" dxfId="2244" priority="41">
      <formula>K45&gt;0</formula>
    </cfRule>
    <cfRule type="expression" dxfId="2243" priority="42">
      <formula>K45&lt;0</formula>
    </cfRule>
  </conditionalFormatting>
  <conditionalFormatting sqref="F102:F118 H102:H118 H120:H128 F120:F128">
    <cfRule type="expression" dxfId="2242" priority="37">
      <formula>F102&gt;0</formula>
    </cfRule>
    <cfRule type="expression" dxfId="2241" priority="38">
      <formula>F102&lt;0</formula>
    </cfRule>
  </conditionalFormatting>
  <conditionalFormatting sqref="F96:F101">
    <cfRule type="expression" dxfId="2240" priority="35">
      <formula>F96&gt;0</formula>
    </cfRule>
    <cfRule type="expression" dxfId="2239" priority="36">
      <formula>F96&lt;0</formula>
    </cfRule>
  </conditionalFormatting>
  <conditionalFormatting sqref="H96:H101">
    <cfRule type="expression" dxfId="2238" priority="33">
      <formula>H96&gt;0</formula>
    </cfRule>
    <cfRule type="expression" dxfId="2237" priority="34">
      <formula>H96&lt;0</formula>
    </cfRule>
  </conditionalFormatting>
  <conditionalFormatting sqref="J112">
    <cfRule type="expression" dxfId="2236" priority="31">
      <formula>J112&gt;0</formula>
    </cfRule>
    <cfRule type="expression" dxfId="2235" priority="32">
      <formula>J112&lt;0</formula>
    </cfRule>
  </conditionalFormatting>
  <conditionalFormatting sqref="J110:J118 J120">
    <cfRule type="expression" dxfId="2234" priority="29">
      <formula>J110&gt;0</formula>
    </cfRule>
    <cfRule type="expression" dxfId="2233" priority="30">
      <formula>J110&lt;0</formula>
    </cfRule>
  </conditionalFormatting>
  <conditionalFormatting sqref="F119 H119">
    <cfRule type="expression" dxfId="2232" priority="27">
      <formula>F119&gt;0</formula>
    </cfRule>
    <cfRule type="expression" dxfId="2231" priority="28">
      <formula>F119&lt;0</formula>
    </cfRule>
  </conditionalFormatting>
  <conditionalFormatting sqref="J119">
    <cfRule type="expression" dxfId="2230" priority="25">
      <formula>J119&gt;0</formula>
    </cfRule>
    <cfRule type="expression" dxfId="2229" priority="26">
      <formula>J119&lt;0</formula>
    </cfRule>
  </conditionalFormatting>
  <conditionalFormatting sqref="K112:K123">
    <cfRule type="expression" dxfId="2228" priority="23">
      <formula>K112&gt;0</formula>
    </cfRule>
    <cfRule type="expression" dxfId="2227" priority="24">
      <formula>K112&lt;0</formula>
    </cfRule>
  </conditionalFormatting>
  <conditionalFormatting sqref="K110:K123">
    <cfRule type="expression" dxfId="2226" priority="21">
      <formula>K110&gt;0</formula>
    </cfRule>
    <cfRule type="expression" dxfId="2225" priority="22">
      <formula>K110&lt;0</formula>
    </cfRule>
  </conditionalFormatting>
  <conditionalFormatting sqref="J121">
    <cfRule type="expression" dxfId="2224" priority="19">
      <formula>J121&gt;0</formula>
    </cfRule>
    <cfRule type="expression" dxfId="2223" priority="20">
      <formula>J121&lt;0</formula>
    </cfRule>
  </conditionalFormatting>
  <conditionalFormatting sqref="F25:F28">
    <cfRule type="expression" dxfId="2222" priority="17">
      <formula>F25&gt;0</formula>
    </cfRule>
    <cfRule type="expression" dxfId="2221" priority="18">
      <formula>F25&lt;0</formula>
    </cfRule>
  </conditionalFormatting>
  <conditionalFormatting sqref="H25:H28">
    <cfRule type="expression" dxfId="2220" priority="15">
      <formula>H25&gt;0</formula>
    </cfRule>
    <cfRule type="expression" dxfId="2219" priority="16">
      <formula>H25&lt;0</formula>
    </cfRule>
  </conditionalFormatting>
  <conditionalFormatting sqref="J27:J29">
    <cfRule type="expression" dxfId="2218" priority="13">
      <formula>J27&gt;0</formula>
    </cfRule>
    <cfRule type="expression" dxfId="2217" priority="14">
      <formula>J27&lt;0</formula>
    </cfRule>
  </conditionalFormatting>
  <conditionalFormatting sqref="J30:J31">
    <cfRule type="expression" dxfId="2216" priority="11">
      <formula>J30&gt;0</formula>
    </cfRule>
    <cfRule type="expression" dxfId="2215" priority="12">
      <formula>J30&lt;0</formula>
    </cfRule>
  </conditionalFormatting>
  <conditionalFormatting sqref="J33">
    <cfRule type="expression" dxfId="2214" priority="9">
      <formula>J33&gt;0</formula>
    </cfRule>
    <cfRule type="expression" dxfId="2213" priority="10">
      <formula>J33&lt;0</formula>
    </cfRule>
  </conditionalFormatting>
  <conditionalFormatting sqref="J34">
    <cfRule type="expression" dxfId="2212" priority="7">
      <formula>J34&gt;0</formula>
    </cfRule>
    <cfRule type="expression" dxfId="2211" priority="8">
      <formula>J34&lt;0</formula>
    </cfRule>
  </conditionalFormatting>
  <conditionalFormatting sqref="J35:J43">
    <cfRule type="expression" dxfId="2210" priority="5">
      <formula>J35&gt;0</formula>
    </cfRule>
    <cfRule type="expression" dxfId="220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8" priority="1">
      <formula>Q9&gt;0</formula>
    </cfRule>
    <cfRule type="expression" dxfId="220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52.47</v>
      </c>
      <c r="R4" s="477">
        <v>-1.0200000000000001E-2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48.7971</v>
      </c>
      <c r="T58" s="91" t="s">
        <v>108</v>
      </c>
      <c r="U58" s="127" t="s">
        <v>537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6" priority="15">
      <formula>F39&gt;0</formula>
    </cfRule>
    <cfRule type="expression" dxfId="2205" priority="16">
      <formula>F39&lt;0</formula>
    </cfRule>
  </conditionalFormatting>
  <conditionalFormatting sqref="Q7">
    <cfRule type="expression" dxfId="2204" priority="13">
      <formula>Q7&gt;0</formula>
    </cfRule>
    <cfRule type="expression" dxfId="2203" priority="14">
      <formula>Q7&lt;0</formula>
    </cfRule>
  </conditionalFormatting>
  <conditionalFormatting sqref="Q8">
    <cfRule type="expression" dxfId="2202" priority="11">
      <formula>Q8&gt;0</formula>
    </cfRule>
    <cfRule type="expression" dxfId="2201" priority="12">
      <formula>Q8&lt;0</formula>
    </cfRule>
  </conditionalFormatting>
  <conditionalFormatting sqref="F25:F38">
    <cfRule type="expression" dxfId="2200" priority="9">
      <formula>F25&gt;0</formula>
    </cfRule>
    <cfRule type="expression" dxfId="2199" priority="10">
      <formula>F25&lt;0</formula>
    </cfRule>
  </conditionalFormatting>
  <conditionalFormatting sqref="H25:H38">
    <cfRule type="expression" dxfId="2198" priority="7">
      <formula>H25&gt;0</formula>
    </cfRule>
    <cfRule type="expression" dxfId="219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6" priority="3">
      <formula>M55&gt;0</formula>
    </cfRule>
    <cfRule type="expression" dxfId="2195" priority="4">
      <formula>M55&lt;0</formula>
    </cfRule>
  </conditionalFormatting>
  <conditionalFormatting sqref="Q10">
    <cfRule type="expression" dxfId="2194" priority="1">
      <formula>Q10&gt;0</formula>
    </cfRule>
    <cfRule type="expression" dxfId="219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38.32</v>
      </c>
      <c r="R4" s="477">
        <v>8.3999999999999995E-3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348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6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6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315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38.32</v>
      </c>
      <c r="Q51" s="2"/>
      <c r="T51" s="91" t="s">
        <v>104</v>
      </c>
      <c r="U51" s="127" t="s">
        <v>586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36.787199999999999</v>
      </c>
      <c r="T55" s="91" t="s">
        <v>107</v>
      </c>
      <c r="U55" s="127" t="s">
        <v>587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35.637599999999999</v>
      </c>
      <c r="T58" s="91" t="s">
        <v>108</v>
      </c>
      <c r="U58" s="127" t="s">
        <v>511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3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7"/>
      <c r="E68" s="557"/>
      <c r="F68" s="557"/>
      <c r="G68" s="414"/>
      <c r="H68" s="414"/>
      <c r="I68" s="55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7"/>
      <c r="K69" s="557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8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59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2" priority="27">
      <formula>F27&gt;0</formula>
    </cfRule>
    <cfRule type="expression" dxfId="219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0" priority="15">
      <formula>Q8&gt;0</formula>
    </cfRule>
    <cfRule type="expression" dxfId="2189" priority="16">
      <formula>Q8&lt;0</formula>
    </cfRule>
  </conditionalFormatting>
  <conditionalFormatting sqref="Q7">
    <cfRule type="expression" dxfId="2188" priority="17">
      <formula>Q7&gt;0</formula>
    </cfRule>
    <cfRule type="expression" dxfId="2187" priority="18">
      <formula>Q7&lt;0</formula>
    </cfRule>
  </conditionalFormatting>
  <conditionalFormatting sqref="F37:F38">
    <cfRule type="expression" dxfId="2186" priority="13">
      <formula>F37&gt;0</formula>
    </cfRule>
    <cfRule type="expression" dxfId="2185" priority="14">
      <formula>F37&lt;0</formula>
    </cfRule>
  </conditionalFormatting>
  <conditionalFormatting sqref="H37:H38">
    <cfRule type="expression" dxfId="2184" priority="11">
      <formula>H37&gt;0</formula>
    </cfRule>
    <cfRule type="expression" dxfId="2183" priority="12">
      <formula>H37&lt;0</formula>
    </cfRule>
  </conditionalFormatting>
  <conditionalFormatting sqref="F23:F26 H23:H26">
    <cfRule type="expression" dxfId="2182" priority="9">
      <formula>F23&gt;0</formula>
    </cfRule>
    <cfRule type="expression" dxfId="2181" priority="10">
      <formula>F23&lt;0</formula>
    </cfRule>
  </conditionalFormatting>
  <conditionalFormatting sqref="Q10">
    <cfRule type="expression" dxfId="2180" priority="3">
      <formula>Q10&gt;0</formula>
    </cfRule>
    <cfRule type="expression" dxfId="2179" priority="4">
      <formula>Q10&lt;0</formula>
    </cfRule>
  </conditionalFormatting>
  <conditionalFormatting sqref="F22 H22">
    <cfRule type="expression" dxfId="2178" priority="1">
      <formula>F22&gt;0</formula>
    </cfRule>
    <cfRule type="expression" dxfId="2177" priority="2">
      <formula>F22&lt;0</formula>
    </cfRule>
  </conditionalFormatting>
  <conditionalFormatting sqref="M41">
    <cfRule type="expression" dxfId="2176" priority="5">
      <formula>M41&gt;0</formula>
    </cfRule>
    <cfRule type="expression" dxfId="217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52.74</v>
      </c>
      <c r="R4" s="477">
        <v>1.0200000000000001E-2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2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2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2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2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1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299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3">
        <v>42711</v>
      </c>
      <c r="C50" s="584">
        <v>20</v>
      </c>
      <c r="D50" s="585">
        <v>55.06</v>
      </c>
      <c r="E50" s="585">
        <v>0</v>
      </c>
      <c r="F50" s="585">
        <f t="shared" si="3"/>
        <v>1101.2</v>
      </c>
      <c r="G50" s="583">
        <v>42780</v>
      </c>
      <c r="H50" s="586">
        <v>20</v>
      </c>
      <c r="I50" s="585">
        <v>52.48</v>
      </c>
      <c r="J50" s="585">
        <v>0.02</v>
      </c>
      <c r="K50" s="585">
        <f>I50*H50-J50</f>
        <v>1049.58</v>
      </c>
      <c r="L50" s="583">
        <v>42768</v>
      </c>
      <c r="M50" s="585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3">
        <v>42755</v>
      </c>
      <c r="C51" s="584">
        <v>20</v>
      </c>
      <c r="D51" s="585">
        <v>51.33</v>
      </c>
      <c r="E51" s="585">
        <v>0</v>
      </c>
      <c r="F51" s="585">
        <f t="shared" si="3"/>
        <v>1026.5999999999999</v>
      </c>
      <c r="G51" s="583">
        <v>42787</v>
      </c>
      <c r="H51" s="586">
        <v>80</v>
      </c>
      <c r="I51" s="585">
        <v>55.58</v>
      </c>
      <c r="J51" s="585">
        <v>0.1</v>
      </c>
      <c r="K51" s="585">
        <f>I51*H51-J51</f>
        <v>4446.2999999999993</v>
      </c>
      <c r="L51" s="364"/>
      <c r="M51" s="364"/>
      <c r="O51" s="81">
        <v>1</v>
      </c>
      <c r="P51" s="81">
        <f t="shared" si="2"/>
        <v>52.74</v>
      </c>
      <c r="Q51" s="2"/>
      <c r="T51" s="91" t="s">
        <v>104</v>
      </c>
      <c r="U51" s="127" t="s">
        <v>588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3">
        <v>42755</v>
      </c>
      <c r="C52" s="584">
        <v>20</v>
      </c>
      <c r="D52" s="585">
        <v>51.44</v>
      </c>
      <c r="E52" s="585">
        <v>0</v>
      </c>
      <c r="F52" s="585">
        <f t="shared" si="3"/>
        <v>1028.8</v>
      </c>
      <c r="G52" s="584"/>
      <c r="H52" s="586"/>
      <c r="I52" s="585"/>
      <c r="J52" s="585"/>
      <c r="K52" s="585"/>
      <c r="L52" s="364"/>
      <c r="M52" s="364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3">
        <v>42755</v>
      </c>
      <c r="C53" s="584">
        <v>40</v>
      </c>
      <c r="D53" s="585">
        <v>49.68</v>
      </c>
      <c r="E53" s="585">
        <v>0</v>
      </c>
      <c r="F53" s="585">
        <f t="shared" si="3"/>
        <v>1987.2</v>
      </c>
      <c r="G53" s="584"/>
      <c r="H53" s="586"/>
      <c r="I53" s="585"/>
      <c r="J53" s="585"/>
      <c r="K53" s="585"/>
      <c r="L53" s="364"/>
      <c r="M53" s="364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50.630400000000002</v>
      </c>
      <c r="T55" s="91" t="s">
        <v>107</v>
      </c>
      <c r="U55" s="127" t="s">
        <v>589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49.048200000000001</v>
      </c>
      <c r="T58" s="91" t="s">
        <v>108</v>
      </c>
      <c r="U58" s="127" t="s">
        <v>544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193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336</v>
      </c>
      <c r="B71" s="454">
        <v>42754</v>
      </c>
      <c r="C71" s="455">
        <v>20</v>
      </c>
      <c r="D71" s="587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8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347</v>
      </c>
      <c r="B72" s="454">
        <v>42755</v>
      </c>
      <c r="C72" s="455">
        <v>100</v>
      </c>
      <c r="D72" s="587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8">
        <f t="shared" si="6"/>
        <v>-4.2925463664994855E-2</v>
      </c>
      <c r="I72" s="456">
        <v>50</v>
      </c>
    </row>
    <row r="73" spans="1:31" x14ac:dyDescent="0.25">
      <c r="A73" s="455" t="s">
        <v>364</v>
      </c>
      <c r="B73" s="454">
        <v>42761</v>
      </c>
      <c r="C73" s="455">
        <v>120</v>
      </c>
      <c r="D73" s="587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8">
        <f t="shared" si="6"/>
        <v>-7.680173518682841E-2</v>
      </c>
      <c r="I73" s="456"/>
    </row>
    <row r="74" spans="1:31" x14ac:dyDescent="0.25">
      <c r="A74" s="455" t="s">
        <v>364</v>
      </c>
      <c r="B74" s="454">
        <v>42764</v>
      </c>
      <c r="C74" s="455">
        <v>120</v>
      </c>
      <c r="D74" s="587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8">
        <f t="shared" si="6"/>
        <v>-5.866114561766738E-2</v>
      </c>
      <c r="I74" s="456"/>
    </row>
    <row r="75" spans="1:31" x14ac:dyDescent="0.25">
      <c r="A75" s="455" t="s">
        <v>388</v>
      </c>
      <c r="B75" s="454">
        <v>42768</v>
      </c>
      <c r="C75" s="455">
        <v>120</v>
      </c>
      <c r="D75" s="587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8">
        <f t="shared" si="6"/>
        <v>-2.9615004935833874E-3</v>
      </c>
      <c r="I75" s="456"/>
    </row>
    <row r="76" spans="1:31" x14ac:dyDescent="0.25">
      <c r="A76" s="455" t="s">
        <v>424</v>
      </c>
      <c r="B76" s="454">
        <v>42780</v>
      </c>
      <c r="C76" s="455">
        <v>100</v>
      </c>
      <c r="D76" s="587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8">
        <f t="shared" si="6"/>
        <v>6.8128756150043199E-2</v>
      </c>
      <c r="I76" s="456">
        <v>50</v>
      </c>
    </row>
    <row r="77" spans="1:31" x14ac:dyDescent="0.25">
      <c r="A77" s="632" t="s">
        <v>440</v>
      </c>
      <c r="B77" s="631">
        <v>42787</v>
      </c>
      <c r="C77" s="632">
        <v>20</v>
      </c>
      <c r="D77" s="633">
        <v>47.1</v>
      </c>
      <c r="E77" s="630">
        <v>54.78</v>
      </c>
      <c r="F77" s="630">
        <f t="shared" si="4"/>
        <v>153.6</v>
      </c>
      <c r="G77" s="630">
        <f t="shared" si="5"/>
        <v>942</v>
      </c>
      <c r="H77" s="634">
        <f t="shared" si="6"/>
        <v>0.16305732484076432</v>
      </c>
      <c r="I77" s="630"/>
    </row>
    <row r="78" spans="1:31" x14ac:dyDescent="0.25">
      <c r="A78" s="632" t="s">
        <v>457</v>
      </c>
      <c r="B78" s="631">
        <v>42792</v>
      </c>
      <c r="C78" s="632">
        <v>20</v>
      </c>
      <c r="D78" s="633">
        <v>47.1</v>
      </c>
      <c r="E78" s="630">
        <v>54.78</v>
      </c>
      <c r="F78" s="630">
        <f t="shared" si="4"/>
        <v>153.6</v>
      </c>
      <c r="G78" s="630">
        <f t="shared" si="5"/>
        <v>942</v>
      </c>
      <c r="H78" s="634">
        <f t="shared" si="6"/>
        <v>0.16305732484076432</v>
      </c>
      <c r="I78" s="630"/>
    </row>
    <row r="79" spans="1:31" x14ac:dyDescent="0.25">
      <c r="A79" s="632"/>
      <c r="B79" s="631">
        <v>42796</v>
      </c>
      <c r="C79" s="632">
        <v>0</v>
      </c>
      <c r="D79" s="633"/>
      <c r="E79" s="630"/>
      <c r="F79" s="630">
        <v>203.98</v>
      </c>
      <c r="G79" s="630"/>
      <c r="H79" s="634"/>
      <c r="I79" s="635"/>
    </row>
    <row r="80" spans="1:31" x14ac:dyDescent="0.25">
      <c r="B80" s="186"/>
      <c r="C80" s="10"/>
      <c r="D80" s="582"/>
      <c r="E80" s="39"/>
      <c r="F80" s="39"/>
      <c r="G80" s="39"/>
      <c r="H80" s="224"/>
      <c r="I80" s="39"/>
    </row>
    <row r="81" spans="2:9" x14ac:dyDescent="0.25">
      <c r="B81" s="186"/>
      <c r="C81" s="10"/>
      <c r="D81" s="582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4" priority="29">
      <formula>F25&gt;0</formula>
    </cfRule>
    <cfRule type="expression" dxfId="2173" priority="30">
      <formula>F25&lt;0</formula>
    </cfRule>
  </conditionalFormatting>
  <conditionalFormatting sqref="Q7">
    <cfRule type="expression" dxfId="2172" priority="27">
      <formula>Q7&gt;0</formula>
    </cfRule>
    <cfRule type="expression" dxfId="2171" priority="28">
      <formula>Q7&lt;0</formula>
    </cfRule>
  </conditionalFormatting>
  <conditionalFormatting sqref="Q8">
    <cfRule type="expression" dxfId="2170" priority="25">
      <formula>Q8&gt;0</formula>
    </cfRule>
    <cfRule type="expression" dxfId="2169" priority="26">
      <formula>Q8&lt;0</formula>
    </cfRule>
  </conditionalFormatting>
  <conditionalFormatting sqref="Q10">
    <cfRule type="expression" dxfId="2168" priority="13">
      <formula>Q10&gt;0</formula>
    </cfRule>
    <cfRule type="expression" dxfId="2167" priority="14">
      <formula>Q10&lt;0</formula>
    </cfRule>
  </conditionalFormatting>
  <conditionalFormatting sqref="M46">
    <cfRule type="expression" dxfId="2166" priority="11">
      <formula>M46&gt;0</formula>
    </cfRule>
    <cfRule type="expression" dxfId="2165" priority="12">
      <formula>M46&lt;0</formula>
    </cfRule>
  </conditionalFormatting>
  <conditionalFormatting sqref="F80:F88 H80:H88">
    <cfRule type="expression" dxfId="2164" priority="9">
      <formula>F80&gt;0</formula>
    </cfRule>
    <cfRule type="expression" dxfId="2163" priority="10">
      <formula>F80&lt;0</formula>
    </cfRule>
  </conditionalFormatting>
  <conditionalFormatting sqref="F75:F79">
    <cfRule type="expression" dxfId="2162" priority="7">
      <formula>F75&gt;0</formula>
    </cfRule>
    <cfRule type="expression" dxfId="2161" priority="8">
      <formula>F75&lt;0</formula>
    </cfRule>
  </conditionalFormatting>
  <conditionalFormatting sqref="H75:H79">
    <cfRule type="expression" dxfId="2160" priority="5">
      <formula>H75&gt;0</formula>
    </cfRule>
    <cfRule type="expression" dxfId="2159" priority="6">
      <formula>H75&lt;0</formula>
    </cfRule>
  </conditionalFormatting>
  <conditionalFormatting sqref="F71:F74">
    <cfRule type="expression" dxfId="2158" priority="3">
      <formula>F71&gt;0</formula>
    </cfRule>
    <cfRule type="expression" dxfId="2157" priority="4">
      <formula>F71&lt;0</formula>
    </cfRule>
  </conditionalFormatting>
  <conditionalFormatting sqref="H71:H74">
    <cfRule type="expression" dxfId="2156" priority="1">
      <formula>H71&gt;0</formula>
    </cfRule>
    <cfRule type="expression" dxfId="215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31.39</v>
      </c>
      <c r="R4" s="497">
        <v>-5.7000000000000002E-3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702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100</v>
      </c>
      <c r="D84" s="519"/>
      <c r="E84" s="519"/>
      <c r="F84" s="519">
        <f>SUM(F68:F72)</f>
        <v>2248</v>
      </c>
      <c r="G84" s="518"/>
      <c r="H84" s="540">
        <f>SUM(H68:H71)</f>
        <v>100</v>
      </c>
      <c r="I84" s="519"/>
      <c r="J84" s="519"/>
      <c r="K84" s="519">
        <f>SUM(K68:K71)</f>
        <v>2805.94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4" priority="21">
      <formula>F47&gt;0</formula>
    </cfRule>
    <cfRule type="expression" dxfId="2153" priority="22">
      <formula>F47&lt;0</formula>
    </cfRule>
  </conditionalFormatting>
  <conditionalFormatting sqref="Q7">
    <cfRule type="expression" dxfId="2152" priority="19">
      <formula>Q7&gt;0</formula>
    </cfRule>
    <cfRule type="expression" dxfId="2151" priority="20">
      <formula>Q7&lt;0</formula>
    </cfRule>
  </conditionalFormatting>
  <conditionalFormatting sqref="Q8">
    <cfRule type="expression" dxfId="2150" priority="17">
      <formula>Q8&gt;0</formula>
    </cfRule>
    <cfRule type="expression" dxfId="2149" priority="18">
      <formula>Q8&lt;0</formula>
    </cfRule>
  </conditionalFormatting>
  <conditionalFormatting sqref="F25:F46">
    <cfRule type="expression" dxfId="2148" priority="15">
      <formula>F25&gt;0</formula>
    </cfRule>
    <cfRule type="expression" dxfId="2147" priority="16">
      <formula>F25&lt;0</formula>
    </cfRule>
  </conditionalFormatting>
  <conditionalFormatting sqref="H25:H46">
    <cfRule type="expression" dxfId="2146" priority="13">
      <formula>H25&gt;0</formula>
    </cfRule>
    <cfRule type="expression" dxfId="2145" priority="14">
      <formula>H25&lt;0</formula>
    </cfRule>
  </conditionalFormatting>
  <conditionalFormatting sqref="F89:F110">
    <cfRule type="expression" dxfId="2144" priority="11">
      <formula>F89&gt;0</formula>
    </cfRule>
    <cfRule type="expression" dxfId="2143" priority="12">
      <formula>F89&lt;0</formula>
    </cfRule>
  </conditionalFormatting>
  <conditionalFormatting sqref="H89:H110">
    <cfRule type="expression" dxfId="2142" priority="9">
      <formula>H89&gt;0</formula>
    </cfRule>
    <cfRule type="expression" dxfId="2141" priority="10">
      <formula>H89&lt;0</formula>
    </cfRule>
  </conditionalFormatting>
  <conditionalFormatting sqref="Q10">
    <cfRule type="expression" dxfId="2140" priority="7">
      <formula>Q10&gt;0</formula>
    </cfRule>
    <cfRule type="expression" dxfId="2139" priority="8">
      <formula>Q10&lt;0</formula>
    </cfRule>
  </conditionalFormatting>
  <conditionalFormatting sqref="J25:J38">
    <cfRule type="expression" dxfId="2138" priority="5">
      <formula>J25&gt;0</formula>
    </cfRule>
    <cfRule type="expression" dxfId="2137" priority="6">
      <formula>J25&lt;0</formula>
    </cfRule>
  </conditionalFormatting>
  <conditionalFormatting sqref="K25:K38">
    <cfRule type="expression" dxfId="2136" priority="3">
      <formula>K25&gt;0</formula>
    </cfRule>
    <cfRule type="expression" dxfId="2135" priority="4">
      <formula>K25&lt;0</formula>
    </cfRule>
  </conditionalFormatting>
  <conditionalFormatting sqref="L25:L38">
    <cfRule type="expression" dxfId="2134" priority="1">
      <formula>L25&gt;0</formula>
    </cfRule>
    <cfRule type="expression" dxfId="213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76.09</v>
      </c>
      <c r="R4" s="477">
        <v>2.01E-2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590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248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76.09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73.046400000000006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193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249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252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2" priority="23">
      <formula>F34&gt;0</formula>
    </cfRule>
    <cfRule type="expression" dxfId="2131" priority="24">
      <formula>F34&lt;0</formula>
    </cfRule>
  </conditionalFormatting>
  <conditionalFormatting sqref="Q7">
    <cfRule type="expression" dxfId="2130" priority="21">
      <formula>Q7&gt;0</formula>
    </cfRule>
    <cfRule type="expression" dxfId="2129" priority="22">
      <formula>Q7&lt;0</formula>
    </cfRule>
  </conditionalFormatting>
  <conditionalFormatting sqref="Q8">
    <cfRule type="expression" dxfId="2128" priority="19">
      <formula>Q8&gt;0</formula>
    </cfRule>
    <cfRule type="expression" dxfId="2127" priority="20">
      <formula>Q8&lt;0</formula>
    </cfRule>
  </conditionalFormatting>
  <conditionalFormatting sqref="F25:F33">
    <cfRule type="expression" dxfId="2126" priority="17">
      <formula>F25&gt;0</formula>
    </cfRule>
    <cfRule type="expression" dxfId="2125" priority="18">
      <formula>F25&lt;0</formula>
    </cfRule>
  </conditionalFormatting>
  <conditionalFormatting sqref="H25:H33">
    <cfRule type="expression" dxfId="2124" priority="15">
      <formula>H25&gt;0</formula>
    </cfRule>
    <cfRule type="expression" dxfId="2123" priority="16">
      <formula>H25&lt;0</formula>
    </cfRule>
  </conditionalFormatting>
  <conditionalFormatting sqref="M46">
    <cfRule type="expression" dxfId="2122" priority="13">
      <formula>M46&gt;0</formula>
    </cfRule>
    <cfRule type="expression" dxfId="2121" priority="14">
      <formula>M46&lt;0</formula>
    </cfRule>
  </conditionalFormatting>
  <conditionalFormatting sqref="F79:F87 H79:H87">
    <cfRule type="expression" dxfId="2120" priority="11">
      <formula>F79&gt;0</formula>
    </cfRule>
    <cfRule type="expression" dxfId="2119" priority="12">
      <formula>F79&lt;0</formula>
    </cfRule>
  </conditionalFormatting>
  <conditionalFormatting sqref="F70:F78">
    <cfRule type="expression" dxfId="2118" priority="9">
      <formula>F70&gt;0</formula>
    </cfRule>
    <cfRule type="expression" dxfId="2117" priority="10">
      <formula>F70&lt;0</formula>
    </cfRule>
  </conditionalFormatting>
  <conditionalFormatting sqref="H70:H78">
    <cfRule type="expression" dxfId="2116" priority="7">
      <formula>H70&gt;0</formula>
    </cfRule>
    <cfRule type="expression" dxfId="2115" priority="8">
      <formula>H70&lt;0</formula>
    </cfRule>
  </conditionalFormatting>
  <conditionalFormatting sqref="J27:K27 J30:K30 J33:K33 J36:K36 J39:K39 J42:K42">
    <cfRule type="expression" dxfId="2114" priority="5">
      <formula>J27&gt;0</formula>
    </cfRule>
    <cfRule type="expression" dxfId="2113" priority="6">
      <formula>J27&lt;0</formula>
    </cfRule>
  </conditionalFormatting>
  <conditionalFormatting sqref="J28:K29 J31:K32 J34:K35 J37:K38 J40:K41">
    <cfRule type="expression" dxfId="2112" priority="3">
      <formula>J28&gt;0</formula>
    </cfRule>
    <cfRule type="expression" dxfId="2111" priority="4">
      <formula>J28&lt;0</formula>
    </cfRule>
  </conditionalFormatting>
  <conditionalFormatting sqref="L27:L42">
    <cfRule type="expression" dxfId="2110" priority="1">
      <formula>L27&gt;0</formula>
    </cfRule>
    <cfRule type="expression" dxfId="210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18.149999999999999</v>
      </c>
      <c r="R4" s="477">
        <v>7.7999999999999996E-3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681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8" priority="9">
      <formula>F57&gt;0</formula>
    </cfRule>
    <cfRule type="expression" dxfId="2107" priority="10">
      <formula>F57&lt;0</formula>
    </cfRule>
  </conditionalFormatting>
  <conditionalFormatting sqref="Q7">
    <cfRule type="expression" dxfId="2106" priority="7">
      <formula>Q7&gt;0</formula>
    </cfRule>
    <cfRule type="expression" dxfId="2105" priority="8">
      <formula>Q7&lt;0</formula>
    </cfRule>
  </conditionalFormatting>
  <conditionalFormatting sqref="Q8">
    <cfRule type="expression" dxfId="2104" priority="5">
      <formula>Q8&gt;0</formula>
    </cfRule>
    <cfRule type="expression" dxfId="2103" priority="6">
      <formula>Q8&lt;0</formula>
    </cfRule>
  </conditionalFormatting>
  <conditionalFormatting sqref="F25:F56">
    <cfRule type="expression" dxfId="2102" priority="3">
      <formula>F25&gt;0</formula>
    </cfRule>
    <cfRule type="expression" dxfId="2101" priority="4">
      <formula>F25&lt;0</formula>
    </cfRule>
  </conditionalFormatting>
  <conditionalFormatting sqref="H25:H56">
    <cfRule type="expression" dxfId="2100" priority="1">
      <formula>H25&gt;0</formula>
    </cfRule>
    <cfRule type="expression" dxfId="209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65.760000000000005</v>
      </c>
      <c r="R4" s="477">
        <v>-5.5999999999999999E-3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595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275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193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371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387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387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442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444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444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473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8" priority="15">
      <formula>F57&gt;0</formula>
    </cfRule>
    <cfRule type="expression" dxfId="2097" priority="16">
      <formula>F57&lt;0</formula>
    </cfRule>
  </conditionalFormatting>
  <conditionalFormatting sqref="Q7">
    <cfRule type="expression" dxfId="2096" priority="13">
      <formula>Q7&gt;0</formula>
    </cfRule>
    <cfRule type="expression" dxfId="2095" priority="14">
      <formula>Q7&lt;0</formula>
    </cfRule>
  </conditionalFormatting>
  <conditionalFormatting sqref="Q8">
    <cfRule type="expression" dxfId="2094" priority="11">
      <formula>Q8&gt;0</formula>
    </cfRule>
    <cfRule type="expression" dxfId="2093" priority="12">
      <formula>Q8&lt;0</formula>
    </cfRule>
  </conditionalFormatting>
  <conditionalFormatting sqref="F25:F56">
    <cfRule type="expression" dxfId="2092" priority="9">
      <formula>F25&gt;0</formula>
    </cfRule>
    <cfRule type="expression" dxfId="2091" priority="10">
      <formula>F25&lt;0</formula>
    </cfRule>
  </conditionalFormatting>
  <conditionalFormatting sqref="H25:H56">
    <cfRule type="expression" dxfId="2090" priority="7">
      <formula>H25&gt;0</formula>
    </cfRule>
    <cfRule type="expression" dxfId="2089" priority="8">
      <formula>H25&lt;0</formula>
    </cfRule>
  </conditionalFormatting>
  <conditionalFormatting sqref="M58">
    <cfRule type="expression" dxfId="2088" priority="5">
      <formula>M58&gt;0</formula>
    </cfRule>
    <cfRule type="expression" dxfId="2087" priority="6">
      <formula>M58&lt;0</formula>
    </cfRule>
  </conditionalFormatting>
  <conditionalFormatting sqref="F84:F115">
    <cfRule type="expression" dxfId="2086" priority="3">
      <formula>F84&gt;0</formula>
    </cfRule>
    <cfRule type="expression" dxfId="2085" priority="4">
      <formula>F84&lt;0</formula>
    </cfRule>
  </conditionalFormatting>
  <conditionalFormatting sqref="H84:H115">
    <cfRule type="expression" dxfId="2084" priority="1">
      <formula>H84&gt;0</formula>
    </cfRule>
    <cfRule type="expression" dxfId="208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236.85</v>
      </c>
      <c r="R4" s="497">
        <v>-2.3E-3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6"/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30</v>
      </c>
      <c r="D84" s="519"/>
      <c r="E84" s="519"/>
      <c r="F84" s="519">
        <f>SUM(F68:F72)</f>
        <v>4475.0999999999995</v>
      </c>
      <c r="G84" s="518"/>
      <c r="H84" s="540">
        <f>SUM(H68:H71)</f>
        <v>30</v>
      </c>
      <c r="I84" s="519"/>
      <c r="J84" s="519"/>
      <c r="K84" s="519">
        <f>SUM(K68:K71)</f>
        <v>5318.28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2" priority="21">
      <formula>F47&gt;0</formula>
    </cfRule>
    <cfRule type="expression" dxfId="2081" priority="22">
      <formula>F47&lt;0</formula>
    </cfRule>
  </conditionalFormatting>
  <conditionalFormatting sqref="Q7">
    <cfRule type="expression" dxfId="2080" priority="19">
      <formula>Q7&gt;0</formula>
    </cfRule>
    <cfRule type="expression" dxfId="2079" priority="20">
      <formula>Q7&lt;0</formula>
    </cfRule>
  </conditionalFormatting>
  <conditionalFormatting sqref="Q8">
    <cfRule type="expression" dxfId="2078" priority="17">
      <formula>Q8&gt;0</formula>
    </cfRule>
    <cfRule type="expression" dxfId="2077" priority="18">
      <formula>Q8&lt;0</formula>
    </cfRule>
  </conditionalFormatting>
  <conditionalFormatting sqref="F25:F46">
    <cfRule type="expression" dxfId="2076" priority="15">
      <formula>F25&gt;0</formula>
    </cfRule>
    <cfRule type="expression" dxfId="2075" priority="16">
      <formula>F25&lt;0</formula>
    </cfRule>
  </conditionalFormatting>
  <conditionalFormatting sqref="H25:H46">
    <cfRule type="expression" dxfId="2074" priority="13">
      <formula>H25&gt;0</formula>
    </cfRule>
    <cfRule type="expression" dxfId="2073" priority="14">
      <formula>H25&lt;0</formula>
    </cfRule>
  </conditionalFormatting>
  <conditionalFormatting sqref="F89:F110">
    <cfRule type="expression" dxfId="2072" priority="11">
      <formula>F89&gt;0</formula>
    </cfRule>
    <cfRule type="expression" dxfId="2071" priority="12">
      <formula>F89&lt;0</formula>
    </cfRule>
  </conditionalFormatting>
  <conditionalFormatting sqref="H89:H110">
    <cfRule type="expression" dxfId="2070" priority="9">
      <formula>H89&gt;0</formula>
    </cfRule>
    <cfRule type="expression" dxfId="2069" priority="10">
      <formula>H89&lt;0</formula>
    </cfRule>
  </conditionalFormatting>
  <conditionalFormatting sqref="Q10">
    <cfRule type="expression" dxfId="2068" priority="7">
      <formula>Q10&gt;0</formula>
    </cfRule>
    <cfRule type="expression" dxfId="2067" priority="8">
      <formula>Q10&lt;0</formula>
    </cfRule>
  </conditionalFormatting>
  <conditionalFormatting sqref="J25:J38">
    <cfRule type="expression" dxfId="2066" priority="5">
      <formula>J25&gt;0</formula>
    </cfRule>
    <cfRule type="expression" dxfId="2065" priority="6">
      <formula>J25&lt;0</formula>
    </cfRule>
  </conditionalFormatting>
  <conditionalFormatting sqref="K25:K38">
    <cfRule type="expression" dxfId="2064" priority="3">
      <formula>K25&gt;0</formula>
    </cfRule>
    <cfRule type="expression" dxfId="2063" priority="4">
      <formula>K25&lt;0</formula>
    </cfRule>
  </conditionalFormatting>
  <conditionalFormatting sqref="L25:L38">
    <cfRule type="expression" dxfId="2062" priority="1">
      <formula>L25&gt;0</formula>
    </cfRule>
    <cfRule type="expression" dxfId="206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1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9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2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50" t="s">
        <v>685</v>
      </c>
      <c r="W2" s="850"/>
      <c r="X2" s="850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9.0909049999999407</v>
      </c>
      <c r="U3" s="121">
        <v>42866</v>
      </c>
      <c r="V3" s="850" t="s">
        <v>686</v>
      </c>
      <c r="W3" s="850"/>
      <c r="X3" s="850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21.649899999999999</v>
      </c>
      <c r="R4" s="477">
        <v>2.2200000000000001E-2</v>
      </c>
      <c r="U4" s="121">
        <v>43088</v>
      </c>
      <c r="V4" s="739" t="s">
        <v>787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741</v>
      </c>
      <c r="O5" s="11" t="s">
        <v>67</v>
      </c>
      <c r="Q5" s="3">
        <f>Q4*Q2</f>
        <v>43299.799999999996</v>
      </c>
      <c r="U5" s="121">
        <v>43096</v>
      </c>
      <c r="V5" s="739" t="s">
        <v>792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18181.809999999881</v>
      </c>
      <c r="U6" s="121">
        <v>43103</v>
      </c>
      <c r="V6" s="739" t="s">
        <v>842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39733.56100000174</v>
      </c>
      <c r="R7">
        <v>1400</v>
      </c>
      <c r="V7" s="739" t="s">
        <v>843</v>
      </c>
    </row>
    <row r="8" spans="1:28" x14ac:dyDescent="0.25">
      <c r="A8" s="609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25117.990000000114</v>
      </c>
    </row>
    <row r="9" spans="1:28" x14ac:dyDescent="0.25">
      <c r="A9" s="609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1.3814900716705476</v>
      </c>
      <c r="U9" s="121">
        <v>43106</v>
      </c>
      <c r="V9" s="750" t="s">
        <v>864</v>
      </c>
    </row>
    <row r="10" spans="1:28" ht="15" customHeight="1" x14ac:dyDescent="0.25">
      <c r="A10" s="609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9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9.2379179580506163E-3</v>
      </c>
      <c r="R11">
        <f>0.05</f>
        <v>0.05</v>
      </c>
      <c r="U11" s="121">
        <v>43117</v>
      </c>
      <c r="V11" s="739" t="s">
        <v>902</v>
      </c>
    </row>
    <row r="12" spans="1:28" x14ac:dyDescent="0.25">
      <c r="A12" s="609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958</v>
      </c>
      <c r="Q12" s="1"/>
    </row>
    <row r="13" spans="1:28" x14ac:dyDescent="0.25">
      <c r="A13" s="609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986</v>
      </c>
      <c r="Q13" s="2">
        <f>Q4/0.63</f>
        <v>34.36492063492063</v>
      </c>
      <c r="U13" s="121">
        <v>43120</v>
      </c>
      <c r="V13" s="739" t="s">
        <v>908</v>
      </c>
    </row>
    <row r="14" spans="1:28" x14ac:dyDescent="0.25">
      <c r="A14" s="609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1056</v>
      </c>
      <c r="Q14" s="29">
        <v>43226</v>
      </c>
      <c r="V14" s="739" t="s">
        <v>911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9" t="s">
        <v>910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3">
        <v>43136</v>
      </c>
      <c r="V17" s="739" t="s">
        <v>909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3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3">
        <v>43139</v>
      </c>
      <c r="V19" s="739" t="s">
        <v>936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3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3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3">
        <v>43145</v>
      </c>
      <c r="V22" s="739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9" t="s">
        <v>959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26.412877999999999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26.196378999999997</v>
      </c>
      <c r="U25" s="121">
        <v>43161</v>
      </c>
      <c r="V25" s="739" t="s">
        <v>960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25.979879999999998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25.763380999999999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25.546881999999997</v>
      </c>
      <c r="U28" s="833">
        <v>43222</v>
      </c>
      <c r="V28" s="739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25.330382999999998</v>
      </c>
      <c r="V29" s="739" t="s">
        <v>1055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25.113883999999995</v>
      </c>
      <c r="V30" s="739" t="s">
        <v>1064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24.897384999999996</v>
      </c>
      <c r="V31" s="739" t="s">
        <v>1067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24.680885999999997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24.464386999999995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24.247888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24.031389000000001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23.814890000000002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23.598390999999999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23.381892000000001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23.165393000000002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22.948893999999999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22.732395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22.515895999999998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22.299396999999999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22.082898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21.866398999999998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21.649899999999999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21.433401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21.216901999999997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21.000402999999999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20.783904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20.567404999999997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20.350905999999998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20.134406999999999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19.917908000000001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19.701408999999998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19.484909999999999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19.268411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19.051911999999998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18.835412999999999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18.618914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18.402414999999998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8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8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8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8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4">
        <v>400</v>
      </c>
      <c r="D74" s="233">
        <v>16.420000000000002</v>
      </c>
      <c r="E74" s="3">
        <v>0</v>
      </c>
      <c r="F74" s="3">
        <f t="shared" si="5"/>
        <v>6568.0000000000009</v>
      </c>
      <c r="G74" s="29"/>
    </row>
    <row r="75" spans="2:7" x14ac:dyDescent="0.25">
      <c r="B75" s="479">
        <v>43196</v>
      </c>
      <c r="C75" s="4">
        <v>400</v>
      </c>
      <c r="D75" s="233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7">
        <v>43217</v>
      </c>
      <c r="C76" s="4">
        <v>300</v>
      </c>
      <c r="D76" s="233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7">
        <v>43227</v>
      </c>
      <c r="C77" s="4">
        <v>300</v>
      </c>
      <c r="D77" s="233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21300</v>
      </c>
      <c r="I90" s="79"/>
      <c r="J90" s="18"/>
      <c r="K90" s="18">
        <f>SUM(K2:K89)</f>
        <v>341035.49000000011</v>
      </c>
      <c r="L90" s="14"/>
      <c r="M90" s="18">
        <f>SUM(M2:M89)</f>
        <v>1613.25</v>
      </c>
    </row>
    <row r="91" spans="1:13" ht="15.75" thickBot="1" x14ac:dyDescent="0.3">
      <c r="A91" s="343" t="s">
        <v>193</v>
      </c>
      <c r="B91" s="481"/>
      <c r="C91" s="345">
        <f>SumByColor($A$91, C2:C89)</f>
        <v>21300</v>
      </c>
      <c r="D91" s="345"/>
      <c r="E91" s="345"/>
      <c r="F91" s="346">
        <f>SumByColor($A$91, F2:F89)</f>
        <v>327144</v>
      </c>
      <c r="G91" s="345"/>
      <c r="H91" s="345">
        <f>SumByColor($A$91, H2:H89)</f>
        <v>21300</v>
      </c>
      <c r="I91" s="345"/>
      <c r="J91" s="346"/>
      <c r="K91" s="346">
        <f>SumByColor($A$91, K2:K89)</f>
        <v>341042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503</v>
      </c>
      <c r="K94" s="222" t="s">
        <v>150</v>
      </c>
      <c r="L94" s="222" t="s">
        <v>935</v>
      </c>
    </row>
    <row r="95" spans="1:13" x14ac:dyDescent="0.25">
      <c r="A95" t="s">
        <v>434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446</v>
      </c>
      <c r="B96" s="152">
        <v>42788</v>
      </c>
      <c r="C96" s="427">
        <v>6000</v>
      </c>
      <c r="D96" s="644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4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4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4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4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6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4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774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4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4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4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781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0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0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0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1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1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1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4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4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3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3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5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5"/>
    </row>
    <row r="183" spans="1:22" x14ac:dyDescent="0.25">
      <c r="B183" s="152">
        <v>43140</v>
      </c>
      <c r="C183" s="427">
        <v>6000</v>
      </c>
      <c r="D183" s="644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5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4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4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954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5">
        <v>5000</v>
      </c>
      <c r="D196" s="816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5">
        <v>5000</v>
      </c>
      <c r="D202" s="816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5">
        <v>5000</v>
      </c>
      <c r="D206" s="816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37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2">
        <v>43234</v>
      </c>
      <c r="C221" s="10">
        <v>2000</v>
      </c>
      <c r="D221" s="235">
        <v>9.0908999999999995</v>
      </c>
      <c r="E221" s="39">
        <v>21.42</v>
      </c>
      <c r="F221" s="39">
        <f t="shared" ref="F221" si="129">C221*(E221-D221)</f>
        <v>24658.200000000004</v>
      </c>
      <c r="G221" s="39">
        <f t="shared" ref="G221" si="130">D221*C221</f>
        <v>18181.8</v>
      </c>
      <c r="H221" s="224">
        <f t="shared" ref="H221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0" t="s">
        <v>113</v>
      </c>
      <c r="C238" s="486" t="s">
        <v>146</v>
      </c>
      <c r="D238" s="621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2">
        <v>42305</v>
      </c>
      <c r="C239" s="364">
        <v>2000</v>
      </c>
      <c r="D239" s="623">
        <v>34.06</v>
      </c>
      <c r="E239" s="365">
        <v>17.68</v>
      </c>
      <c r="F239" s="365">
        <v>-32767.45</v>
      </c>
      <c r="G239" s="365">
        <f t="shared" ref="G239:G245" si="132">IF(C239=0, 0,D239*C239)</f>
        <v>68120</v>
      </c>
      <c r="H239" s="367">
        <f t="shared" ref="H239:H245" si="133">IF(C239=0, D239, (E239-D239)/D239)</f>
        <v>-0.48091603053435117</v>
      </c>
      <c r="I239" s="365"/>
    </row>
    <row r="240" spans="2:17" x14ac:dyDescent="0.25">
      <c r="B240" s="622">
        <v>42307</v>
      </c>
      <c r="C240" s="364">
        <v>0</v>
      </c>
      <c r="D240" s="623" t="s">
        <v>128</v>
      </c>
      <c r="E240" s="365">
        <v>17.55</v>
      </c>
      <c r="F240" s="365">
        <v>-30722.2</v>
      </c>
      <c r="G240" s="365">
        <f t="shared" si="132"/>
        <v>0</v>
      </c>
      <c r="H240" s="367" t="str">
        <f t="shared" si="133"/>
        <v>N/A</v>
      </c>
      <c r="I240" s="365"/>
    </row>
    <row r="241" spans="2:9" x14ac:dyDescent="0.25">
      <c r="B241" s="622">
        <v>42310</v>
      </c>
      <c r="C241" s="364">
        <v>0</v>
      </c>
      <c r="D241" s="623" t="s">
        <v>128</v>
      </c>
      <c r="E241" s="365">
        <v>19.010000000000002</v>
      </c>
      <c r="F241" s="365">
        <v>-30693.25</v>
      </c>
      <c r="G241" s="365">
        <f t="shared" si="132"/>
        <v>0</v>
      </c>
      <c r="H241" s="367" t="str">
        <f t="shared" si="133"/>
        <v>N/A</v>
      </c>
      <c r="I241" s="365"/>
    </row>
    <row r="242" spans="2:9" ht="15" customHeight="1" x14ac:dyDescent="0.25">
      <c r="B242" s="622">
        <v>42314</v>
      </c>
      <c r="C242" s="364">
        <v>2500</v>
      </c>
      <c r="D242" s="623">
        <v>30.24</v>
      </c>
      <c r="E242" s="365">
        <v>18.29</v>
      </c>
      <c r="F242" s="365">
        <v>-29878.25</v>
      </c>
      <c r="G242" s="365">
        <f t="shared" si="132"/>
        <v>75600</v>
      </c>
      <c r="H242" s="367">
        <f t="shared" si="133"/>
        <v>-0.39517195767195767</v>
      </c>
      <c r="I242" s="365"/>
    </row>
    <row r="243" spans="2:9" ht="18.75" customHeight="1" x14ac:dyDescent="0.25">
      <c r="B243" s="622">
        <v>42318</v>
      </c>
      <c r="C243" s="364">
        <v>0</v>
      </c>
      <c r="D243" s="623" t="s">
        <v>128</v>
      </c>
      <c r="E243" s="365">
        <v>18.78</v>
      </c>
      <c r="F243" s="365">
        <v>-28604.09</v>
      </c>
      <c r="G243" s="365">
        <f t="shared" si="132"/>
        <v>0</v>
      </c>
      <c r="H243" s="367" t="str">
        <f t="shared" si="133"/>
        <v>N/A</v>
      </c>
      <c r="I243" s="365"/>
    </row>
    <row r="244" spans="2:9" x14ac:dyDescent="0.25">
      <c r="B244" s="622">
        <v>42328</v>
      </c>
      <c r="C244" s="364">
        <v>3078</v>
      </c>
      <c r="D244" s="623">
        <v>26.76</v>
      </c>
      <c r="E244" s="365">
        <v>17.440000000000001</v>
      </c>
      <c r="F244" s="365">
        <v>-28696.448999999906</v>
      </c>
      <c r="G244" s="365">
        <f t="shared" si="132"/>
        <v>82367.28</v>
      </c>
      <c r="H244" s="367">
        <f t="shared" si="133"/>
        <v>-0.34828101644245141</v>
      </c>
      <c r="I244" s="365"/>
    </row>
    <row r="245" spans="2:9" x14ac:dyDescent="0.25">
      <c r="B245" s="622">
        <v>42331</v>
      </c>
      <c r="C245" s="364">
        <v>0</v>
      </c>
      <c r="D245" s="623" t="s">
        <v>128</v>
      </c>
      <c r="E245" s="365">
        <v>17.53</v>
      </c>
      <c r="F245" s="365">
        <v>-28051.068999999901</v>
      </c>
      <c r="G245" s="365">
        <f t="shared" si="132"/>
        <v>0</v>
      </c>
      <c r="H245" s="367" t="str">
        <f t="shared" si="133"/>
        <v>N/A</v>
      </c>
      <c r="I245" s="365"/>
    </row>
    <row r="246" spans="2:9" x14ac:dyDescent="0.25">
      <c r="B246" s="622">
        <v>42335</v>
      </c>
      <c r="C246" s="364">
        <v>3078</v>
      </c>
      <c r="D246" s="623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2">
        <v>42335</v>
      </c>
      <c r="C247" s="364">
        <v>3578</v>
      </c>
      <c r="D247" s="623">
        <v>25.55</v>
      </c>
      <c r="E247" s="365">
        <v>17.440000000000001</v>
      </c>
      <c r="F247" s="365">
        <f t="shared" ref="F247:F278" si="134">C247*(E247-D247)</f>
        <v>-29017.579999999998</v>
      </c>
      <c r="G247" s="365">
        <f t="shared" ref="G247:G276" si="135">D247*C247</f>
        <v>91417.900000000009</v>
      </c>
      <c r="H247" s="366">
        <f t="shared" ref="H247:H276" si="136">(E247-D247)/D247</f>
        <v>-0.31741682974559682</v>
      </c>
      <c r="I247" s="365"/>
    </row>
    <row r="248" spans="2:9" x14ac:dyDescent="0.25">
      <c r="B248" s="622">
        <v>42340</v>
      </c>
      <c r="C248" s="364">
        <v>4178</v>
      </c>
      <c r="D248" s="623">
        <v>24.29</v>
      </c>
      <c r="E248" s="365">
        <v>16.670000000000002</v>
      </c>
      <c r="F248" s="365">
        <f t="shared" si="134"/>
        <v>-31836.35999999999</v>
      </c>
      <c r="G248" s="365">
        <f t="shared" si="135"/>
        <v>101483.62</v>
      </c>
      <c r="H248" s="366">
        <f t="shared" si="136"/>
        <v>-0.31370934540963352</v>
      </c>
      <c r="I248" s="365"/>
    </row>
    <row r="249" spans="2:9" x14ac:dyDescent="0.25">
      <c r="B249" s="622">
        <v>42342</v>
      </c>
      <c r="C249" s="364">
        <v>4678</v>
      </c>
      <c r="D249" s="623">
        <v>23.39</v>
      </c>
      <c r="E249" s="365">
        <v>16.12</v>
      </c>
      <c r="F249" s="365">
        <f t="shared" si="134"/>
        <v>-34009.06</v>
      </c>
      <c r="G249" s="365">
        <f t="shared" si="135"/>
        <v>109418.42</v>
      </c>
      <c r="H249" s="366">
        <f t="shared" si="136"/>
        <v>-0.31081658828559211</v>
      </c>
      <c r="I249" s="365"/>
    </row>
    <row r="250" spans="2:9" x14ac:dyDescent="0.25">
      <c r="B250" s="622">
        <v>42342</v>
      </c>
      <c r="C250" s="364">
        <v>4178</v>
      </c>
      <c r="D250" s="623">
        <v>24.26</v>
      </c>
      <c r="E250" s="365">
        <v>16.12</v>
      </c>
      <c r="F250" s="365">
        <f t="shared" si="134"/>
        <v>-34008.920000000006</v>
      </c>
      <c r="G250" s="365">
        <f t="shared" si="135"/>
        <v>101358.28000000001</v>
      </c>
      <c r="H250" s="366">
        <f t="shared" si="136"/>
        <v>-0.33553173948887055</v>
      </c>
      <c r="I250" s="365"/>
    </row>
    <row r="251" spans="2:9" x14ac:dyDescent="0.25">
      <c r="B251" s="622">
        <v>42345</v>
      </c>
      <c r="C251" s="364">
        <v>4678</v>
      </c>
      <c r="D251" s="623">
        <v>23.24</v>
      </c>
      <c r="E251" s="365">
        <v>14.78</v>
      </c>
      <c r="F251" s="365">
        <f t="shared" si="134"/>
        <v>-39575.879999999997</v>
      </c>
      <c r="G251" s="365">
        <f t="shared" si="135"/>
        <v>108716.71999999999</v>
      </c>
      <c r="H251" s="366">
        <f t="shared" si="136"/>
        <v>-0.36402753872633387</v>
      </c>
      <c r="I251" s="365"/>
    </row>
    <row r="252" spans="2:9" x14ac:dyDescent="0.25">
      <c r="B252" s="622">
        <v>42347</v>
      </c>
      <c r="C252" s="364">
        <v>4778</v>
      </c>
      <c r="D252" s="623">
        <v>23.06</v>
      </c>
      <c r="E252" s="365">
        <v>14.92</v>
      </c>
      <c r="F252" s="365">
        <f t="shared" si="134"/>
        <v>-38892.919999999991</v>
      </c>
      <c r="G252" s="365">
        <f t="shared" si="135"/>
        <v>110180.68</v>
      </c>
      <c r="H252" s="366">
        <f t="shared" si="136"/>
        <v>-0.3529921942758022</v>
      </c>
      <c r="I252" s="365"/>
    </row>
    <row r="253" spans="2:9" x14ac:dyDescent="0.25">
      <c r="B253" s="622">
        <v>42348</v>
      </c>
      <c r="C253" s="364">
        <v>4178</v>
      </c>
      <c r="D253" s="623">
        <v>24.23</v>
      </c>
      <c r="E253" s="365">
        <v>14.74</v>
      </c>
      <c r="F253" s="365">
        <f t="shared" si="134"/>
        <v>-39649.22</v>
      </c>
      <c r="G253" s="365">
        <f t="shared" si="135"/>
        <v>101232.94</v>
      </c>
      <c r="H253" s="366">
        <f t="shared" si="136"/>
        <v>-0.39166322740404458</v>
      </c>
      <c r="I253" s="365"/>
    </row>
    <row r="254" spans="2:9" x14ac:dyDescent="0.25">
      <c r="B254" s="622">
        <v>42349</v>
      </c>
      <c r="C254" s="364">
        <v>3678</v>
      </c>
      <c r="D254" s="623">
        <v>25.57</v>
      </c>
      <c r="E254" s="365">
        <v>14.34</v>
      </c>
      <c r="F254" s="365">
        <f t="shared" si="134"/>
        <v>-41303.94</v>
      </c>
      <c r="G254" s="365">
        <f t="shared" si="135"/>
        <v>94046.46</v>
      </c>
      <c r="H254" s="366">
        <f t="shared" si="136"/>
        <v>-0.43918654673445445</v>
      </c>
      <c r="I254" s="365"/>
    </row>
    <row r="255" spans="2:9" x14ac:dyDescent="0.25">
      <c r="B255" s="622">
        <v>42352</v>
      </c>
      <c r="C255" s="364">
        <v>4178</v>
      </c>
      <c r="D255" s="623">
        <v>24.18</v>
      </c>
      <c r="E255" s="365">
        <v>13.96</v>
      </c>
      <c r="F255" s="365">
        <f t="shared" si="134"/>
        <v>-42699.159999999996</v>
      </c>
      <c r="G255" s="365">
        <f t="shared" si="135"/>
        <v>101024.04</v>
      </c>
      <c r="H255" s="366">
        <f t="shared" si="136"/>
        <v>-0.42266335814722905</v>
      </c>
      <c r="I255" s="365"/>
    </row>
    <row r="256" spans="2:9" x14ac:dyDescent="0.25">
      <c r="B256" s="622">
        <v>42355</v>
      </c>
      <c r="C256" s="364">
        <v>4678</v>
      </c>
      <c r="D256" s="623">
        <v>22.98</v>
      </c>
      <c r="E256" s="365">
        <v>12.78</v>
      </c>
      <c r="F256" s="365">
        <f t="shared" si="134"/>
        <v>-47715.600000000006</v>
      </c>
      <c r="G256" s="365">
        <f t="shared" si="135"/>
        <v>107500.44</v>
      </c>
      <c r="H256" s="366">
        <f t="shared" si="136"/>
        <v>-0.44386422976501311</v>
      </c>
      <c r="I256" s="365"/>
    </row>
    <row r="257" spans="2:9" x14ac:dyDescent="0.25">
      <c r="B257" s="622">
        <v>42356</v>
      </c>
      <c r="C257" s="364">
        <v>5178</v>
      </c>
      <c r="D257" s="623">
        <v>21.99</v>
      </c>
      <c r="E257" s="365">
        <v>12.95</v>
      </c>
      <c r="F257" s="365">
        <f t="shared" si="134"/>
        <v>-46809.119999999995</v>
      </c>
      <c r="G257" s="365">
        <f t="shared" si="135"/>
        <v>113864.21999999999</v>
      </c>
      <c r="H257" s="366">
        <f t="shared" si="136"/>
        <v>-0.41109595270577537</v>
      </c>
      <c r="I257" s="365"/>
    </row>
    <row r="258" spans="2:9" x14ac:dyDescent="0.25">
      <c r="B258" s="622">
        <v>42356</v>
      </c>
      <c r="C258" s="364">
        <v>6178</v>
      </c>
      <c r="D258" s="623">
        <v>20.48</v>
      </c>
      <c r="E258" s="365">
        <v>12.76</v>
      </c>
      <c r="F258" s="365">
        <f t="shared" si="134"/>
        <v>-47694.16</v>
      </c>
      <c r="G258" s="365">
        <f t="shared" si="135"/>
        <v>126525.44</v>
      </c>
      <c r="H258" s="366">
        <f t="shared" si="136"/>
        <v>-0.376953125</v>
      </c>
      <c r="I258" s="365"/>
    </row>
    <row r="259" spans="2:9" x14ac:dyDescent="0.25">
      <c r="B259" s="622">
        <v>42356</v>
      </c>
      <c r="C259" s="364">
        <v>6400</v>
      </c>
      <c r="D259" s="623">
        <v>20.2</v>
      </c>
      <c r="E259" s="365">
        <v>12.68</v>
      </c>
      <c r="F259" s="365">
        <f t="shared" si="134"/>
        <v>-48128</v>
      </c>
      <c r="G259" s="365">
        <f t="shared" si="135"/>
        <v>129280</v>
      </c>
      <c r="H259" s="366">
        <f t="shared" si="136"/>
        <v>-0.37227722772277227</v>
      </c>
      <c r="I259" s="365"/>
    </row>
    <row r="260" spans="2:9" x14ac:dyDescent="0.25">
      <c r="B260" s="622">
        <v>42359</v>
      </c>
      <c r="C260" s="364">
        <v>5178</v>
      </c>
      <c r="D260" s="623">
        <v>21.96</v>
      </c>
      <c r="E260" s="365">
        <v>12.66</v>
      </c>
      <c r="F260" s="365">
        <f t="shared" si="134"/>
        <v>-48155.4</v>
      </c>
      <c r="G260" s="365">
        <f t="shared" si="135"/>
        <v>113708.88</v>
      </c>
      <c r="H260" s="366">
        <f t="shared" si="136"/>
        <v>-0.42349726775956287</v>
      </c>
      <c r="I260" s="365"/>
    </row>
    <row r="261" spans="2:9" x14ac:dyDescent="0.25">
      <c r="B261" s="622">
        <v>42361</v>
      </c>
      <c r="C261" s="364">
        <v>4178</v>
      </c>
      <c r="D261" s="623">
        <v>24.07</v>
      </c>
      <c r="E261" s="365">
        <v>13.96</v>
      </c>
      <c r="F261" s="365">
        <f t="shared" si="134"/>
        <v>-42239.579999999994</v>
      </c>
      <c r="G261" s="365">
        <f t="shared" si="135"/>
        <v>100564.46</v>
      </c>
      <c r="H261" s="366">
        <f t="shared" si="136"/>
        <v>-0.42002492729538843</v>
      </c>
      <c r="I261" s="365"/>
    </row>
    <row r="262" spans="2:9" x14ac:dyDescent="0.25">
      <c r="B262" s="622">
        <v>42361</v>
      </c>
      <c r="C262" s="364">
        <v>4178</v>
      </c>
      <c r="D262" s="623">
        <v>24.03</v>
      </c>
      <c r="E262" s="365">
        <v>13.96</v>
      </c>
      <c r="F262" s="365">
        <f t="shared" si="134"/>
        <v>-42072.46</v>
      </c>
      <c r="G262" s="365">
        <f t="shared" si="135"/>
        <v>100397.34000000001</v>
      </c>
      <c r="H262" s="366">
        <f t="shared" si="136"/>
        <v>-0.41905950894714938</v>
      </c>
      <c r="I262" s="365"/>
    </row>
    <row r="263" spans="2:9" x14ac:dyDescent="0.25">
      <c r="B263" s="622">
        <v>42366</v>
      </c>
      <c r="C263" s="385">
        <v>6678</v>
      </c>
      <c r="D263" s="624">
        <v>19.91</v>
      </c>
      <c r="E263" s="365">
        <v>13.09</v>
      </c>
      <c r="F263" s="365">
        <f t="shared" si="134"/>
        <v>-45543.96</v>
      </c>
      <c r="G263" s="365">
        <f t="shared" si="135"/>
        <v>132958.98000000001</v>
      </c>
      <c r="H263" s="366">
        <f t="shared" si="136"/>
        <v>-0.34254143646408841</v>
      </c>
      <c r="I263" s="365"/>
    </row>
    <row r="264" spans="2:9" x14ac:dyDescent="0.25">
      <c r="B264" s="622">
        <v>42367</v>
      </c>
      <c r="C264" s="385">
        <v>8678</v>
      </c>
      <c r="D264" s="624">
        <v>18.32</v>
      </c>
      <c r="E264" s="365">
        <v>13.03</v>
      </c>
      <c r="F264" s="365">
        <f t="shared" si="134"/>
        <v>-45906.62000000001</v>
      </c>
      <c r="G264" s="365">
        <f t="shared" si="135"/>
        <v>158980.96</v>
      </c>
      <c r="H264" s="366">
        <f t="shared" si="136"/>
        <v>-0.28875545851528389</v>
      </c>
      <c r="I264" s="365"/>
    </row>
    <row r="265" spans="2:9" x14ac:dyDescent="0.25">
      <c r="B265" s="622">
        <v>42368</v>
      </c>
      <c r="C265" s="364">
        <v>9678</v>
      </c>
      <c r="D265" s="623">
        <v>17.73</v>
      </c>
      <c r="E265" s="365">
        <v>12.38</v>
      </c>
      <c r="F265" s="365">
        <f t="shared" si="134"/>
        <v>-51777.299999999996</v>
      </c>
      <c r="G265" s="365">
        <f t="shared" si="135"/>
        <v>171590.94</v>
      </c>
      <c r="H265" s="367">
        <f t="shared" si="136"/>
        <v>-0.30174844895657077</v>
      </c>
      <c r="I265" s="365"/>
    </row>
    <row r="266" spans="2:9" x14ac:dyDescent="0.25">
      <c r="B266" s="622">
        <v>42369</v>
      </c>
      <c r="C266" s="364">
        <v>8678</v>
      </c>
      <c r="D266" s="623">
        <v>18.312999999999999</v>
      </c>
      <c r="E266" s="365">
        <v>12.59</v>
      </c>
      <c r="F266" s="365">
        <f t="shared" si="134"/>
        <v>-49664.193999999989</v>
      </c>
      <c r="G266" s="365">
        <f t="shared" si="135"/>
        <v>158920.21399999998</v>
      </c>
      <c r="H266" s="367">
        <f t="shared" si="136"/>
        <v>-0.3125102386282968</v>
      </c>
      <c r="I266" s="365"/>
    </row>
    <row r="267" spans="2:9" x14ac:dyDescent="0.25">
      <c r="B267" s="622">
        <v>42374</v>
      </c>
      <c r="C267" s="364">
        <v>7678</v>
      </c>
      <c r="D267" s="623">
        <v>19.010000000000002</v>
      </c>
      <c r="E267" s="365">
        <v>12.76</v>
      </c>
      <c r="F267" s="365">
        <f t="shared" si="134"/>
        <v>-47987.500000000015</v>
      </c>
      <c r="G267" s="365">
        <f t="shared" si="135"/>
        <v>145958.78</v>
      </c>
      <c r="H267" s="367">
        <f t="shared" si="136"/>
        <v>-0.32877432930036832</v>
      </c>
      <c r="I267" s="365"/>
    </row>
    <row r="268" spans="2:9" x14ac:dyDescent="0.25">
      <c r="B268" s="622">
        <v>42375</v>
      </c>
      <c r="C268" s="364">
        <v>8678</v>
      </c>
      <c r="D268" s="623">
        <v>18.257000000000001</v>
      </c>
      <c r="E268" s="365">
        <v>12.76</v>
      </c>
      <c r="F268" s="365">
        <f t="shared" si="134"/>
        <v>-47702.966000000015</v>
      </c>
      <c r="G268" s="365">
        <f t="shared" si="135"/>
        <v>158434.24600000001</v>
      </c>
      <c r="H268" s="367">
        <f t="shared" si="136"/>
        <v>-0.30108999287944355</v>
      </c>
      <c r="I268" s="365"/>
    </row>
    <row r="269" spans="2:9" x14ac:dyDescent="0.25">
      <c r="B269" s="622">
        <v>42375</v>
      </c>
      <c r="C269" s="364">
        <v>9678</v>
      </c>
      <c r="D269" s="623">
        <v>17.579999999999998</v>
      </c>
      <c r="E269" s="365">
        <v>11.28</v>
      </c>
      <c r="F269" s="365">
        <f t="shared" si="134"/>
        <v>-60971.399999999987</v>
      </c>
      <c r="G269" s="365">
        <f t="shared" si="135"/>
        <v>170139.24</v>
      </c>
      <c r="H269" s="367">
        <f t="shared" si="136"/>
        <v>-0.35836177474402725</v>
      </c>
      <c r="I269" s="365"/>
    </row>
    <row r="270" spans="2:9" x14ac:dyDescent="0.25">
      <c r="B270" s="622">
        <v>42398</v>
      </c>
      <c r="C270" s="364">
        <v>9278</v>
      </c>
      <c r="D270" s="623">
        <v>17.93</v>
      </c>
      <c r="E270" s="365">
        <v>9.56</v>
      </c>
      <c r="F270" s="365">
        <f t="shared" si="134"/>
        <v>-77656.859999999986</v>
      </c>
      <c r="G270" s="365">
        <f t="shared" si="135"/>
        <v>166354.54</v>
      </c>
      <c r="H270" s="367">
        <f t="shared" si="136"/>
        <v>-0.46681539319576126</v>
      </c>
      <c r="I270" s="365"/>
    </row>
    <row r="271" spans="2:9" x14ac:dyDescent="0.25">
      <c r="B271" s="622">
        <v>42402</v>
      </c>
      <c r="C271" s="364">
        <v>9678</v>
      </c>
      <c r="D271" s="623">
        <v>17.559999999999999</v>
      </c>
      <c r="E271" s="365">
        <v>8.74</v>
      </c>
      <c r="F271" s="365">
        <f t="shared" si="134"/>
        <v>-85359.959999999992</v>
      </c>
      <c r="G271" s="365">
        <f t="shared" si="135"/>
        <v>169945.68</v>
      </c>
      <c r="H271" s="367">
        <f t="shared" si="136"/>
        <v>-0.50227790432801822</v>
      </c>
      <c r="I271" s="365"/>
    </row>
    <row r="272" spans="2:9" x14ac:dyDescent="0.25">
      <c r="B272" s="622">
        <v>42411</v>
      </c>
      <c r="C272" s="364">
        <v>9678</v>
      </c>
      <c r="D272" s="623">
        <v>17.553999999999998</v>
      </c>
      <c r="E272" s="365">
        <v>7.13</v>
      </c>
      <c r="F272" s="365">
        <f t="shared" si="134"/>
        <v>-100883.47199999999</v>
      </c>
      <c r="G272" s="365">
        <f t="shared" si="135"/>
        <v>169887.61199999999</v>
      </c>
      <c r="H272" s="366">
        <f t="shared" si="136"/>
        <v>-0.59382476928335426</v>
      </c>
      <c r="I272" s="365"/>
    </row>
    <row r="273" spans="2:14" x14ac:dyDescent="0.25">
      <c r="B273" s="622">
        <v>42412</v>
      </c>
      <c r="C273" s="364">
        <v>9678</v>
      </c>
      <c r="D273" s="623">
        <v>17.55</v>
      </c>
      <c r="E273" s="365">
        <v>7.46</v>
      </c>
      <c r="F273" s="365">
        <f t="shared" si="134"/>
        <v>-97651.02</v>
      </c>
      <c r="G273" s="365">
        <f t="shared" si="135"/>
        <v>169848.9</v>
      </c>
      <c r="H273" s="366">
        <f t="shared" si="136"/>
        <v>-0.57492877492877492</v>
      </c>
      <c r="I273" s="365"/>
    </row>
    <row r="274" spans="2:14" x14ac:dyDescent="0.25">
      <c r="B274" s="622">
        <v>42416</v>
      </c>
      <c r="C274" s="364">
        <v>9178</v>
      </c>
      <c r="D274" s="623">
        <v>18.084</v>
      </c>
      <c r="E274" s="365">
        <v>7.49</v>
      </c>
      <c r="F274" s="365">
        <f t="shared" si="134"/>
        <v>-97231.731999999989</v>
      </c>
      <c r="G274" s="365">
        <f t="shared" si="135"/>
        <v>165974.95199999999</v>
      </c>
      <c r="H274" s="366">
        <f t="shared" si="136"/>
        <v>-0.58582172085821715</v>
      </c>
      <c r="I274" s="365"/>
    </row>
    <row r="275" spans="2:14" x14ac:dyDescent="0.25">
      <c r="B275" s="622">
        <v>42416</v>
      </c>
      <c r="C275" s="364">
        <v>9678</v>
      </c>
      <c r="D275" s="623">
        <v>17.536999999999999</v>
      </c>
      <c r="E275" s="365">
        <v>7.49</v>
      </c>
      <c r="F275" s="365">
        <f t="shared" si="134"/>
        <v>-97234.865999999995</v>
      </c>
      <c r="G275" s="365">
        <f t="shared" si="135"/>
        <v>169723.08599999998</v>
      </c>
      <c r="H275" s="366">
        <f t="shared" si="136"/>
        <v>-0.57290300507498426</v>
      </c>
      <c r="I275" s="365"/>
    </row>
    <row r="276" spans="2:14" x14ac:dyDescent="0.25">
      <c r="B276" s="622">
        <v>42418</v>
      </c>
      <c r="C276" s="364">
        <v>13478</v>
      </c>
      <c r="D276" s="623">
        <v>14.673999999999999</v>
      </c>
      <c r="E276" s="365">
        <v>6.93</v>
      </c>
      <c r="F276" s="365">
        <f t="shared" si="134"/>
        <v>-104373.632</v>
      </c>
      <c r="G276" s="365">
        <f t="shared" si="135"/>
        <v>197776.17199999999</v>
      </c>
      <c r="H276" s="366">
        <f t="shared" si="136"/>
        <v>-0.52773613193403301</v>
      </c>
      <c r="I276" s="365"/>
    </row>
    <row r="277" spans="2:14" x14ac:dyDescent="0.25">
      <c r="B277" s="622">
        <v>42422</v>
      </c>
      <c r="C277" s="364">
        <v>10978</v>
      </c>
      <c r="D277" s="623">
        <v>16.314</v>
      </c>
      <c r="E277" s="365">
        <v>7.49</v>
      </c>
      <c r="F277" s="365">
        <f t="shared" si="134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2">
        <v>42422</v>
      </c>
      <c r="C278" s="364">
        <v>9978</v>
      </c>
      <c r="D278" s="623">
        <v>17.199000000000002</v>
      </c>
      <c r="E278" s="365">
        <v>7.49</v>
      </c>
      <c r="F278" s="365">
        <f t="shared" si="134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2">
        <v>42426</v>
      </c>
      <c r="C279" s="364">
        <v>9678</v>
      </c>
      <c r="D279" s="623">
        <v>17.489000000000001</v>
      </c>
      <c r="E279" s="365">
        <v>7.49</v>
      </c>
      <c r="F279" s="365">
        <f t="shared" ref="F279:F287" si="137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2">
        <v>42426</v>
      </c>
      <c r="C280" s="364">
        <v>9178</v>
      </c>
      <c r="D280" s="623">
        <v>18.02</v>
      </c>
      <c r="E280" s="365">
        <v>7.76</v>
      </c>
      <c r="F280" s="365">
        <f t="shared" si="137"/>
        <v>-94166.28</v>
      </c>
      <c r="G280" s="365">
        <f t="shared" ref="G280:G287" si="138">IF(C280=0, 0,D280*C280)</f>
        <v>165387.56</v>
      </c>
      <c r="H280" s="366">
        <f t="shared" ref="H280:H287" si="139">IF(C280=0, D280, (E280-D280)/D280)</f>
        <v>-0.5693673695893452</v>
      </c>
      <c r="I280" s="365"/>
      <c r="N280" s="70"/>
    </row>
    <row r="281" spans="2:14" x14ac:dyDescent="0.25">
      <c r="B281" s="622">
        <v>42426</v>
      </c>
      <c r="C281" s="364">
        <v>8178</v>
      </c>
      <c r="D281" s="623">
        <v>19.245999999999999</v>
      </c>
      <c r="E281" s="365">
        <v>8</v>
      </c>
      <c r="F281" s="365">
        <f t="shared" si="137"/>
        <v>-91969.787999999986</v>
      </c>
      <c r="G281" s="365">
        <f t="shared" si="138"/>
        <v>157393.788</v>
      </c>
      <c r="H281" s="366">
        <f t="shared" si="139"/>
        <v>-0.58432921126467829</v>
      </c>
      <c r="I281" s="365"/>
    </row>
    <row r="282" spans="2:14" x14ac:dyDescent="0.25">
      <c r="B282" s="622">
        <v>42426</v>
      </c>
      <c r="C282" s="364">
        <v>6678</v>
      </c>
      <c r="D282" s="623">
        <v>21.75</v>
      </c>
      <c r="E282" s="365">
        <v>8.1</v>
      </c>
      <c r="F282" s="365">
        <f t="shared" si="137"/>
        <v>-91154.7</v>
      </c>
      <c r="G282" s="365">
        <f t="shared" si="138"/>
        <v>145246.5</v>
      </c>
      <c r="H282" s="366">
        <f t="shared" si="139"/>
        <v>-0.62758620689655176</v>
      </c>
      <c r="I282" s="365"/>
    </row>
    <row r="283" spans="2:14" x14ac:dyDescent="0.25">
      <c r="B283" s="622">
        <v>42426</v>
      </c>
      <c r="C283" s="364">
        <v>8678</v>
      </c>
      <c r="D283" s="623">
        <v>18.568999999999999</v>
      </c>
      <c r="E283" s="365">
        <v>7.94</v>
      </c>
      <c r="F283" s="365">
        <f t="shared" si="137"/>
        <v>-92238.461999999985</v>
      </c>
      <c r="G283" s="365">
        <f t="shared" si="138"/>
        <v>161141.78199999998</v>
      </c>
      <c r="H283" s="366">
        <f t="shared" si="139"/>
        <v>-0.57240562227368186</v>
      </c>
      <c r="I283" s="365"/>
    </row>
    <row r="284" spans="2:14" x14ac:dyDescent="0.25">
      <c r="B284" s="622">
        <v>42429</v>
      </c>
      <c r="C284" s="364">
        <v>7678</v>
      </c>
      <c r="D284" s="623">
        <v>19.876000000000001</v>
      </c>
      <c r="E284" s="365">
        <v>8.2100000000000009</v>
      </c>
      <c r="F284" s="365">
        <f t="shared" si="137"/>
        <v>-89571.54800000001</v>
      </c>
      <c r="G284" s="365">
        <f t="shared" si="138"/>
        <v>152607.92800000001</v>
      </c>
      <c r="H284" s="366">
        <f t="shared" si="139"/>
        <v>-0.58693902193600322</v>
      </c>
      <c r="I284" s="365"/>
    </row>
    <row r="285" spans="2:14" x14ac:dyDescent="0.25">
      <c r="B285" s="622">
        <v>42429</v>
      </c>
      <c r="C285" s="364">
        <v>9678</v>
      </c>
      <c r="D285" s="623">
        <v>17.463000000000001</v>
      </c>
      <c r="E285" s="365">
        <v>8.2100000000000009</v>
      </c>
      <c r="F285" s="365">
        <f t="shared" si="137"/>
        <v>-89550.534</v>
      </c>
      <c r="G285" s="365">
        <f t="shared" si="138"/>
        <v>169006.91400000002</v>
      </c>
      <c r="H285" s="366">
        <f t="shared" si="139"/>
        <v>-0.5298631392086125</v>
      </c>
      <c r="I285" s="365"/>
    </row>
    <row r="286" spans="2:14" x14ac:dyDescent="0.25">
      <c r="B286" s="622">
        <v>42429</v>
      </c>
      <c r="C286" s="364">
        <v>9178</v>
      </c>
      <c r="D286" s="623">
        <v>17.981000000000002</v>
      </c>
      <c r="E286" s="365">
        <v>8.2100000000000009</v>
      </c>
      <c r="F286" s="365">
        <f t="shared" si="137"/>
        <v>-89678.238000000012</v>
      </c>
      <c r="G286" s="365">
        <f t="shared" si="138"/>
        <v>165029.61800000002</v>
      </c>
      <c r="H286" s="366">
        <f t="shared" si="139"/>
        <v>-0.5434069295367332</v>
      </c>
      <c r="I286" s="365"/>
    </row>
    <row r="287" spans="2:14" x14ac:dyDescent="0.25">
      <c r="B287" s="622">
        <v>42429</v>
      </c>
      <c r="C287" s="364">
        <v>9678</v>
      </c>
      <c r="D287" s="623">
        <v>17.459</v>
      </c>
      <c r="E287" s="365">
        <v>8.2100000000000009</v>
      </c>
      <c r="F287" s="365">
        <f t="shared" si="137"/>
        <v>-89511.821999999986</v>
      </c>
      <c r="G287" s="365">
        <f t="shared" si="138"/>
        <v>168968.20199999999</v>
      </c>
      <c r="H287" s="366">
        <f t="shared" si="139"/>
        <v>-0.5297554270004009</v>
      </c>
      <c r="I287" s="365"/>
    </row>
    <row r="288" spans="2:14" x14ac:dyDescent="0.25">
      <c r="B288" s="622">
        <v>42429</v>
      </c>
      <c r="C288" s="364">
        <v>9178</v>
      </c>
      <c r="D288" s="623">
        <v>17.975999999999999</v>
      </c>
      <c r="E288" s="365">
        <v>8.2100000000000009</v>
      </c>
      <c r="F288" s="365">
        <f t="shared" ref="F288:F299" si="140">C288*(E288-D288)</f>
        <v>-89632.347999999984</v>
      </c>
      <c r="G288" s="365">
        <f t="shared" ref="G288:G299" si="141">IF(C288=0, 0,D288*C288)</f>
        <v>164983.728</v>
      </c>
      <c r="H288" s="366">
        <f t="shared" ref="H288:H339" si="142">IF(C288=0, D288, (E288-D288)/D288)</f>
        <v>-0.54327992879394738</v>
      </c>
      <c r="I288" s="365" t="s">
        <v>186</v>
      </c>
    </row>
    <row r="289" spans="2:9" x14ac:dyDescent="0.25">
      <c r="B289" s="622">
        <v>42430</v>
      </c>
      <c r="C289" s="385">
        <v>10178</v>
      </c>
      <c r="D289" s="624">
        <v>16.974</v>
      </c>
      <c r="E289" s="365">
        <v>7.8</v>
      </c>
      <c r="F289" s="365">
        <f t="shared" si="140"/>
        <v>-93372.971999999994</v>
      </c>
      <c r="G289" s="365">
        <f t="shared" si="141"/>
        <v>172761.372</v>
      </c>
      <c r="H289" s="366">
        <f t="shared" si="142"/>
        <v>-0.54047366560622123</v>
      </c>
      <c r="I289" s="365"/>
    </row>
    <row r="290" spans="2:9" x14ac:dyDescent="0.25">
      <c r="B290" s="622">
        <v>42430</v>
      </c>
      <c r="C290" s="385">
        <v>9678</v>
      </c>
      <c r="D290" s="624">
        <v>17.440000000000001</v>
      </c>
      <c r="E290" s="365">
        <v>7.96</v>
      </c>
      <c r="F290" s="365">
        <f t="shared" si="140"/>
        <v>-91747.44</v>
      </c>
      <c r="G290" s="365">
        <f t="shared" si="141"/>
        <v>168784.32</v>
      </c>
      <c r="H290" s="366">
        <f t="shared" si="142"/>
        <v>-0.54357798165137616</v>
      </c>
      <c r="I290" s="365"/>
    </row>
    <row r="291" spans="2:9" x14ac:dyDescent="0.25">
      <c r="B291" s="622">
        <v>42431</v>
      </c>
      <c r="C291" s="364">
        <v>8678</v>
      </c>
      <c r="D291" s="623">
        <v>18.405999999999999</v>
      </c>
      <c r="E291" s="365">
        <v>9.1</v>
      </c>
      <c r="F291" s="365">
        <f t="shared" si="140"/>
        <v>-80757.467999999993</v>
      </c>
      <c r="G291" s="365">
        <f t="shared" si="141"/>
        <v>159727.26799999998</v>
      </c>
      <c r="H291" s="367">
        <f t="shared" si="142"/>
        <v>-0.50559600130392257</v>
      </c>
      <c r="I291" s="365"/>
    </row>
    <row r="292" spans="2:9" x14ac:dyDescent="0.25">
      <c r="B292" s="622">
        <v>42432</v>
      </c>
      <c r="C292" s="364">
        <v>9278</v>
      </c>
      <c r="D292" s="623">
        <v>17.771999999999998</v>
      </c>
      <c r="E292" s="365">
        <v>9.9700000000000006</v>
      </c>
      <c r="F292" s="365">
        <f t="shared" si="140"/>
        <v>-72386.955999999976</v>
      </c>
      <c r="G292" s="365">
        <f t="shared" si="141"/>
        <v>164888.61599999998</v>
      </c>
      <c r="H292" s="367">
        <f t="shared" si="142"/>
        <v>-0.43900517668242173</v>
      </c>
      <c r="I292" s="365"/>
    </row>
    <row r="293" spans="2:9" x14ac:dyDescent="0.25">
      <c r="B293" s="622">
        <v>42433</v>
      </c>
      <c r="C293" s="364">
        <v>9278</v>
      </c>
      <c r="D293" s="623">
        <v>17.771999999999998</v>
      </c>
      <c r="E293" s="365">
        <v>11</v>
      </c>
      <c r="F293" s="365">
        <f t="shared" si="140"/>
        <v>-62830.615999999987</v>
      </c>
      <c r="G293" s="365">
        <f t="shared" si="141"/>
        <v>164888.61599999998</v>
      </c>
      <c r="H293" s="367">
        <f t="shared" si="142"/>
        <v>-0.38104884087328378</v>
      </c>
      <c r="I293" s="365"/>
    </row>
    <row r="294" spans="2:9" x14ac:dyDescent="0.25">
      <c r="B294" s="622">
        <v>42439</v>
      </c>
      <c r="C294" s="364">
        <v>9278</v>
      </c>
      <c r="D294" s="623">
        <v>17.718</v>
      </c>
      <c r="E294" s="365">
        <v>10.59</v>
      </c>
      <c r="F294" s="365">
        <f t="shared" si="140"/>
        <v>-66133.584000000003</v>
      </c>
      <c r="G294" s="365">
        <f t="shared" si="141"/>
        <v>164387.60399999999</v>
      </c>
      <c r="H294" s="367">
        <f t="shared" si="142"/>
        <v>-0.40230274297324753</v>
      </c>
      <c r="I294" s="365" t="s">
        <v>185</v>
      </c>
    </row>
    <row r="295" spans="2:9" x14ac:dyDescent="0.25">
      <c r="B295" s="622">
        <v>42440</v>
      </c>
      <c r="C295" s="364">
        <v>9278</v>
      </c>
      <c r="D295" s="623">
        <v>17.712</v>
      </c>
      <c r="E295" s="365">
        <v>11.12</v>
      </c>
      <c r="F295" s="365">
        <f t="shared" si="140"/>
        <v>-61160.576000000008</v>
      </c>
      <c r="G295" s="365">
        <f t="shared" si="141"/>
        <v>164331.93599999999</v>
      </c>
      <c r="H295" s="367">
        <f t="shared" si="142"/>
        <v>-0.37217705510388438</v>
      </c>
      <c r="I295" s="365"/>
    </row>
    <row r="296" spans="2:9" x14ac:dyDescent="0.25">
      <c r="B296" s="622">
        <v>42446</v>
      </c>
      <c r="C296" s="364">
        <v>9278</v>
      </c>
      <c r="D296" s="623">
        <v>17.704999999999998</v>
      </c>
      <c r="E296" s="365">
        <v>11.45</v>
      </c>
      <c r="F296" s="365">
        <f t="shared" si="140"/>
        <v>-58033.889999999992</v>
      </c>
      <c r="G296" s="365">
        <f t="shared" si="141"/>
        <v>164266.99</v>
      </c>
      <c r="H296" s="367">
        <f t="shared" si="142"/>
        <v>-0.353290031064671</v>
      </c>
      <c r="I296" s="365"/>
    </row>
    <row r="297" spans="2:9" x14ac:dyDescent="0.25">
      <c r="B297" s="622">
        <v>42447</v>
      </c>
      <c r="C297" s="364">
        <v>7928</v>
      </c>
      <c r="D297" s="623">
        <v>18.734999999999999</v>
      </c>
      <c r="E297" s="365">
        <v>11.63</v>
      </c>
      <c r="F297" s="365">
        <f t="shared" si="140"/>
        <v>-56328.439999999988</v>
      </c>
      <c r="G297" s="365">
        <f t="shared" si="141"/>
        <v>148531.07999999999</v>
      </c>
      <c r="H297" s="367">
        <f t="shared" si="142"/>
        <v>-0.37923672271150249</v>
      </c>
      <c r="I297" s="365"/>
    </row>
    <row r="298" spans="2:9" x14ac:dyDescent="0.25">
      <c r="B298" s="622">
        <v>42450</v>
      </c>
      <c r="C298" s="364">
        <v>9278</v>
      </c>
      <c r="D298" s="623">
        <v>17.670000000000002</v>
      </c>
      <c r="E298" s="365">
        <v>11.43</v>
      </c>
      <c r="F298" s="365">
        <f t="shared" si="140"/>
        <v>-57894.720000000016</v>
      </c>
      <c r="G298" s="365">
        <f t="shared" si="141"/>
        <v>163942.26</v>
      </c>
      <c r="H298" s="366">
        <f t="shared" si="142"/>
        <v>-0.35314091680814946</v>
      </c>
      <c r="I298" s="365"/>
    </row>
    <row r="299" spans="2:9" x14ac:dyDescent="0.25">
      <c r="B299" s="622">
        <v>42451</v>
      </c>
      <c r="C299" s="364">
        <v>9628</v>
      </c>
      <c r="D299" s="623">
        <v>17.428000000000001</v>
      </c>
      <c r="E299" s="365">
        <v>11.31</v>
      </c>
      <c r="F299" s="365">
        <f t="shared" si="140"/>
        <v>-58904.104000000007</v>
      </c>
      <c r="G299" s="365">
        <f t="shared" si="141"/>
        <v>167796.78400000001</v>
      </c>
      <c r="H299" s="366">
        <f t="shared" si="142"/>
        <v>-0.35104429653431263</v>
      </c>
      <c r="I299" s="365"/>
    </row>
    <row r="300" spans="2:9" x14ac:dyDescent="0.25">
      <c r="B300" s="622">
        <v>42453</v>
      </c>
      <c r="C300" s="364">
        <v>13278</v>
      </c>
      <c r="D300" s="623">
        <v>15.5565</v>
      </c>
      <c r="E300" s="365">
        <v>10.29</v>
      </c>
      <c r="F300" s="365">
        <f t="shared" ref="F300:F339" si="143">C300*(E300-D300)</f>
        <v>-69928.587000000014</v>
      </c>
      <c r="G300" s="365">
        <f t="shared" ref="G300:G339" si="144">IF(C300=0, 0,D300*C300)</f>
        <v>206559.20699999999</v>
      </c>
      <c r="H300" s="366">
        <f t="shared" si="142"/>
        <v>-0.33854016006171056</v>
      </c>
      <c r="I300" s="365"/>
    </row>
    <row r="301" spans="2:9" x14ac:dyDescent="0.25">
      <c r="B301" s="622">
        <v>42459</v>
      </c>
      <c r="C301" s="364">
        <v>11278</v>
      </c>
      <c r="D301" s="623">
        <v>16.408899999999999</v>
      </c>
      <c r="E301" s="365">
        <v>10.53</v>
      </c>
      <c r="F301" s="365">
        <f t="shared" si="143"/>
        <v>-66302.234199999992</v>
      </c>
      <c r="G301" s="365">
        <f t="shared" si="144"/>
        <v>185059.5742</v>
      </c>
      <c r="H301" s="366">
        <f t="shared" si="142"/>
        <v>-0.35827508242478168</v>
      </c>
      <c r="I301" s="365"/>
    </row>
    <row r="302" spans="2:9" x14ac:dyDescent="0.25">
      <c r="B302" s="622">
        <v>42460</v>
      </c>
      <c r="C302" s="364">
        <v>9678</v>
      </c>
      <c r="D302" s="623">
        <v>17.311699999999998</v>
      </c>
      <c r="E302" s="365">
        <v>11.14</v>
      </c>
      <c r="F302" s="365">
        <f t="shared" si="143"/>
        <v>-59729.712599999977</v>
      </c>
      <c r="G302" s="365">
        <f t="shared" si="144"/>
        <v>167542.63259999998</v>
      </c>
      <c r="H302" s="366">
        <f t="shared" si="142"/>
        <v>-0.35650456049954643</v>
      </c>
      <c r="I302" s="365"/>
    </row>
    <row r="303" spans="2:9" x14ac:dyDescent="0.25">
      <c r="B303" s="622">
        <v>42461</v>
      </c>
      <c r="C303" s="364">
        <v>11678</v>
      </c>
      <c r="D303" s="623">
        <v>16.116</v>
      </c>
      <c r="E303" s="365">
        <v>10.53</v>
      </c>
      <c r="F303" s="365">
        <f t="shared" si="143"/>
        <v>-65233.308000000005</v>
      </c>
      <c r="G303" s="365">
        <f t="shared" si="144"/>
        <v>188202.64799999999</v>
      </c>
      <c r="H303" s="366">
        <f t="shared" si="142"/>
        <v>-0.34661206254653765</v>
      </c>
      <c r="I303" s="365"/>
    </row>
    <row r="304" spans="2:9" x14ac:dyDescent="0.25">
      <c r="B304" s="622">
        <v>42461</v>
      </c>
      <c r="C304" s="364">
        <v>9678</v>
      </c>
      <c r="D304" s="623">
        <v>17.266200000000001</v>
      </c>
      <c r="E304" s="365">
        <v>10.56</v>
      </c>
      <c r="F304" s="365">
        <f t="shared" si="143"/>
        <v>-64902.603600000009</v>
      </c>
      <c r="G304" s="365">
        <f t="shared" si="144"/>
        <v>167102.28360000002</v>
      </c>
      <c r="H304" s="366">
        <f t="shared" si="142"/>
        <v>-0.388400458699656</v>
      </c>
      <c r="I304" s="365"/>
    </row>
    <row r="305" spans="2:14" x14ac:dyDescent="0.25">
      <c r="B305" s="622">
        <v>42464</v>
      </c>
      <c r="C305" s="364">
        <v>9778</v>
      </c>
      <c r="D305" s="623">
        <v>17.196100000000001</v>
      </c>
      <c r="E305" s="365">
        <v>10.4</v>
      </c>
      <c r="F305" s="365">
        <f t="shared" si="143"/>
        <v>-66452.265800000008</v>
      </c>
      <c r="G305" s="365">
        <f t="shared" si="144"/>
        <v>168143.46580000001</v>
      </c>
      <c r="H305" s="366">
        <f t="shared" si="142"/>
        <v>-0.3952117049796175</v>
      </c>
      <c r="I305" s="365"/>
    </row>
    <row r="306" spans="2:14" x14ac:dyDescent="0.25">
      <c r="B306" s="622">
        <v>42465</v>
      </c>
      <c r="C306" s="364">
        <v>9678</v>
      </c>
      <c r="D306" s="623">
        <v>17.262699999999999</v>
      </c>
      <c r="E306" s="365">
        <v>10.63</v>
      </c>
      <c r="F306" s="365">
        <f t="shared" si="143"/>
        <v>-64191.270599999982</v>
      </c>
      <c r="G306" s="365">
        <f t="shared" si="144"/>
        <v>167068.4106</v>
      </c>
      <c r="H306" s="366">
        <f t="shared" si="142"/>
        <v>-0.38422147172806098</v>
      </c>
      <c r="I306" s="365"/>
    </row>
    <row r="307" spans="2:14" x14ac:dyDescent="0.25">
      <c r="B307" s="622">
        <v>42469</v>
      </c>
      <c r="C307" s="364">
        <v>8678</v>
      </c>
      <c r="D307" s="623">
        <v>17.895700000000001</v>
      </c>
      <c r="E307" s="365">
        <v>11.78</v>
      </c>
      <c r="F307" s="365">
        <f t="shared" si="143"/>
        <v>-53072.044600000016</v>
      </c>
      <c r="G307" s="365">
        <f t="shared" si="144"/>
        <v>155298.88460000002</v>
      </c>
      <c r="H307" s="366">
        <f t="shared" si="142"/>
        <v>-0.34174131215878684</v>
      </c>
      <c r="I307" s="365"/>
      <c r="N307" s="70"/>
    </row>
    <row r="308" spans="2:14" x14ac:dyDescent="0.25">
      <c r="B308" s="622">
        <v>42471</v>
      </c>
      <c r="C308" s="364">
        <v>9678</v>
      </c>
      <c r="D308" s="623">
        <v>17.2514</v>
      </c>
      <c r="E308" s="365">
        <v>11.67</v>
      </c>
      <c r="F308" s="365">
        <f t="shared" si="143"/>
        <v>-54016.789200000007</v>
      </c>
      <c r="G308" s="365">
        <f t="shared" si="144"/>
        <v>166959.04920000001</v>
      </c>
      <c r="H308" s="366">
        <f t="shared" si="142"/>
        <v>-0.32353316252593994</v>
      </c>
      <c r="I308" s="365"/>
    </row>
    <row r="309" spans="2:14" x14ac:dyDescent="0.25">
      <c r="B309" s="622">
        <v>42472</v>
      </c>
      <c r="C309" s="364">
        <v>8288</v>
      </c>
      <c r="D309" s="623">
        <v>17.96</v>
      </c>
      <c r="E309" s="365">
        <v>13.05</v>
      </c>
      <c r="F309" s="365">
        <f t="shared" si="143"/>
        <v>-40694.080000000002</v>
      </c>
      <c r="G309" s="365">
        <f t="shared" si="144"/>
        <v>148852.48000000001</v>
      </c>
      <c r="H309" s="366">
        <f t="shared" si="142"/>
        <v>-0.27338530066815142</v>
      </c>
      <c r="I309" s="365"/>
    </row>
    <row r="310" spans="2:14" x14ac:dyDescent="0.25">
      <c r="B310" s="622">
        <v>42473</v>
      </c>
      <c r="C310" s="364">
        <v>9258</v>
      </c>
      <c r="D310" s="623">
        <v>17.415800000000001</v>
      </c>
      <c r="E310" s="365">
        <v>12.92</v>
      </c>
      <c r="F310" s="365">
        <f t="shared" si="143"/>
        <v>-41622.116400000006</v>
      </c>
      <c r="G310" s="365">
        <f t="shared" si="144"/>
        <v>161235.47640000001</v>
      </c>
      <c r="H310" s="366">
        <f t="shared" si="142"/>
        <v>-0.2581449029042594</v>
      </c>
      <c r="I310" s="365"/>
    </row>
    <row r="311" spans="2:14" x14ac:dyDescent="0.25">
      <c r="B311" s="622">
        <v>42474</v>
      </c>
      <c r="C311" s="364">
        <v>9678</v>
      </c>
      <c r="D311" s="623">
        <v>17.2135</v>
      </c>
      <c r="E311" s="365">
        <v>13.11</v>
      </c>
      <c r="F311" s="365">
        <f t="shared" si="143"/>
        <v>-39713.673000000003</v>
      </c>
      <c r="G311" s="365">
        <f t="shared" si="144"/>
        <v>166592.253</v>
      </c>
      <c r="H311" s="366">
        <f t="shared" si="142"/>
        <v>-0.23838847416272113</v>
      </c>
      <c r="I311" s="365"/>
    </row>
    <row r="312" spans="2:14" x14ac:dyDescent="0.25">
      <c r="B312" s="622">
        <v>42474</v>
      </c>
      <c r="C312" s="364">
        <v>9178</v>
      </c>
      <c r="D312" s="623">
        <v>17.433299999999999</v>
      </c>
      <c r="E312" s="365">
        <v>13.11</v>
      </c>
      <c r="F312" s="365">
        <f t="shared" si="143"/>
        <v>-39679.2474</v>
      </c>
      <c r="G312" s="365">
        <f t="shared" si="144"/>
        <v>160002.82739999998</v>
      </c>
      <c r="H312" s="366">
        <f t="shared" si="142"/>
        <v>-0.24799091394056202</v>
      </c>
      <c r="I312" s="365"/>
    </row>
    <row r="313" spans="2:14" x14ac:dyDescent="0.25">
      <c r="B313" s="622">
        <v>42475</v>
      </c>
      <c r="C313" s="364">
        <v>9678</v>
      </c>
      <c r="D313" s="623">
        <v>17.205100000000002</v>
      </c>
      <c r="E313" s="365">
        <v>13.01</v>
      </c>
      <c r="F313" s="365">
        <f t="shared" si="143"/>
        <v>-40600.177800000019</v>
      </c>
      <c r="G313" s="365">
        <f t="shared" si="144"/>
        <v>166510.9578</v>
      </c>
      <c r="H313" s="366">
        <f t="shared" si="142"/>
        <v>-0.24382886469709572</v>
      </c>
      <c r="I313" s="365"/>
    </row>
    <row r="314" spans="2:14" x14ac:dyDescent="0.25">
      <c r="B314" s="622">
        <v>42478</v>
      </c>
      <c r="C314" s="364">
        <v>9178</v>
      </c>
      <c r="D314" s="623">
        <v>17.412400000000002</v>
      </c>
      <c r="E314" s="365">
        <v>13.36</v>
      </c>
      <c r="F314" s="365">
        <f t="shared" si="143"/>
        <v>-37192.92720000002</v>
      </c>
      <c r="G314" s="365">
        <f t="shared" si="144"/>
        <v>159811.00720000002</v>
      </c>
      <c r="H314" s="366">
        <f t="shared" si="142"/>
        <v>-0.232730697663734</v>
      </c>
      <c r="I314" s="365"/>
    </row>
    <row r="315" spans="2:14" x14ac:dyDescent="0.25">
      <c r="B315" s="622">
        <v>42484</v>
      </c>
      <c r="C315" s="385">
        <v>9178</v>
      </c>
      <c r="D315" s="624">
        <v>17.412400000000002</v>
      </c>
      <c r="E315" s="365">
        <v>14.34</v>
      </c>
      <c r="F315" s="365">
        <f t="shared" si="143"/>
        <v>-28198.487200000018</v>
      </c>
      <c r="G315" s="365">
        <f t="shared" si="144"/>
        <v>159811.00720000002</v>
      </c>
      <c r="H315" s="366">
        <f t="shared" si="142"/>
        <v>-0.17644896740254082</v>
      </c>
      <c r="I315" s="365"/>
    </row>
    <row r="316" spans="2:14" x14ac:dyDescent="0.25">
      <c r="B316" s="622">
        <v>42485</v>
      </c>
      <c r="C316" s="385">
        <v>9678</v>
      </c>
      <c r="D316" s="624">
        <v>17.233499999999999</v>
      </c>
      <c r="E316" s="365">
        <v>13.83</v>
      </c>
      <c r="F316" s="365">
        <f t="shared" si="143"/>
        <v>-32939.072999999997</v>
      </c>
      <c r="G316" s="365">
        <f t="shared" si="144"/>
        <v>166785.81299999999</v>
      </c>
      <c r="H316" s="366">
        <f t="shared" si="142"/>
        <v>-0.19749325441726867</v>
      </c>
      <c r="I316" s="365"/>
    </row>
    <row r="317" spans="2:14" x14ac:dyDescent="0.25">
      <c r="B317" s="622">
        <v>42486</v>
      </c>
      <c r="C317" s="364">
        <v>9178</v>
      </c>
      <c r="D317" s="623">
        <v>17.390599999999999</v>
      </c>
      <c r="E317" s="365">
        <v>14.44</v>
      </c>
      <c r="F317" s="365">
        <f t="shared" si="143"/>
        <v>-27080.606799999998</v>
      </c>
      <c r="G317" s="365">
        <f t="shared" si="144"/>
        <v>159610.92679999999</v>
      </c>
      <c r="H317" s="367">
        <f t="shared" si="142"/>
        <v>-0.16966637148804525</v>
      </c>
      <c r="I317" s="365"/>
    </row>
    <row r="318" spans="2:14" x14ac:dyDescent="0.25">
      <c r="B318" s="622">
        <v>42487</v>
      </c>
      <c r="C318" s="364">
        <v>9178</v>
      </c>
      <c r="D318" s="623">
        <v>17.376300000000001</v>
      </c>
      <c r="E318" s="365">
        <v>14.84</v>
      </c>
      <c r="F318" s="365">
        <f t="shared" si="143"/>
        <v>-23278.161400000005</v>
      </c>
      <c r="G318" s="365">
        <f t="shared" si="144"/>
        <v>159479.6814</v>
      </c>
      <c r="H318" s="367">
        <f t="shared" si="142"/>
        <v>-0.14596317973331496</v>
      </c>
      <c r="I318" s="365"/>
    </row>
    <row r="319" spans="2:14" x14ac:dyDescent="0.25">
      <c r="B319" s="622">
        <v>42488</v>
      </c>
      <c r="C319" s="364">
        <v>9678</v>
      </c>
      <c r="D319" s="623">
        <v>17.2287</v>
      </c>
      <c r="E319" s="365">
        <v>14.35</v>
      </c>
      <c r="F319" s="365">
        <f t="shared" si="143"/>
        <v>-27860.058600000004</v>
      </c>
      <c r="G319" s="365">
        <f t="shared" si="144"/>
        <v>166739.35860000001</v>
      </c>
      <c r="H319" s="367">
        <f t="shared" si="142"/>
        <v>-0.16708747612994598</v>
      </c>
      <c r="I319" s="365"/>
    </row>
    <row r="320" spans="2:14" x14ac:dyDescent="0.25">
      <c r="B320" s="622">
        <v>42489</v>
      </c>
      <c r="C320" s="364">
        <v>9678</v>
      </c>
      <c r="D320" s="623">
        <v>17.179200000000002</v>
      </c>
      <c r="E320" s="365">
        <v>14.09</v>
      </c>
      <c r="F320" s="365">
        <f t="shared" si="143"/>
        <v>-29897.277600000016</v>
      </c>
      <c r="G320" s="365">
        <f t="shared" si="144"/>
        <v>166260.29760000002</v>
      </c>
      <c r="H320" s="367">
        <f t="shared" si="142"/>
        <v>-0.17982211045916</v>
      </c>
      <c r="I320" s="365"/>
    </row>
    <row r="321" spans="2:14" ht="15" customHeight="1" x14ac:dyDescent="0.25">
      <c r="B321" s="622">
        <v>42492</v>
      </c>
      <c r="C321" s="364">
        <v>9678</v>
      </c>
      <c r="D321" s="623">
        <v>17.136399999999998</v>
      </c>
      <c r="E321" s="365">
        <v>13.55</v>
      </c>
      <c r="F321" s="365">
        <f t="shared" si="143"/>
        <v>-34709.179199999977</v>
      </c>
      <c r="G321" s="365">
        <f t="shared" si="144"/>
        <v>165846.07919999998</v>
      </c>
      <c r="H321" s="367">
        <f t="shared" si="142"/>
        <v>-0.20928549753740563</v>
      </c>
      <c r="I321" s="365"/>
    </row>
    <row r="322" spans="2:14" x14ac:dyDescent="0.25">
      <c r="B322" s="622">
        <v>42493</v>
      </c>
      <c r="C322" s="364">
        <v>9678</v>
      </c>
      <c r="D322" s="623">
        <v>17.1221</v>
      </c>
      <c r="E322" s="365">
        <v>12.79</v>
      </c>
      <c r="F322" s="365">
        <f t="shared" si="143"/>
        <v>-41926.063800000004</v>
      </c>
      <c r="G322" s="365">
        <f t="shared" si="144"/>
        <v>165707.6838</v>
      </c>
      <c r="H322" s="367">
        <f t="shared" si="142"/>
        <v>-0.25301218892542388</v>
      </c>
      <c r="I322" s="365"/>
    </row>
    <row r="323" spans="2:14" x14ac:dyDescent="0.25">
      <c r="B323" s="622">
        <v>42494</v>
      </c>
      <c r="C323" s="364">
        <v>11678</v>
      </c>
      <c r="D323" s="623">
        <v>16.316800000000001</v>
      </c>
      <c r="E323" s="365">
        <v>12.17</v>
      </c>
      <c r="F323" s="365">
        <f t="shared" si="143"/>
        <v>-48426.330400000006</v>
      </c>
      <c r="G323" s="365">
        <f t="shared" si="144"/>
        <v>190547.59040000002</v>
      </c>
      <c r="H323" s="367">
        <f t="shared" si="142"/>
        <v>-0.25414296920964896</v>
      </c>
      <c r="I323" s="365"/>
    </row>
    <row r="324" spans="2:14" x14ac:dyDescent="0.25">
      <c r="B324" s="622">
        <v>42495</v>
      </c>
      <c r="C324" s="364">
        <v>9678</v>
      </c>
      <c r="D324" s="623">
        <v>17.0684</v>
      </c>
      <c r="E324" s="365">
        <v>12.07</v>
      </c>
      <c r="F324" s="365">
        <f t="shared" si="143"/>
        <v>-48374.515200000002</v>
      </c>
      <c r="G324" s="365">
        <f t="shared" si="144"/>
        <v>165187.97520000002</v>
      </c>
      <c r="H324" s="366">
        <f t="shared" si="142"/>
        <v>-0.29284525790349419</v>
      </c>
      <c r="I324" s="365"/>
    </row>
    <row r="325" spans="2:14" x14ac:dyDescent="0.25">
      <c r="B325" s="622">
        <v>42499</v>
      </c>
      <c r="C325" s="364">
        <v>10678</v>
      </c>
      <c r="D325" s="623">
        <v>16.537600000000001</v>
      </c>
      <c r="E325" s="365">
        <v>11.44</v>
      </c>
      <c r="F325" s="365">
        <f t="shared" si="143"/>
        <v>-54432.172800000015</v>
      </c>
      <c r="G325" s="365">
        <f t="shared" si="144"/>
        <v>176588.49280000001</v>
      </c>
      <c r="H325" s="366">
        <f t="shared" si="142"/>
        <v>-0.30824303405572762</v>
      </c>
      <c r="I325" s="365"/>
      <c r="N325" s="70"/>
    </row>
    <row r="326" spans="2:14" x14ac:dyDescent="0.25">
      <c r="B326" s="622">
        <v>42500</v>
      </c>
      <c r="C326" s="364">
        <v>9678</v>
      </c>
      <c r="D326" s="623">
        <v>17.042100000000001</v>
      </c>
      <c r="E326" s="365">
        <v>11.94</v>
      </c>
      <c r="F326" s="365">
        <f t="shared" si="143"/>
        <v>-49378.123800000016</v>
      </c>
      <c r="G326" s="365">
        <f t="shared" si="144"/>
        <v>164933.44380000001</v>
      </c>
      <c r="H326" s="366">
        <f t="shared" si="142"/>
        <v>-0.2993821184009014</v>
      </c>
      <c r="I326" s="365"/>
    </row>
    <row r="327" spans="2:14" x14ac:dyDescent="0.25">
      <c r="B327" s="622">
        <v>42502</v>
      </c>
      <c r="C327" s="364">
        <v>10678</v>
      </c>
      <c r="D327" s="623">
        <v>16.601800000000001</v>
      </c>
      <c r="E327" s="365">
        <v>12.33</v>
      </c>
      <c r="F327" s="365">
        <f t="shared" si="143"/>
        <v>-45614.280400000011</v>
      </c>
      <c r="G327" s="365">
        <f t="shared" si="144"/>
        <v>177274.02040000001</v>
      </c>
      <c r="H327" s="366">
        <f t="shared" si="142"/>
        <v>-0.25730944837306802</v>
      </c>
      <c r="I327" s="365"/>
    </row>
    <row r="328" spans="2:14" x14ac:dyDescent="0.25">
      <c r="B328" s="622">
        <v>42502</v>
      </c>
      <c r="C328" s="364">
        <v>9678</v>
      </c>
      <c r="D328" s="623">
        <v>17.0334</v>
      </c>
      <c r="E328" s="365">
        <v>12.33</v>
      </c>
      <c r="F328" s="365">
        <f t="shared" si="143"/>
        <v>-45519.5052</v>
      </c>
      <c r="G328" s="365">
        <f t="shared" si="144"/>
        <v>164849.2452</v>
      </c>
      <c r="H328" s="366">
        <f t="shared" si="142"/>
        <v>-0.27612807777660364</v>
      </c>
      <c r="I328" s="365"/>
    </row>
    <row r="329" spans="2:14" x14ac:dyDescent="0.25">
      <c r="B329" s="622">
        <v>42503</v>
      </c>
      <c r="C329" s="364">
        <v>9678</v>
      </c>
      <c r="D329" s="623">
        <v>17.029299999999999</v>
      </c>
      <c r="E329" s="365">
        <v>12.3</v>
      </c>
      <c r="F329" s="365">
        <f t="shared" si="143"/>
        <v>-45770.165399999983</v>
      </c>
      <c r="G329" s="365">
        <f t="shared" si="144"/>
        <v>164809.56539999999</v>
      </c>
      <c r="H329" s="366">
        <f t="shared" si="142"/>
        <v>-0.27771546687180321</v>
      </c>
      <c r="I329" s="365"/>
    </row>
    <row r="330" spans="2:14" x14ac:dyDescent="0.25">
      <c r="B330" s="622">
        <v>42506</v>
      </c>
      <c r="C330" s="364">
        <v>9678</v>
      </c>
      <c r="D330" s="623">
        <v>17.027699999999999</v>
      </c>
      <c r="E330" s="365">
        <v>12.78</v>
      </c>
      <c r="F330" s="365">
        <f t="shared" si="143"/>
        <v>-41109.240599999997</v>
      </c>
      <c r="G330" s="365">
        <f t="shared" si="144"/>
        <v>164794.08059999999</v>
      </c>
      <c r="H330" s="366">
        <f t="shared" si="142"/>
        <v>-0.24945823569830336</v>
      </c>
      <c r="I330" s="365"/>
    </row>
    <row r="331" spans="2:14" x14ac:dyDescent="0.25">
      <c r="B331" s="622">
        <v>42513</v>
      </c>
      <c r="C331" s="364">
        <v>9178</v>
      </c>
      <c r="D331" s="623">
        <v>17.244399999999999</v>
      </c>
      <c r="E331" s="365">
        <v>13.19</v>
      </c>
      <c r="F331" s="365">
        <f t="shared" si="143"/>
        <v>-37211.283199999991</v>
      </c>
      <c r="G331" s="365">
        <f t="shared" si="144"/>
        <v>158269.10319999998</v>
      </c>
      <c r="H331" s="366">
        <f t="shared" si="142"/>
        <v>-0.23511400802579385</v>
      </c>
      <c r="I331" s="365"/>
    </row>
    <row r="332" spans="2:14" x14ac:dyDescent="0.25">
      <c r="B332" s="622">
        <v>42514</v>
      </c>
      <c r="C332" s="364">
        <v>9678</v>
      </c>
      <c r="D332" s="623">
        <v>17.026</v>
      </c>
      <c r="E332" s="365">
        <v>13.02</v>
      </c>
      <c r="F332" s="365">
        <f t="shared" si="143"/>
        <v>-38770.067999999999</v>
      </c>
      <c r="G332" s="365">
        <f t="shared" si="144"/>
        <v>164777.628</v>
      </c>
      <c r="H332" s="366">
        <f t="shared" si="142"/>
        <v>-0.23528720779983556</v>
      </c>
      <c r="I332" s="365"/>
    </row>
    <row r="333" spans="2:14" x14ac:dyDescent="0.25">
      <c r="B333" s="622">
        <v>42515</v>
      </c>
      <c r="C333" s="364">
        <v>9178</v>
      </c>
      <c r="D333" s="623">
        <v>17.206800000000001</v>
      </c>
      <c r="E333" s="365">
        <v>13.54</v>
      </c>
      <c r="F333" s="365">
        <f t="shared" si="143"/>
        <v>-33653.890400000018</v>
      </c>
      <c r="G333" s="365">
        <f t="shared" si="144"/>
        <v>157924.0104</v>
      </c>
      <c r="H333" s="366">
        <f t="shared" si="142"/>
        <v>-0.21310179696399109</v>
      </c>
      <c r="I333" s="365"/>
    </row>
    <row r="334" spans="2:14" x14ac:dyDescent="0.25">
      <c r="B334" s="622">
        <v>42516</v>
      </c>
      <c r="C334" s="364">
        <v>9678</v>
      </c>
      <c r="D334" s="623">
        <v>17.003799999999998</v>
      </c>
      <c r="E334" s="365">
        <v>13.17</v>
      </c>
      <c r="F334" s="365">
        <f t="shared" si="143"/>
        <v>-37103.516399999986</v>
      </c>
      <c r="G334" s="365">
        <f t="shared" si="144"/>
        <v>164562.77639999997</v>
      </c>
      <c r="H334" s="366">
        <f t="shared" si="142"/>
        <v>-0.22546724849739463</v>
      </c>
      <c r="I334" s="365"/>
    </row>
    <row r="335" spans="2:14" x14ac:dyDescent="0.25">
      <c r="B335" s="622">
        <v>42517</v>
      </c>
      <c r="C335" s="364">
        <v>9678</v>
      </c>
      <c r="D335" s="623">
        <v>16.999700000000001</v>
      </c>
      <c r="E335" s="365">
        <v>12.9</v>
      </c>
      <c r="F335" s="365">
        <f t="shared" si="143"/>
        <v>-39676.8966</v>
      </c>
      <c r="G335" s="365">
        <f t="shared" si="144"/>
        <v>164523.09660000002</v>
      </c>
      <c r="H335" s="366">
        <f t="shared" si="142"/>
        <v>-0.2411630793484591</v>
      </c>
      <c r="I335" s="365"/>
    </row>
    <row r="336" spans="2:14" x14ac:dyDescent="0.25">
      <c r="B336" s="622">
        <v>42525</v>
      </c>
      <c r="C336" s="364">
        <v>9678</v>
      </c>
      <c r="D336" s="623">
        <v>16.9956</v>
      </c>
      <c r="E336" s="365">
        <v>13.32</v>
      </c>
      <c r="F336" s="365">
        <f t="shared" si="143"/>
        <v>-35572.456799999993</v>
      </c>
      <c r="G336" s="365">
        <f t="shared" si="144"/>
        <v>164483.41680000001</v>
      </c>
      <c r="H336" s="366">
        <f t="shared" si="142"/>
        <v>-0.21626773988561743</v>
      </c>
      <c r="I336" s="365"/>
    </row>
    <row r="337" spans="2:9" x14ac:dyDescent="0.25">
      <c r="B337" s="622">
        <v>42527</v>
      </c>
      <c r="C337" s="364">
        <v>8178</v>
      </c>
      <c r="D337" s="623">
        <v>17.568999999999999</v>
      </c>
      <c r="E337" s="365">
        <v>13.96</v>
      </c>
      <c r="F337" s="365">
        <f t="shared" si="143"/>
        <v>-29514.401999999984</v>
      </c>
      <c r="G337" s="365">
        <f t="shared" si="144"/>
        <v>143679.28200000001</v>
      </c>
      <c r="H337" s="366">
        <f t="shared" si="142"/>
        <v>-0.20541863509590746</v>
      </c>
      <c r="I337" s="365"/>
    </row>
    <row r="338" spans="2:9" x14ac:dyDescent="0.25">
      <c r="B338" s="622">
        <v>42528</v>
      </c>
      <c r="C338" s="364">
        <v>7678</v>
      </c>
      <c r="D338" s="623">
        <v>17.759599999999999</v>
      </c>
      <c r="E338" s="365">
        <v>14.62</v>
      </c>
      <c r="F338" s="365">
        <f t="shared" si="143"/>
        <v>-24105.848799999996</v>
      </c>
      <c r="G338" s="365">
        <f t="shared" si="144"/>
        <v>136358.20879999999</v>
      </c>
      <c r="H338" s="366">
        <f t="shared" si="142"/>
        <v>-0.17678326088425414</v>
      </c>
      <c r="I338" s="365"/>
    </row>
    <row r="339" spans="2:9" x14ac:dyDescent="0.25">
      <c r="B339" s="622">
        <v>42529</v>
      </c>
      <c r="C339" s="364">
        <v>8178</v>
      </c>
      <c r="D339" s="623">
        <v>17.5654</v>
      </c>
      <c r="E339" s="365">
        <v>14.53</v>
      </c>
      <c r="F339" s="365">
        <f t="shared" si="143"/>
        <v>-24823.50120000001</v>
      </c>
      <c r="G339" s="365">
        <f t="shared" si="144"/>
        <v>143649.8412</v>
      </c>
      <c r="H339" s="366">
        <f t="shared" si="142"/>
        <v>-0.17280562924840887</v>
      </c>
      <c r="I339" s="365"/>
    </row>
    <row r="340" spans="2:9" x14ac:dyDescent="0.25">
      <c r="B340" s="622">
        <v>42531</v>
      </c>
      <c r="C340" s="364">
        <v>8978</v>
      </c>
      <c r="D340" s="623">
        <v>17.1751</v>
      </c>
      <c r="E340" s="365">
        <v>13.42</v>
      </c>
      <c r="F340" s="365">
        <f t="shared" ref="F340:F348" si="145">C340*(E340-D340)</f>
        <v>-33713.287800000006</v>
      </c>
      <c r="G340" s="365">
        <f t="shared" ref="G340:G348" si="146">IF(C340=0, 0,D340*C340)</f>
        <v>154198.0478</v>
      </c>
      <c r="H340" s="366">
        <f t="shared" ref="H340:H348" si="147">IF(C340=0, D340, (E340-D340)/D340)</f>
        <v>-0.21863628159370255</v>
      </c>
      <c r="I340" s="365"/>
    </row>
    <row r="341" spans="2:9" x14ac:dyDescent="0.25">
      <c r="B341" s="622">
        <v>42531</v>
      </c>
      <c r="C341" s="385">
        <v>9278</v>
      </c>
      <c r="D341" s="624">
        <v>17.1052</v>
      </c>
      <c r="E341" s="365">
        <v>13.42</v>
      </c>
      <c r="F341" s="365">
        <f t="shared" si="145"/>
        <v>-34191.285600000003</v>
      </c>
      <c r="G341" s="365">
        <f t="shared" si="146"/>
        <v>158702.04560000001</v>
      </c>
      <c r="H341" s="366">
        <f t="shared" si="147"/>
        <v>-0.21544325702125669</v>
      </c>
      <c r="I341" s="365"/>
    </row>
    <row r="342" spans="2:9" x14ac:dyDescent="0.25">
      <c r="B342" s="622">
        <v>42532</v>
      </c>
      <c r="C342" s="364">
        <v>9278</v>
      </c>
      <c r="D342" s="623">
        <v>17.053000000000001</v>
      </c>
      <c r="E342" s="365">
        <v>13.42</v>
      </c>
      <c r="F342" s="365">
        <f t="shared" si="145"/>
        <v>-33706.974000000009</v>
      </c>
      <c r="G342" s="365">
        <f t="shared" si="146"/>
        <v>158217.734</v>
      </c>
      <c r="H342" s="366">
        <f t="shared" si="147"/>
        <v>-0.21304169354365804</v>
      </c>
      <c r="I342" s="365" t="s">
        <v>182</v>
      </c>
    </row>
    <row r="343" spans="2:9" x14ac:dyDescent="0.25">
      <c r="B343" s="622">
        <v>42535</v>
      </c>
      <c r="C343" s="364">
        <v>9678</v>
      </c>
      <c r="D343" s="623">
        <v>16.879300000000001</v>
      </c>
      <c r="E343" s="365">
        <v>13.23</v>
      </c>
      <c r="F343" s="365">
        <f t="shared" si="145"/>
        <v>-35317.9254</v>
      </c>
      <c r="G343" s="365">
        <f t="shared" si="146"/>
        <v>163357.86540000001</v>
      </c>
      <c r="H343" s="366">
        <f t="shared" si="147"/>
        <v>-0.21619972392220058</v>
      </c>
      <c r="I343" s="365" t="s">
        <v>218</v>
      </c>
    </row>
    <row r="344" spans="2:9" x14ac:dyDescent="0.25">
      <c r="B344" s="622">
        <v>42536</v>
      </c>
      <c r="C344" s="364">
        <v>9278</v>
      </c>
      <c r="D344" s="623">
        <v>17.027999999999999</v>
      </c>
      <c r="E344" s="365">
        <v>13.06</v>
      </c>
      <c r="F344" s="365">
        <f t="shared" si="145"/>
        <v>-36815.103999999985</v>
      </c>
      <c r="G344" s="365">
        <f t="shared" si="146"/>
        <v>157985.78399999999</v>
      </c>
      <c r="H344" s="366">
        <f t="shared" si="147"/>
        <v>-0.23302795395818643</v>
      </c>
      <c r="I344" s="365"/>
    </row>
    <row r="345" spans="2:9" x14ac:dyDescent="0.25">
      <c r="B345" s="622">
        <v>42537</v>
      </c>
      <c r="C345" s="385">
        <v>9278</v>
      </c>
      <c r="D345" s="624">
        <v>17.0168</v>
      </c>
      <c r="E345" s="365">
        <v>12.67</v>
      </c>
      <c r="F345" s="365">
        <f t="shared" si="145"/>
        <v>-40329.610399999998</v>
      </c>
      <c r="G345" s="365">
        <f t="shared" si="146"/>
        <v>157881.87039999999</v>
      </c>
      <c r="H345" s="366">
        <f t="shared" si="147"/>
        <v>-0.25544168116214566</v>
      </c>
      <c r="I345" s="365"/>
    </row>
    <row r="346" spans="2:9" x14ac:dyDescent="0.25">
      <c r="B346" s="622">
        <v>42538</v>
      </c>
      <c r="C346" s="385">
        <v>9278</v>
      </c>
      <c r="D346" s="624">
        <v>17.0061</v>
      </c>
      <c r="E346" s="365">
        <v>13.16</v>
      </c>
      <c r="F346" s="365">
        <f t="shared" si="145"/>
        <v>-35684.1158</v>
      </c>
      <c r="G346" s="365">
        <f t="shared" si="146"/>
        <v>157782.59580000001</v>
      </c>
      <c r="H346" s="366">
        <f t="shared" si="147"/>
        <v>-0.2261600249322302</v>
      </c>
      <c r="I346" s="365"/>
    </row>
    <row r="347" spans="2:9" x14ac:dyDescent="0.25">
      <c r="B347" s="622">
        <v>42541</v>
      </c>
      <c r="C347" s="364">
        <v>7678</v>
      </c>
      <c r="D347" s="623">
        <v>17.568000000000001</v>
      </c>
      <c r="E347" s="365">
        <v>14.48</v>
      </c>
      <c r="F347" s="365">
        <f t="shared" si="145"/>
        <v>-23709.664000000008</v>
      </c>
      <c r="G347" s="365">
        <f t="shared" si="146"/>
        <v>134887.10400000002</v>
      </c>
      <c r="H347" s="367">
        <f t="shared" si="147"/>
        <v>-0.17577413479052828</v>
      </c>
      <c r="I347" s="365"/>
    </row>
    <row r="348" spans="2:9" x14ac:dyDescent="0.25">
      <c r="B348" s="622">
        <v>42542</v>
      </c>
      <c r="C348" s="364">
        <v>6800</v>
      </c>
      <c r="D348" s="623">
        <v>17.892099999999999</v>
      </c>
      <c r="E348" s="365">
        <v>15.09</v>
      </c>
      <c r="F348" s="365">
        <f t="shared" si="145"/>
        <v>-19054.279999999995</v>
      </c>
      <c r="G348" s="365">
        <f t="shared" si="146"/>
        <v>121666.28</v>
      </c>
      <c r="H348" s="367">
        <f t="shared" si="147"/>
        <v>-0.15661101827063337</v>
      </c>
      <c r="I348" s="365"/>
    </row>
    <row r="349" spans="2:9" x14ac:dyDescent="0.25">
      <c r="B349" s="622">
        <v>42543</v>
      </c>
      <c r="C349" s="364">
        <v>7300</v>
      </c>
      <c r="D349" s="623">
        <v>17.6769</v>
      </c>
      <c r="E349" s="365">
        <v>14.75</v>
      </c>
      <c r="F349" s="365">
        <f t="shared" ref="F349:F357" si="148">C349*(E349-D349)</f>
        <v>-21366.37</v>
      </c>
      <c r="G349" s="365">
        <f t="shared" ref="G349:G357" si="149">IF(C349=0, 0,D349*C349)</f>
        <v>129041.37</v>
      </c>
      <c r="H349" s="367">
        <f t="shared" ref="H349:H357" si="150">IF(C349=0, D349, (E349-D349)/D349)</f>
        <v>-0.16557767481854849</v>
      </c>
      <c r="I349" s="365"/>
    </row>
    <row r="350" spans="2:9" x14ac:dyDescent="0.25">
      <c r="B350" s="622">
        <v>42544</v>
      </c>
      <c r="C350" s="364">
        <v>6800</v>
      </c>
      <c r="D350" s="623">
        <v>17.856100000000001</v>
      </c>
      <c r="E350" s="365">
        <v>15.27</v>
      </c>
      <c r="F350" s="365">
        <f t="shared" si="148"/>
        <v>-17585.480000000014</v>
      </c>
      <c r="G350" s="365">
        <f t="shared" si="149"/>
        <v>121421.48000000001</v>
      </c>
      <c r="H350" s="367">
        <f t="shared" si="150"/>
        <v>-0.1448300580753917</v>
      </c>
      <c r="I350" s="365"/>
    </row>
    <row r="351" spans="2:9" x14ac:dyDescent="0.25">
      <c r="B351" s="622">
        <v>42545</v>
      </c>
      <c r="C351" s="364">
        <v>7678</v>
      </c>
      <c r="D351" s="623">
        <v>17.462</v>
      </c>
      <c r="E351" s="365">
        <v>14.41</v>
      </c>
      <c r="F351" s="365">
        <f t="shared" si="148"/>
        <v>-23433.255999999998</v>
      </c>
      <c r="G351" s="365">
        <f t="shared" si="149"/>
        <v>134073.236</v>
      </c>
      <c r="H351" s="367">
        <f t="shared" si="150"/>
        <v>-0.17477952124613444</v>
      </c>
      <c r="I351" s="365"/>
    </row>
    <row r="352" spans="2:9" x14ac:dyDescent="0.25">
      <c r="B352" s="622">
        <v>42545</v>
      </c>
      <c r="C352" s="364">
        <v>8013</v>
      </c>
      <c r="D352" s="623">
        <v>17.32</v>
      </c>
      <c r="E352" s="365">
        <v>14.68</v>
      </c>
      <c r="F352" s="365">
        <f t="shared" si="148"/>
        <v>-21154.320000000003</v>
      </c>
      <c r="G352" s="365">
        <f t="shared" si="149"/>
        <v>138785.16</v>
      </c>
      <c r="H352" s="367">
        <f t="shared" si="150"/>
        <v>-0.15242494226327949</v>
      </c>
      <c r="I352" s="365"/>
    </row>
    <row r="353" spans="2:14" ht="15" customHeight="1" x14ac:dyDescent="0.25">
      <c r="B353" s="622">
        <v>42548</v>
      </c>
      <c r="C353" s="364">
        <v>8978</v>
      </c>
      <c r="D353" s="623">
        <v>16.943300000000001</v>
      </c>
      <c r="E353" s="365">
        <v>13.66</v>
      </c>
      <c r="F353" s="365">
        <f t="shared" si="148"/>
        <v>-29477.467400000005</v>
      </c>
      <c r="G353" s="365">
        <f t="shared" si="149"/>
        <v>152116.9474</v>
      </c>
      <c r="H353" s="367">
        <f t="shared" si="150"/>
        <v>-0.19378161279089673</v>
      </c>
      <c r="I353" s="365"/>
    </row>
    <row r="354" spans="2:14" x14ac:dyDescent="0.25">
      <c r="B354" s="622">
        <v>42548</v>
      </c>
      <c r="C354" s="364">
        <v>9278</v>
      </c>
      <c r="D354" s="623">
        <v>16.834599999999998</v>
      </c>
      <c r="E354" s="365">
        <v>13.66</v>
      </c>
      <c r="F354" s="365">
        <f t="shared" si="148"/>
        <v>-29453.938799999982</v>
      </c>
      <c r="G354" s="365">
        <f t="shared" si="149"/>
        <v>156191.41879999998</v>
      </c>
      <c r="H354" s="366">
        <f t="shared" si="150"/>
        <v>-0.18857590913951019</v>
      </c>
      <c r="I354" s="365"/>
    </row>
    <row r="355" spans="2:14" x14ac:dyDescent="0.25">
      <c r="B355" s="622">
        <v>42549</v>
      </c>
      <c r="C355" s="364">
        <v>8178</v>
      </c>
      <c r="D355" s="623">
        <v>17.124400000000001</v>
      </c>
      <c r="E355" s="365">
        <v>14.78</v>
      </c>
      <c r="F355" s="365">
        <f t="shared" si="148"/>
        <v>-19172.503200000017</v>
      </c>
      <c r="G355" s="365">
        <f t="shared" si="149"/>
        <v>140043.3432</v>
      </c>
      <c r="H355" s="366">
        <f t="shared" si="150"/>
        <v>-0.13690406671182651</v>
      </c>
      <c r="I355" s="365">
        <v>17</v>
      </c>
    </row>
    <row r="356" spans="2:14" x14ac:dyDescent="0.25">
      <c r="B356" s="622">
        <v>42552</v>
      </c>
      <c r="C356" s="364">
        <v>7678</v>
      </c>
      <c r="D356" s="623">
        <v>17.2315</v>
      </c>
      <c r="E356" s="365">
        <v>15.48</v>
      </c>
      <c r="F356" s="365">
        <f t="shared" si="148"/>
        <v>-13448.017</v>
      </c>
      <c r="G356" s="365">
        <f t="shared" si="149"/>
        <v>132303.45699999999</v>
      </c>
      <c r="H356" s="366">
        <f t="shared" si="150"/>
        <v>-0.1016452427240809</v>
      </c>
      <c r="I356" s="365">
        <v>17</v>
      </c>
      <c r="N356" s="29"/>
    </row>
    <row r="357" spans="2:14" x14ac:dyDescent="0.25">
      <c r="B357" s="622">
        <v>42552</v>
      </c>
      <c r="C357" s="364">
        <v>7300</v>
      </c>
      <c r="D357" s="623">
        <v>17.313400000000001</v>
      </c>
      <c r="E357" s="365">
        <v>15.65</v>
      </c>
      <c r="F357" s="365">
        <f t="shared" si="148"/>
        <v>-12142.820000000009</v>
      </c>
      <c r="G357" s="365">
        <f t="shared" si="149"/>
        <v>126387.82</v>
      </c>
      <c r="H357" s="366">
        <f t="shared" si="150"/>
        <v>-9.6075871868032903E-2</v>
      </c>
      <c r="I357" s="365"/>
    </row>
    <row r="358" spans="2:14" x14ac:dyDescent="0.25">
      <c r="B358" s="622">
        <v>42552</v>
      </c>
      <c r="C358" s="364">
        <v>6800</v>
      </c>
      <c r="D358" s="623">
        <v>17.446100000000001</v>
      </c>
      <c r="E358" s="365">
        <v>15.7</v>
      </c>
      <c r="F358" s="365">
        <f t="shared" ref="F358:F379" si="151">C358*(E358-D358)</f>
        <v>-11873.480000000014</v>
      </c>
      <c r="G358" s="365">
        <f t="shared" ref="G358:G379" si="152">IF(C358=0, 0,D358*C358)</f>
        <v>118633.48000000001</v>
      </c>
      <c r="H358" s="366">
        <f t="shared" ref="H358:H379" si="153">IF(C358=0, D358, (E358-D358)/D358)</f>
        <v>-0.10008540590733757</v>
      </c>
      <c r="I358" s="365"/>
    </row>
    <row r="359" spans="2:14" x14ac:dyDescent="0.25">
      <c r="B359" s="622">
        <v>42552</v>
      </c>
      <c r="C359" s="364">
        <v>6000</v>
      </c>
      <c r="D359" s="623">
        <v>17.668199999999999</v>
      </c>
      <c r="E359" s="365">
        <v>15.68</v>
      </c>
      <c r="F359" s="365">
        <f t="shared" si="151"/>
        <v>-11929.199999999995</v>
      </c>
      <c r="G359" s="365">
        <f t="shared" si="152"/>
        <v>106009.2</v>
      </c>
      <c r="H359" s="366">
        <f t="shared" si="153"/>
        <v>-0.11252985589929926</v>
      </c>
      <c r="I359" s="365"/>
    </row>
    <row r="360" spans="2:14" x14ac:dyDescent="0.25">
      <c r="B360" s="622">
        <v>42556</v>
      </c>
      <c r="C360" s="364">
        <v>8178</v>
      </c>
      <c r="D360" s="623">
        <v>16.978899999999999</v>
      </c>
      <c r="E360" s="365">
        <v>14.72</v>
      </c>
      <c r="F360" s="365">
        <f t="shared" si="151"/>
        <v>-18473.284199999991</v>
      </c>
      <c r="G360" s="365">
        <f t="shared" si="152"/>
        <v>138853.4442</v>
      </c>
      <c r="H360" s="366">
        <f t="shared" si="153"/>
        <v>-0.13304159869013887</v>
      </c>
      <c r="I360" s="365">
        <v>16.75</v>
      </c>
    </row>
    <row r="361" spans="2:14" x14ac:dyDescent="0.25">
      <c r="B361" s="622">
        <v>42556</v>
      </c>
      <c r="C361" s="364">
        <v>8678</v>
      </c>
      <c r="D361" s="623">
        <v>16.843</v>
      </c>
      <c r="E361" s="365">
        <v>14.72</v>
      </c>
      <c r="F361" s="365">
        <f t="shared" si="151"/>
        <v>-18423.393999999993</v>
      </c>
      <c r="G361" s="365">
        <f t="shared" si="152"/>
        <v>146163.554</v>
      </c>
      <c r="H361" s="366">
        <f t="shared" si="153"/>
        <v>-0.12604642878347083</v>
      </c>
      <c r="I361" s="365"/>
    </row>
    <row r="362" spans="2:14" x14ac:dyDescent="0.25">
      <c r="B362" s="622">
        <v>42557</v>
      </c>
      <c r="C362" s="364">
        <v>8178</v>
      </c>
      <c r="D362" s="623">
        <v>16.960599999999999</v>
      </c>
      <c r="E362" s="365">
        <v>14.84</v>
      </c>
      <c r="F362" s="365">
        <f t="shared" si="151"/>
        <v>-17342.266799999998</v>
      </c>
      <c r="G362" s="365">
        <f t="shared" si="152"/>
        <v>138703.7868</v>
      </c>
      <c r="H362" s="366">
        <f t="shared" si="153"/>
        <v>-0.12503095409360515</v>
      </c>
      <c r="I362" s="365">
        <v>16.75</v>
      </c>
    </row>
    <row r="363" spans="2:14" x14ac:dyDescent="0.25">
      <c r="B363" s="622">
        <v>42557</v>
      </c>
      <c r="C363" s="364">
        <v>8678</v>
      </c>
      <c r="D363" s="623">
        <v>16.835000000000001</v>
      </c>
      <c r="E363" s="365">
        <v>14.84</v>
      </c>
      <c r="F363" s="365">
        <f t="shared" si="151"/>
        <v>-17312.610000000008</v>
      </c>
      <c r="G363" s="365">
        <f t="shared" si="152"/>
        <v>146094.13</v>
      </c>
      <c r="H363" s="366">
        <f t="shared" si="153"/>
        <v>-0.11850311850311855</v>
      </c>
      <c r="I363" s="365"/>
    </row>
    <row r="364" spans="2:14" ht="15" customHeight="1" x14ac:dyDescent="0.25">
      <c r="B364" s="622">
        <v>42559</v>
      </c>
      <c r="C364" s="364">
        <v>8678</v>
      </c>
      <c r="D364" s="623">
        <v>16.835000000000001</v>
      </c>
      <c r="E364" s="365">
        <v>14.92</v>
      </c>
      <c r="F364" s="365">
        <f t="shared" si="151"/>
        <v>-16618.370000000006</v>
      </c>
      <c r="G364" s="365">
        <f t="shared" si="152"/>
        <v>146094.13</v>
      </c>
      <c r="H364" s="366">
        <f t="shared" si="153"/>
        <v>-0.1137511137511138</v>
      </c>
      <c r="I364" s="365"/>
    </row>
    <row r="365" spans="2:14" x14ac:dyDescent="0.25">
      <c r="B365" s="622">
        <v>42562</v>
      </c>
      <c r="C365" s="364">
        <v>8678</v>
      </c>
      <c r="D365" s="623">
        <v>16.835000000000001</v>
      </c>
      <c r="E365" s="365">
        <v>14.69</v>
      </c>
      <c r="F365" s="365">
        <f t="shared" si="151"/>
        <v>-18614.310000000012</v>
      </c>
      <c r="G365" s="365">
        <f t="shared" si="152"/>
        <v>146094.13</v>
      </c>
      <c r="H365" s="366">
        <f t="shared" si="153"/>
        <v>-0.12741312741312749</v>
      </c>
      <c r="I365" s="365"/>
    </row>
    <row r="366" spans="2:14" x14ac:dyDescent="0.25">
      <c r="B366" s="622">
        <v>42563</v>
      </c>
      <c r="C366" s="364">
        <v>8678</v>
      </c>
      <c r="D366" s="623">
        <v>16.835000000000001</v>
      </c>
      <c r="E366" s="365">
        <v>15.6</v>
      </c>
      <c r="F366" s="365">
        <f t="shared" si="151"/>
        <v>-10717.330000000011</v>
      </c>
      <c r="G366" s="365">
        <f t="shared" si="152"/>
        <v>146094.13</v>
      </c>
      <c r="H366" s="366">
        <f t="shared" si="153"/>
        <v>-7.3359073359073421E-2</v>
      </c>
      <c r="I366" s="365"/>
    </row>
    <row r="367" spans="2:14" x14ac:dyDescent="0.25">
      <c r="B367" s="622">
        <v>42564</v>
      </c>
      <c r="C367" s="364">
        <v>8738</v>
      </c>
      <c r="D367" s="623">
        <v>16.816099999999999</v>
      </c>
      <c r="E367" s="365">
        <v>15.29</v>
      </c>
      <c r="F367" s="365">
        <f t="shared" si="151"/>
        <v>-13335.061799999996</v>
      </c>
      <c r="G367" s="365">
        <f t="shared" si="152"/>
        <v>146939.08179999999</v>
      </c>
      <c r="H367" s="366">
        <f t="shared" si="153"/>
        <v>-9.0752314745987453E-2</v>
      </c>
      <c r="I367" s="365"/>
    </row>
    <row r="368" spans="2:14" x14ac:dyDescent="0.25">
      <c r="B368" s="622">
        <v>42566</v>
      </c>
      <c r="C368" s="364">
        <v>8738</v>
      </c>
      <c r="D368" s="623">
        <v>16.816099999999999</v>
      </c>
      <c r="E368" s="365">
        <v>15.21</v>
      </c>
      <c r="F368" s="365">
        <f t="shared" si="151"/>
        <v>-14034.101799999982</v>
      </c>
      <c r="G368" s="365">
        <f t="shared" si="152"/>
        <v>146939.08179999999</v>
      </c>
      <c r="H368" s="366">
        <f t="shared" si="153"/>
        <v>-9.5509660384988079E-2</v>
      </c>
      <c r="I368" s="365"/>
    </row>
    <row r="369" spans="2:9" x14ac:dyDescent="0.25">
      <c r="B369" s="622">
        <v>42570</v>
      </c>
      <c r="C369" s="364">
        <v>9138</v>
      </c>
      <c r="D369" s="623">
        <v>16.733499999999999</v>
      </c>
      <c r="E369" s="365">
        <v>14.75</v>
      </c>
      <c r="F369" s="365">
        <f t="shared" si="151"/>
        <v>-18125.222999999994</v>
      </c>
      <c r="G369" s="365">
        <f t="shared" si="152"/>
        <v>152910.723</v>
      </c>
      <c r="H369" s="366">
        <f t="shared" si="153"/>
        <v>-0.1185346759494427</v>
      </c>
      <c r="I369" s="365"/>
    </row>
    <row r="370" spans="2:9" x14ac:dyDescent="0.25">
      <c r="B370" s="622">
        <v>42571</v>
      </c>
      <c r="C370" s="385">
        <v>9138</v>
      </c>
      <c r="D370" s="624">
        <v>16.7227</v>
      </c>
      <c r="E370" s="365">
        <v>14.84</v>
      </c>
      <c r="F370" s="365">
        <f t="shared" si="151"/>
        <v>-17204.112599999997</v>
      </c>
      <c r="G370" s="365">
        <f t="shared" si="152"/>
        <v>152812.03260000001</v>
      </c>
      <c r="H370" s="366">
        <f t="shared" si="153"/>
        <v>-0.11258349429218965</v>
      </c>
      <c r="I370" s="365"/>
    </row>
    <row r="371" spans="2:9" x14ac:dyDescent="0.25">
      <c r="B371" s="622">
        <v>42572</v>
      </c>
      <c r="C371" s="364">
        <v>9138</v>
      </c>
      <c r="D371" s="623">
        <v>16.718900000000001</v>
      </c>
      <c r="E371" s="365">
        <v>14.42</v>
      </c>
      <c r="F371" s="365">
        <f t="shared" si="151"/>
        <v>-21007.348200000015</v>
      </c>
      <c r="G371" s="365">
        <f t="shared" si="152"/>
        <v>152777.3082</v>
      </c>
      <c r="H371" s="366">
        <f t="shared" si="153"/>
        <v>-0.13750306539305823</v>
      </c>
      <c r="I371" s="365"/>
    </row>
    <row r="372" spans="2:9" x14ac:dyDescent="0.25">
      <c r="B372" s="622">
        <v>42573</v>
      </c>
      <c r="C372" s="364">
        <v>9278</v>
      </c>
      <c r="D372" s="623">
        <v>16.679099999999998</v>
      </c>
      <c r="E372" s="365">
        <v>14.11</v>
      </c>
      <c r="F372" s="365">
        <f t="shared" si="151"/>
        <v>-23836.109799999987</v>
      </c>
      <c r="G372" s="365">
        <f t="shared" si="152"/>
        <v>154748.68979999999</v>
      </c>
      <c r="H372" s="366">
        <f t="shared" si="153"/>
        <v>-0.15403109280476759</v>
      </c>
      <c r="I372" s="365"/>
    </row>
    <row r="373" spans="2:9" x14ac:dyDescent="0.25">
      <c r="B373" s="622">
        <v>42576</v>
      </c>
      <c r="C373" s="364">
        <v>9478</v>
      </c>
      <c r="D373" s="623">
        <v>16.613099999999999</v>
      </c>
      <c r="E373" s="365">
        <v>13.58</v>
      </c>
      <c r="F373" s="365">
        <f t="shared" si="151"/>
        <v>-28747.721799999992</v>
      </c>
      <c r="G373" s="365">
        <f t="shared" si="152"/>
        <v>157458.96179999999</v>
      </c>
      <c r="H373" s="366">
        <f t="shared" si="153"/>
        <v>-0.18257278894366491</v>
      </c>
      <c r="I373" s="365"/>
    </row>
    <row r="374" spans="2:9" x14ac:dyDescent="0.25">
      <c r="B374" s="622">
        <v>42577</v>
      </c>
      <c r="C374" s="385">
        <v>9278</v>
      </c>
      <c r="D374" s="624">
        <v>16.674199999999999</v>
      </c>
      <c r="E374" s="365">
        <v>13.78</v>
      </c>
      <c r="F374" s="365">
        <f t="shared" si="151"/>
        <v>-26852.387599999998</v>
      </c>
      <c r="G374" s="365">
        <f t="shared" si="152"/>
        <v>154703.22759999998</v>
      </c>
      <c r="H374" s="366">
        <f t="shared" si="153"/>
        <v>-0.17357354475776948</v>
      </c>
      <c r="I374" s="365">
        <v>16.53</v>
      </c>
    </row>
    <row r="375" spans="2:9" x14ac:dyDescent="0.25">
      <c r="B375" s="622">
        <v>42578</v>
      </c>
      <c r="C375" s="385">
        <v>9478</v>
      </c>
      <c r="D375" s="624">
        <v>16.6004</v>
      </c>
      <c r="E375" s="365">
        <v>13.13</v>
      </c>
      <c r="F375" s="365">
        <f t="shared" si="151"/>
        <v>-32892.451199999996</v>
      </c>
      <c r="G375" s="365">
        <f t="shared" si="152"/>
        <v>157338.5912</v>
      </c>
      <c r="H375" s="366">
        <f t="shared" si="153"/>
        <v>-0.20905520348907253</v>
      </c>
      <c r="I375" s="365"/>
    </row>
    <row r="376" spans="2:9" x14ac:dyDescent="0.25">
      <c r="B376" s="622">
        <v>42580</v>
      </c>
      <c r="C376" s="364">
        <v>9478</v>
      </c>
      <c r="D376" s="623">
        <v>16.599</v>
      </c>
      <c r="E376" s="365">
        <v>13.64</v>
      </c>
      <c r="F376" s="365">
        <f t="shared" si="151"/>
        <v>-28045.401999999998</v>
      </c>
      <c r="G376" s="365">
        <f t="shared" si="152"/>
        <v>157325.32200000001</v>
      </c>
      <c r="H376" s="367">
        <f t="shared" si="153"/>
        <v>-0.17826375082836313</v>
      </c>
      <c r="I376" s="365"/>
    </row>
    <row r="377" spans="2:9" x14ac:dyDescent="0.25">
      <c r="B377" s="622">
        <v>42580</v>
      </c>
      <c r="C377" s="364">
        <v>9278</v>
      </c>
      <c r="D377" s="623">
        <v>16.664000000000001</v>
      </c>
      <c r="E377" s="365">
        <v>13.64</v>
      </c>
      <c r="F377" s="365">
        <f t="shared" si="151"/>
        <v>-28056.67200000001</v>
      </c>
      <c r="G377" s="365">
        <f t="shared" si="152"/>
        <v>154608.592</v>
      </c>
      <c r="H377" s="367">
        <f t="shared" si="153"/>
        <v>-0.18146903504560732</v>
      </c>
      <c r="I377" s="365">
        <v>16.53</v>
      </c>
    </row>
    <row r="378" spans="2:9" x14ac:dyDescent="0.25">
      <c r="B378" s="622">
        <v>42583</v>
      </c>
      <c r="C378" s="364">
        <v>9478</v>
      </c>
      <c r="D378" s="623">
        <v>16.5871</v>
      </c>
      <c r="E378" s="365">
        <v>12.92</v>
      </c>
      <c r="F378" s="365">
        <f t="shared" si="151"/>
        <v>-34756.773799999995</v>
      </c>
      <c r="G378" s="365">
        <f t="shared" si="152"/>
        <v>157212.5338</v>
      </c>
      <c r="H378" s="367">
        <f t="shared" si="153"/>
        <v>-0.22108144280796521</v>
      </c>
      <c r="I378" s="365"/>
    </row>
    <row r="379" spans="2:9" x14ac:dyDescent="0.25">
      <c r="B379" s="622">
        <v>42584</v>
      </c>
      <c r="C379" s="364">
        <v>9678</v>
      </c>
      <c r="D379" s="623">
        <v>16.5063</v>
      </c>
      <c r="E379" s="365">
        <v>12.9</v>
      </c>
      <c r="F379" s="365">
        <f t="shared" si="151"/>
        <v>-34901.771399999991</v>
      </c>
      <c r="G379" s="365">
        <f t="shared" si="152"/>
        <v>159747.97140000001</v>
      </c>
      <c r="H379" s="367">
        <f t="shared" si="153"/>
        <v>-0.21848021664455386</v>
      </c>
      <c r="I379" s="365"/>
    </row>
    <row r="380" spans="2:9" x14ac:dyDescent="0.25">
      <c r="B380" s="622">
        <v>42585</v>
      </c>
      <c r="C380" s="364">
        <v>10078</v>
      </c>
      <c r="D380" s="623">
        <v>16.5063</v>
      </c>
      <c r="E380" s="365">
        <v>12.9</v>
      </c>
      <c r="F380" s="365">
        <f t="shared" ref="F380:F395" si="154">C380*(E380-D380)</f>
        <v>-36344.291399999995</v>
      </c>
      <c r="G380" s="365">
        <f t="shared" ref="G380:G395" si="155">IF(C380=0, 0,D380*C380)</f>
        <v>166350.4914</v>
      </c>
      <c r="H380" s="367">
        <f t="shared" ref="H380:H395" si="156">IF(C380=0, D380, (E380-D380)/D380)</f>
        <v>-0.21848021664455386</v>
      </c>
      <c r="I380" s="365"/>
    </row>
    <row r="381" spans="2:9" x14ac:dyDescent="0.25">
      <c r="B381" s="622">
        <v>42586</v>
      </c>
      <c r="C381" s="364">
        <v>9678</v>
      </c>
      <c r="D381" s="623">
        <v>16.489799999999999</v>
      </c>
      <c r="E381" s="365">
        <v>13.41</v>
      </c>
      <c r="F381" s="365">
        <f t="shared" si="154"/>
        <v>-29806.304399999986</v>
      </c>
      <c r="G381" s="365">
        <f t="shared" si="155"/>
        <v>159588.28439999997</v>
      </c>
      <c r="H381" s="367">
        <f t="shared" si="156"/>
        <v>-0.1867700032747516</v>
      </c>
      <c r="I381" s="365"/>
    </row>
    <row r="382" spans="2:9" x14ac:dyDescent="0.25">
      <c r="B382" s="622">
        <v>42586</v>
      </c>
      <c r="C382" s="364">
        <v>9278</v>
      </c>
      <c r="D382" s="623">
        <v>16.609200000000001</v>
      </c>
      <c r="E382" s="365">
        <v>13.66</v>
      </c>
      <c r="F382" s="365">
        <f t="shared" si="154"/>
        <v>-27362.67760000001</v>
      </c>
      <c r="G382" s="365">
        <f t="shared" si="155"/>
        <v>154100.15760000001</v>
      </c>
      <c r="H382" s="367">
        <f t="shared" si="156"/>
        <v>-0.17756424150470829</v>
      </c>
      <c r="I382" s="365">
        <v>16.53</v>
      </c>
    </row>
    <row r="383" spans="2:9" x14ac:dyDescent="0.25">
      <c r="B383" s="622">
        <v>42586</v>
      </c>
      <c r="C383" s="364">
        <v>9138</v>
      </c>
      <c r="D383" s="623">
        <v>16.6511</v>
      </c>
      <c r="E383" s="365">
        <v>13.87</v>
      </c>
      <c r="F383" s="365">
        <f t="shared" si="154"/>
        <v>-25413.691800000004</v>
      </c>
      <c r="G383" s="365">
        <f t="shared" si="155"/>
        <v>152157.7518</v>
      </c>
      <c r="H383" s="366">
        <f t="shared" si="156"/>
        <v>-0.1670219985466426</v>
      </c>
      <c r="I383" s="365"/>
    </row>
    <row r="384" spans="2:9" x14ac:dyDescent="0.25">
      <c r="B384" s="622">
        <v>42593</v>
      </c>
      <c r="C384" s="364">
        <v>8678</v>
      </c>
      <c r="D384" s="623">
        <v>16.760300000000001</v>
      </c>
      <c r="E384" s="365">
        <v>14.61</v>
      </c>
      <c r="F384" s="365">
        <f t="shared" si="154"/>
        <v>-18660.303400000012</v>
      </c>
      <c r="G384" s="365">
        <f t="shared" si="155"/>
        <v>145445.88340000002</v>
      </c>
      <c r="H384" s="366">
        <f t="shared" si="156"/>
        <v>-0.12829722618330228</v>
      </c>
      <c r="I384" s="365"/>
    </row>
    <row r="385" spans="2:9" ht="15" customHeight="1" x14ac:dyDescent="0.25">
      <c r="B385" s="622">
        <v>42597</v>
      </c>
      <c r="C385" s="364">
        <v>8678</v>
      </c>
      <c r="D385" s="623">
        <v>16.7471</v>
      </c>
      <c r="E385" s="365">
        <v>14.9</v>
      </c>
      <c r="F385" s="365">
        <f t="shared" si="154"/>
        <v>-16029.133799999994</v>
      </c>
      <c r="G385" s="365">
        <f t="shared" si="155"/>
        <v>145331.33379999999</v>
      </c>
      <c r="H385" s="366">
        <f t="shared" si="156"/>
        <v>-0.11029372249523794</v>
      </c>
      <c r="I385" s="365"/>
    </row>
    <row r="386" spans="2:9" x14ac:dyDescent="0.25">
      <c r="B386" s="622">
        <v>42598</v>
      </c>
      <c r="C386" s="364">
        <v>8178</v>
      </c>
      <c r="D386" s="623">
        <v>16.8429</v>
      </c>
      <c r="E386" s="365">
        <v>15.17</v>
      </c>
      <c r="F386" s="365">
        <f t="shared" si="154"/>
        <v>-13680.976200000003</v>
      </c>
      <c r="G386" s="365">
        <f t="shared" si="155"/>
        <v>137741.23620000001</v>
      </c>
      <c r="H386" s="366">
        <f t="shared" si="156"/>
        <v>-9.9323750660515728E-2</v>
      </c>
      <c r="I386" s="365">
        <v>16.75</v>
      </c>
    </row>
    <row r="387" spans="2:9" x14ac:dyDescent="0.25">
      <c r="B387" s="622">
        <v>42599</v>
      </c>
      <c r="C387" s="364">
        <v>7178</v>
      </c>
      <c r="D387" s="623">
        <v>17.009899999999998</v>
      </c>
      <c r="E387" s="365">
        <v>15.7</v>
      </c>
      <c r="F387" s="365">
        <f t="shared" si="154"/>
        <v>-9402.4621999999927</v>
      </c>
      <c r="G387" s="365">
        <f t="shared" si="155"/>
        <v>122097.06219999999</v>
      </c>
      <c r="H387" s="366">
        <f t="shared" si="156"/>
        <v>-7.7008095285686515E-2</v>
      </c>
      <c r="I387" s="365"/>
    </row>
    <row r="388" spans="2:9" x14ac:dyDescent="0.25">
      <c r="B388" s="622">
        <v>42600</v>
      </c>
      <c r="C388" s="364">
        <v>5500</v>
      </c>
      <c r="D388" s="623">
        <v>17.185600000000001</v>
      </c>
      <c r="E388" s="365">
        <v>16.68</v>
      </c>
      <c r="F388" s="365">
        <f t="shared" si="154"/>
        <v>-2780.8000000000065</v>
      </c>
      <c r="G388" s="365">
        <f t="shared" si="155"/>
        <v>94520.8</v>
      </c>
      <c r="H388" s="366">
        <f t="shared" si="156"/>
        <v>-2.9419979517735846E-2</v>
      </c>
      <c r="I388" s="365"/>
    </row>
    <row r="389" spans="2:9" x14ac:dyDescent="0.25">
      <c r="B389" s="622">
        <v>42601</v>
      </c>
      <c r="C389" s="364">
        <v>5000</v>
      </c>
      <c r="D389" s="623">
        <v>17.222200000000001</v>
      </c>
      <c r="E389" s="365">
        <v>16.8</v>
      </c>
      <c r="F389" s="365">
        <f t="shared" si="154"/>
        <v>-2111.0000000000005</v>
      </c>
      <c r="G389" s="365">
        <f t="shared" si="155"/>
        <v>86111</v>
      </c>
      <c r="H389" s="366">
        <f t="shared" si="156"/>
        <v>-2.4514870341768188E-2</v>
      </c>
      <c r="I389" s="365"/>
    </row>
    <row r="390" spans="2:9" x14ac:dyDescent="0.25">
      <c r="B390" s="622">
        <v>42604</v>
      </c>
      <c r="C390" s="364">
        <v>6000</v>
      </c>
      <c r="D390" s="623">
        <v>16.9651</v>
      </c>
      <c r="E390" s="365">
        <v>15.64</v>
      </c>
      <c r="F390" s="365">
        <f t="shared" si="154"/>
        <v>-7950.599999999994</v>
      </c>
      <c r="G390" s="365">
        <f t="shared" si="155"/>
        <v>101790.59999999999</v>
      </c>
      <c r="H390" s="366">
        <f t="shared" si="156"/>
        <v>-7.8107408739117312E-2</v>
      </c>
      <c r="I390" s="365"/>
    </row>
    <row r="391" spans="2:9" x14ac:dyDescent="0.25">
      <c r="B391" s="622">
        <v>42604</v>
      </c>
      <c r="C391" s="364">
        <v>6500</v>
      </c>
      <c r="D391" s="623">
        <v>16.850899999999999</v>
      </c>
      <c r="E391" s="365">
        <v>15.64</v>
      </c>
      <c r="F391" s="365">
        <f t="shared" si="154"/>
        <v>-7870.8499999999922</v>
      </c>
      <c r="G391" s="365">
        <f t="shared" si="155"/>
        <v>109530.84999999999</v>
      </c>
      <c r="H391" s="366">
        <f t="shared" si="156"/>
        <v>-7.1859663282079822E-2</v>
      </c>
      <c r="I391" s="365"/>
    </row>
    <row r="392" spans="2:9" x14ac:dyDescent="0.25">
      <c r="B392" s="622">
        <v>42605</v>
      </c>
      <c r="C392" s="364">
        <v>6000</v>
      </c>
      <c r="D392" s="623">
        <v>16.923500000000001</v>
      </c>
      <c r="E392" s="365">
        <v>16.43</v>
      </c>
      <c r="F392" s="365">
        <f t="shared" si="154"/>
        <v>-2961.0000000000055</v>
      </c>
      <c r="G392" s="365">
        <f t="shared" si="155"/>
        <v>101541</v>
      </c>
      <c r="H392" s="366">
        <f t="shared" si="156"/>
        <v>-2.9160634620498178E-2</v>
      </c>
      <c r="I392" s="365"/>
    </row>
    <row r="393" spans="2:9" x14ac:dyDescent="0.25">
      <c r="B393" s="622">
        <v>42605</v>
      </c>
      <c r="C393" s="364">
        <v>5500</v>
      </c>
      <c r="D393" s="623">
        <v>16.9848</v>
      </c>
      <c r="E393" s="365">
        <v>16.43</v>
      </c>
      <c r="F393" s="365">
        <f t="shared" si="154"/>
        <v>-3051.400000000001</v>
      </c>
      <c r="G393" s="365">
        <f t="shared" si="155"/>
        <v>93416.4</v>
      </c>
      <c r="H393" s="366">
        <f t="shared" si="156"/>
        <v>-3.266450002355048E-2</v>
      </c>
      <c r="I393" s="365"/>
    </row>
    <row r="394" spans="2:9" x14ac:dyDescent="0.25">
      <c r="B394" s="622">
        <v>42605</v>
      </c>
      <c r="C394" s="364">
        <v>5000</v>
      </c>
      <c r="D394" s="623">
        <v>17.035299999999999</v>
      </c>
      <c r="E394" s="365">
        <v>16.43</v>
      </c>
      <c r="F394" s="365">
        <f t="shared" si="154"/>
        <v>-3026.4999999999986</v>
      </c>
      <c r="G394" s="365">
        <f t="shared" si="155"/>
        <v>85176.5</v>
      </c>
      <c r="H394" s="366">
        <f t="shared" si="156"/>
        <v>-3.5532100990296606E-2</v>
      </c>
      <c r="I394" s="365"/>
    </row>
    <row r="395" spans="2:9" x14ac:dyDescent="0.25">
      <c r="B395" s="622">
        <v>42606</v>
      </c>
      <c r="C395" s="364">
        <v>5178</v>
      </c>
      <c r="D395" s="623">
        <v>17.0017</v>
      </c>
      <c r="E395" s="365">
        <v>16.059999999999999</v>
      </c>
      <c r="F395" s="365">
        <f t="shared" si="154"/>
        <v>-4876.1226000000042</v>
      </c>
      <c r="G395" s="365">
        <f t="shared" si="155"/>
        <v>88034.802599999995</v>
      </c>
      <c r="H395" s="366">
        <f t="shared" si="156"/>
        <v>-5.5388578789179958E-2</v>
      </c>
      <c r="I395" s="365"/>
    </row>
    <row r="396" spans="2:9" x14ac:dyDescent="0.25">
      <c r="B396" s="622">
        <v>42607</v>
      </c>
      <c r="C396" s="364">
        <v>5178</v>
      </c>
      <c r="D396" s="623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2">
        <v>42608</v>
      </c>
      <c r="C397" s="364">
        <v>6178</v>
      </c>
      <c r="D397" s="623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2">
        <v>42611</v>
      </c>
      <c r="C398" s="364">
        <v>6178</v>
      </c>
      <c r="D398" s="623">
        <v>16.825800000000001</v>
      </c>
      <c r="E398" s="365">
        <v>15.99</v>
      </c>
      <c r="F398" s="365">
        <f t="shared" ref="F398:F403" si="157">C398*(E398-D398)</f>
        <v>-5163.5724000000046</v>
      </c>
      <c r="G398" s="365">
        <f t="shared" ref="G398:G403" si="158">IF(C398=0, 0,D398*C398)</f>
        <v>103949.79240000001</v>
      </c>
      <c r="H398" s="366">
        <f t="shared" ref="H398:H403" si="159">IF(C398=0, D398, (E398-D398)/D398)</f>
        <v>-4.9673715365688452E-2</v>
      </c>
      <c r="I398" s="365"/>
    </row>
    <row r="399" spans="2:9" x14ac:dyDescent="0.25">
      <c r="B399" s="622">
        <v>42612</v>
      </c>
      <c r="C399" s="364">
        <v>6678</v>
      </c>
      <c r="D399" s="623">
        <v>16.739999999999998</v>
      </c>
      <c r="E399" s="365">
        <v>15.55</v>
      </c>
      <c r="F399" s="445">
        <f t="shared" si="157"/>
        <v>-7946.8199999999852</v>
      </c>
      <c r="G399" s="365">
        <f t="shared" si="158"/>
        <v>111789.71999999999</v>
      </c>
      <c r="H399" s="367">
        <f t="shared" si="159"/>
        <v>-7.1087216248506446E-2</v>
      </c>
      <c r="I399" s="384"/>
    </row>
    <row r="400" spans="2:9" x14ac:dyDescent="0.25">
      <c r="B400" s="622">
        <v>42612</v>
      </c>
      <c r="C400" s="364">
        <v>7178</v>
      </c>
      <c r="D400" s="623">
        <v>16.6571</v>
      </c>
      <c r="E400" s="365">
        <v>15.55</v>
      </c>
      <c r="F400" s="365">
        <f t="shared" si="157"/>
        <v>-7946.7637999999934</v>
      </c>
      <c r="G400" s="365">
        <f t="shared" si="158"/>
        <v>119564.66379999999</v>
      </c>
      <c r="H400" s="366">
        <f t="shared" si="159"/>
        <v>-6.6464150422342369E-2</v>
      </c>
      <c r="I400" s="365"/>
    </row>
    <row r="401" spans="2:9" x14ac:dyDescent="0.25">
      <c r="B401" s="622">
        <v>42613</v>
      </c>
      <c r="C401" s="364">
        <v>7678</v>
      </c>
      <c r="D401" s="623">
        <v>16.565200000000001</v>
      </c>
      <c r="E401" s="365">
        <v>15.02</v>
      </c>
      <c r="F401" s="365">
        <f t="shared" si="157"/>
        <v>-11864.04560000001</v>
      </c>
      <c r="G401" s="365">
        <f t="shared" si="158"/>
        <v>127187.60560000001</v>
      </c>
      <c r="H401" s="366">
        <f t="shared" si="159"/>
        <v>-9.3279887957887692E-2</v>
      </c>
      <c r="I401" s="365" t="s">
        <v>258</v>
      </c>
    </row>
    <row r="402" spans="2:9" x14ac:dyDescent="0.25">
      <c r="B402" s="622">
        <v>42613</v>
      </c>
      <c r="C402" s="364">
        <v>8178</v>
      </c>
      <c r="D402" s="623">
        <v>16.474399999999999</v>
      </c>
      <c r="E402" s="365">
        <v>15.02</v>
      </c>
      <c r="F402" s="365">
        <f t="shared" si="157"/>
        <v>-11894.083199999997</v>
      </c>
      <c r="G402" s="365">
        <f t="shared" si="158"/>
        <v>134727.64319999999</v>
      </c>
      <c r="H402" s="366">
        <f t="shared" si="159"/>
        <v>-8.8282426067110162E-2</v>
      </c>
      <c r="I402" s="365" t="s">
        <v>259</v>
      </c>
    </row>
    <row r="403" spans="2:9" x14ac:dyDescent="0.25">
      <c r="B403" s="622">
        <v>42615</v>
      </c>
      <c r="C403" s="364">
        <v>7678</v>
      </c>
      <c r="D403" s="623">
        <v>16.528099999999998</v>
      </c>
      <c r="E403" s="365">
        <v>15.49</v>
      </c>
      <c r="F403" s="365">
        <f t="shared" si="157"/>
        <v>-7970.5317999999861</v>
      </c>
      <c r="G403" s="365">
        <f t="shared" si="158"/>
        <v>126902.75179999998</v>
      </c>
      <c r="H403" s="366">
        <f t="shared" si="159"/>
        <v>-6.2808187268953986E-2</v>
      </c>
      <c r="I403" s="365">
        <v>16.350000000000001</v>
      </c>
    </row>
    <row r="404" spans="2:9" x14ac:dyDescent="0.25">
      <c r="B404" s="622">
        <v>42616</v>
      </c>
      <c r="C404" s="364">
        <v>7678</v>
      </c>
      <c r="D404" s="623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2">
        <v>42621</v>
      </c>
      <c r="C405" s="364">
        <v>7178</v>
      </c>
      <c r="D405" s="623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2">
        <v>42621</v>
      </c>
      <c r="C406" s="385">
        <v>6678</v>
      </c>
      <c r="D406" s="624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2">
        <v>42621</v>
      </c>
      <c r="C407" s="364">
        <v>6458</v>
      </c>
      <c r="D407" s="623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2">
        <v>42622</v>
      </c>
      <c r="C408" s="364">
        <v>7178</v>
      </c>
      <c r="D408" s="623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2">
        <v>42622</v>
      </c>
      <c r="C409" s="364">
        <v>7678</v>
      </c>
      <c r="D409" s="623">
        <v>16.430541999999999</v>
      </c>
      <c r="E409" s="365">
        <v>15.67</v>
      </c>
      <c r="F409" s="365">
        <f t="shared" ref="F409:F415" si="160">C409*(E409-D409)</f>
        <v>-5839.4414759999936</v>
      </c>
      <c r="G409" s="365">
        <f t="shared" ref="G409:G415" si="161">IF(C409=0, 0,D409*C409)</f>
        <v>126153.70147599999</v>
      </c>
      <c r="H409" s="366">
        <f t="shared" ref="H409:H415" si="162">IF(C409=0, D409, (E409-D409)/D409)</f>
        <v>-4.6288308687564853E-2</v>
      </c>
      <c r="I409" s="365">
        <v>16.350000000000001</v>
      </c>
    </row>
    <row r="410" spans="2:9" x14ac:dyDescent="0.25">
      <c r="B410" s="622">
        <v>42625</v>
      </c>
      <c r="C410" s="385">
        <v>7678</v>
      </c>
      <c r="D410" s="624">
        <v>16.412330000000001</v>
      </c>
      <c r="E410" s="365">
        <v>15.47</v>
      </c>
      <c r="F410" s="365">
        <f t="shared" si="160"/>
        <v>-7235.2097400000011</v>
      </c>
      <c r="G410" s="365">
        <f t="shared" si="161"/>
        <v>126013.86974000001</v>
      </c>
      <c r="H410" s="366">
        <f t="shared" si="162"/>
        <v>-5.7415979327737135E-2</v>
      </c>
      <c r="I410" s="365"/>
    </row>
    <row r="411" spans="2:9" x14ac:dyDescent="0.25">
      <c r="B411" s="622">
        <v>42625</v>
      </c>
      <c r="C411" s="385">
        <v>7678</v>
      </c>
      <c r="D411" s="624">
        <v>16.355817999999999</v>
      </c>
      <c r="E411" s="365">
        <v>15.47</v>
      </c>
      <c r="F411" s="365">
        <f t="shared" si="160"/>
        <v>-6801.3106039999893</v>
      </c>
      <c r="G411" s="365">
        <f t="shared" si="161"/>
        <v>125579.970604</v>
      </c>
      <c r="H411" s="366">
        <f t="shared" si="162"/>
        <v>-5.4159198885680847E-2</v>
      </c>
      <c r="I411" s="365" t="s">
        <v>273</v>
      </c>
    </row>
    <row r="412" spans="2:9" x14ac:dyDescent="0.25">
      <c r="B412" s="622">
        <v>42626</v>
      </c>
      <c r="C412" s="364">
        <v>8278</v>
      </c>
      <c r="D412" s="623">
        <v>16.25066</v>
      </c>
      <c r="E412" s="365">
        <v>14.34</v>
      </c>
      <c r="F412" s="365">
        <f t="shared" si="160"/>
        <v>-15816.44348</v>
      </c>
      <c r="G412" s="365">
        <f t="shared" si="161"/>
        <v>134522.96348000001</v>
      </c>
      <c r="H412" s="367">
        <f t="shared" si="162"/>
        <v>-0.11757430159759666</v>
      </c>
      <c r="I412" s="365"/>
    </row>
    <row r="413" spans="2:9" x14ac:dyDescent="0.25">
      <c r="B413" s="622">
        <v>42626</v>
      </c>
      <c r="C413" s="364">
        <v>8678</v>
      </c>
      <c r="D413" s="623">
        <v>16.18149</v>
      </c>
      <c r="E413" s="365">
        <v>14.34</v>
      </c>
      <c r="F413" s="365">
        <f t="shared" si="160"/>
        <v>-15980.450220000002</v>
      </c>
      <c r="G413" s="365">
        <f t="shared" si="161"/>
        <v>140422.97021999999</v>
      </c>
      <c r="H413" s="367">
        <f t="shared" si="162"/>
        <v>-0.11380225183218605</v>
      </c>
      <c r="I413" s="365"/>
    </row>
    <row r="414" spans="2:9" ht="15" customHeight="1" x14ac:dyDescent="0.25">
      <c r="B414" s="622">
        <v>42626</v>
      </c>
      <c r="C414" s="364">
        <v>8978</v>
      </c>
      <c r="D414" s="623">
        <v>16.124635000000001</v>
      </c>
      <c r="E414" s="365">
        <v>14.34</v>
      </c>
      <c r="F414" s="365">
        <f t="shared" si="160"/>
        <v>-16022.453030000013</v>
      </c>
      <c r="G414" s="365">
        <f t="shared" si="161"/>
        <v>144766.97303000002</v>
      </c>
      <c r="H414" s="367">
        <f t="shared" si="162"/>
        <v>-0.11067754401882594</v>
      </c>
      <c r="I414" s="365"/>
    </row>
    <row r="415" spans="2:9" x14ac:dyDescent="0.25">
      <c r="B415" s="622">
        <v>42626</v>
      </c>
      <c r="C415" s="364">
        <v>9278</v>
      </c>
      <c r="D415" s="623">
        <v>16.064019999999999</v>
      </c>
      <c r="E415" s="365">
        <v>14.34</v>
      </c>
      <c r="F415" s="365">
        <f t="shared" si="160"/>
        <v>-15995.457559999995</v>
      </c>
      <c r="G415" s="365">
        <f t="shared" si="161"/>
        <v>149041.97756</v>
      </c>
      <c r="H415" s="367">
        <f t="shared" si="162"/>
        <v>-0.10732182853357998</v>
      </c>
      <c r="I415" s="365" t="s">
        <v>274</v>
      </c>
    </row>
    <row r="416" spans="2:9" x14ac:dyDescent="0.25">
      <c r="B416" s="622">
        <v>42627</v>
      </c>
      <c r="C416" s="364">
        <v>9478</v>
      </c>
      <c r="D416" s="623">
        <v>16.020790999999999</v>
      </c>
      <c r="E416" s="365">
        <v>14.01</v>
      </c>
      <c r="F416" s="365">
        <f t="shared" ref="F416:F423" si="163">C416*(E416-D416)</f>
        <v>-19058.277097999995</v>
      </c>
      <c r="G416" s="365">
        <f t="shared" ref="G416:G423" si="164">IF(C416=0, 0,D416*C416)</f>
        <v>151845.05709799999</v>
      </c>
      <c r="H416" s="367">
        <f t="shared" ref="H416:H423" si="165">IF(C416=0, D416, (E416-D416)/D416)</f>
        <v>-0.1255113433537707</v>
      </c>
      <c r="I416" s="365"/>
    </row>
    <row r="417" spans="2:9" x14ac:dyDescent="0.25">
      <c r="B417" s="622">
        <v>42628</v>
      </c>
      <c r="C417" s="364">
        <v>9478</v>
      </c>
      <c r="D417" s="623">
        <v>16.015726999999998</v>
      </c>
      <c r="E417" s="365">
        <v>14.26</v>
      </c>
      <c r="F417" s="365">
        <f t="shared" si="163"/>
        <v>-16640.780505999985</v>
      </c>
      <c r="G417" s="365">
        <f t="shared" si="164"/>
        <v>151797.06050599998</v>
      </c>
      <c r="H417" s="367">
        <f t="shared" si="165"/>
        <v>-0.1096251827968845</v>
      </c>
      <c r="I417" s="365"/>
    </row>
    <row r="418" spans="2:9" x14ac:dyDescent="0.25">
      <c r="B418" s="622">
        <v>42629</v>
      </c>
      <c r="C418" s="364">
        <v>9478</v>
      </c>
      <c r="D418" s="623">
        <v>16.015726999999998</v>
      </c>
      <c r="E418" s="365">
        <v>14.24</v>
      </c>
      <c r="F418" s="365">
        <f t="shared" si="163"/>
        <v>-16830.340505999982</v>
      </c>
      <c r="G418" s="365">
        <f t="shared" si="164"/>
        <v>151797.06050599998</v>
      </c>
      <c r="H418" s="367">
        <f t="shared" si="165"/>
        <v>-0.1108739553315312</v>
      </c>
      <c r="I418" s="365"/>
    </row>
    <row r="419" spans="2:9" x14ac:dyDescent="0.25">
      <c r="B419" s="622">
        <v>42632</v>
      </c>
      <c r="C419" s="364">
        <v>9678</v>
      </c>
      <c r="D419" s="623">
        <v>15.975311</v>
      </c>
      <c r="E419" s="365">
        <v>14.09</v>
      </c>
      <c r="F419" s="365">
        <f t="shared" si="163"/>
        <v>-18246.039857999996</v>
      </c>
      <c r="G419" s="365">
        <f t="shared" si="164"/>
        <v>154609.05985799999</v>
      </c>
      <c r="H419" s="366">
        <f t="shared" si="165"/>
        <v>-0.11801404054043141</v>
      </c>
      <c r="I419" s="365"/>
    </row>
    <row r="420" spans="2:9" x14ac:dyDescent="0.25">
      <c r="B420" s="622">
        <v>42633</v>
      </c>
      <c r="C420" s="364">
        <v>9878</v>
      </c>
      <c r="D420" s="623">
        <v>15.937544000000001</v>
      </c>
      <c r="E420" s="365">
        <v>13.87</v>
      </c>
      <c r="F420" s="365">
        <f t="shared" si="163"/>
        <v>-20423.199632000014</v>
      </c>
      <c r="G420" s="365">
        <f t="shared" si="164"/>
        <v>157431.05963200002</v>
      </c>
      <c r="H420" s="366">
        <f t="shared" si="165"/>
        <v>-0.12972789282966068</v>
      </c>
      <c r="I420" s="365"/>
    </row>
    <row r="421" spans="2:9" x14ac:dyDescent="0.25">
      <c r="B421" s="622">
        <v>42633</v>
      </c>
      <c r="C421" s="364">
        <v>10000</v>
      </c>
      <c r="D421" s="623">
        <v>15.915126000000001</v>
      </c>
      <c r="E421" s="365">
        <v>13.87</v>
      </c>
      <c r="F421" s="365">
        <f t="shared" si="163"/>
        <v>-20451.260000000017</v>
      </c>
      <c r="G421" s="365">
        <f t="shared" si="164"/>
        <v>159151.26</v>
      </c>
      <c r="H421" s="366">
        <f t="shared" si="165"/>
        <v>-0.12850203008132022</v>
      </c>
      <c r="I421" s="365"/>
    </row>
    <row r="422" spans="2:9" x14ac:dyDescent="0.25">
      <c r="B422" s="622">
        <v>42634</v>
      </c>
      <c r="C422" s="364">
        <v>9678</v>
      </c>
      <c r="D422" s="623">
        <v>15.969538999999999</v>
      </c>
      <c r="E422" s="365">
        <v>14.65</v>
      </c>
      <c r="F422" s="365">
        <f t="shared" si="163"/>
        <v>-12770.498441999989</v>
      </c>
      <c r="G422" s="365">
        <f t="shared" si="164"/>
        <v>154553.19844199999</v>
      </c>
      <c r="H422" s="366">
        <f t="shared" si="165"/>
        <v>-8.2628496664806608E-2</v>
      </c>
      <c r="I422" s="365"/>
    </row>
    <row r="423" spans="2:9" x14ac:dyDescent="0.25">
      <c r="B423" s="622">
        <v>42634</v>
      </c>
      <c r="C423" s="364">
        <v>9278</v>
      </c>
      <c r="D423" s="623">
        <v>16.026872999999998</v>
      </c>
      <c r="E423" s="365">
        <v>14.65</v>
      </c>
      <c r="F423" s="365">
        <f t="shared" si="163"/>
        <v>-12774.627693999981</v>
      </c>
      <c r="G423" s="365">
        <f t="shared" si="164"/>
        <v>148697.32769399998</v>
      </c>
      <c r="H423" s="366">
        <f t="shared" si="165"/>
        <v>-8.5910270830747718E-2</v>
      </c>
      <c r="I423" s="365">
        <v>16</v>
      </c>
    </row>
    <row r="424" spans="2:9" ht="15" customHeight="1" x14ac:dyDescent="0.25">
      <c r="B424" s="622">
        <v>42635</v>
      </c>
      <c r="C424" s="364">
        <v>9278</v>
      </c>
      <c r="D424" s="623">
        <v>16.026872999999998</v>
      </c>
      <c r="E424" s="365">
        <v>14.87</v>
      </c>
      <c r="F424" s="365">
        <f t="shared" ref="F424:F435" si="166">C424*(E424-D424)</f>
        <v>-10733.467693999992</v>
      </c>
      <c r="G424" s="365">
        <f t="shared" ref="G424:G435" si="167">IF(C424=0, 0,D424*C424)</f>
        <v>148697.32769399998</v>
      </c>
      <c r="H424" s="366">
        <f t="shared" ref="H424:H435" si="168">IF(C424=0, D424, (E424-D424)/D424)</f>
        <v>-7.2183326092369937E-2</v>
      </c>
      <c r="I424" s="365"/>
    </row>
    <row r="425" spans="2:9" x14ac:dyDescent="0.25">
      <c r="B425" s="622">
        <v>42636</v>
      </c>
      <c r="C425" s="364">
        <v>9478</v>
      </c>
      <c r="D425" s="623">
        <v>15.992122</v>
      </c>
      <c r="E425" s="365">
        <v>14.49</v>
      </c>
      <c r="F425" s="365">
        <f t="shared" si="166"/>
        <v>-14237.112315999999</v>
      </c>
      <c r="G425" s="365">
        <f t="shared" si="167"/>
        <v>151573.33231600001</v>
      </c>
      <c r="H425" s="366">
        <f t="shared" si="168"/>
        <v>-9.39288732289561E-2</v>
      </c>
      <c r="I425" s="365"/>
    </row>
    <row r="426" spans="2:9" x14ac:dyDescent="0.25">
      <c r="B426" s="622">
        <v>42639</v>
      </c>
      <c r="C426" s="364">
        <v>9278</v>
      </c>
      <c r="D426" s="623">
        <v>16.019549999999999</v>
      </c>
      <c r="E426" s="365">
        <v>14.41</v>
      </c>
      <c r="F426" s="365">
        <f t="shared" si="166"/>
        <v>-14933.404899999989</v>
      </c>
      <c r="G426" s="365">
        <f t="shared" si="167"/>
        <v>148629.38489999998</v>
      </c>
      <c r="H426" s="366">
        <f t="shared" si="168"/>
        <v>-0.10047410819904422</v>
      </c>
      <c r="I426" s="365">
        <v>16</v>
      </c>
    </row>
    <row r="427" spans="2:9" x14ac:dyDescent="0.25">
      <c r="B427" s="622">
        <v>42639</v>
      </c>
      <c r="C427" s="364">
        <v>9478</v>
      </c>
      <c r="D427" s="623">
        <v>15.987468</v>
      </c>
      <c r="E427" s="365">
        <v>14.41</v>
      </c>
      <c r="F427" s="365">
        <f t="shared" si="166"/>
        <v>-14951.241703999996</v>
      </c>
      <c r="G427" s="365">
        <f t="shared" si="167"/>
        <v>151529.221704</v>
      </c>
      <c r="H427" s="366">
        <f t="shared" si="168"/>
        <v>-9.8669032519721048E-2</v>
      </c>
      <c r="I427" s="365"/>
    </row>
    <row r="428" spans="2:9" x14ac:dyDescent="0.25">
      <c r="B428" s="622">
        <v>42639</v>
      </c>
      <c r="C428" s="364">
        <v>9678</v>
      </c>
      <c r="D428" s="623">
        <v>15.954266000000001</v>
      </c>
      <c r="E428" s="365">
        <v>14.41</v>
      </c>
      <c r="F428" s="365">
        <f t="shared" si="166"/>
        <v>-14945.406348000004</v>
      </c>
      <c r="G428" s="365">
        <f t="shared" si="167"/>
        <v>154405.386348</v>
      </c>
      <c r="H428" s="366">
        <f t="shared" si="168"/>
        <v>-9.6793296538994669E-2</v>
      </c>
      <c r="I428" s="365"/>
    </row>
    <row r="429" spans="2:9" x14ac:dyDescent="0.25">
      <c r="B429" s="622">
        <v>42640</v>
      </c>
      <c r="C429" s="364">
        <v>10000</v>
      </c>
      <c r="D429" s="623">
        <v>15.890373</v>
      </c>
      <c r="E429" s="365">
        <v>14.06</v>
      </c>
      <c r="F429" s="365">
        <f t="shared" si="166"/>
        <v>-18303.73</v>
      </c>
      <c r="G429" s="365">
        <f t="shared" si="167"/>
        <v>158903.73000000001</v>
      </c>
      <c r="H429" s="366">
        <f t="shared" si="168"/>
        <v>-0.11518754153851517</v>
      </c>
      <c r="I429" s="365"/>
    </row>
    <row r="430" spans="2:9" x14ac:dyDescent="0.25">
      <c r="B430" s="622">
        <v>42641</v>
      </c>
      <c r="C430" s="364">
        <v>9278</v>
      </c>
      <c r="D430" s="623">
        <v>15.968</v>
      </c>
      <c r="E430" s="365">
        <v>15.18</v>
      </c>
      <c r="F430" s="365">
        <f t="shared" si="166"/>
        <v>-7311.0640000000021</v>
      </c>
      <c r="G430" s="365">
        <f t="shared" si="167"/>
        <v>148151.10399999999</v>
      </c>
      <c r="H430" s="366">
        <f t="shared" si="168"/>
        <v>-4.9348697394789594E-2</v>
      </c>
      <c r="I430" s="365" t="s">
        <v>286</v>
      </c>
    </row>
    <row r="431" spans="2:9" ht="15" customHeight="1" x14ac:dyDescent="0.25">
      <c r="B431" s="622">
        <v>42641</v>
      </c>
      <c r="C431" s="364">
        <v>8978</v>
      </c>
      <c r="D431" s="623">
        <v>15.991466000000001</v>
      </c>
      <c r="E431" s="365">
        <v>15.18</v>
      </c>
      <c r="F431" s="365">
        <f t="shared" si="166"/>
        <v>-7285.3417480000098</v>
      </c>
      <c r="G431" s="365">
        <f t="shared" si="167"/>
        <v>143571.38174800001</v>
      </c>
      <c r="H431" s="366">
        <f t="shared" si="168"/>
        <v>-5.0743690415875634E-2</v>
      </c>
      <c r="I431" s="365"/>
    </row>
    <row r="432" spans="2:9" x14ac:dyDescent="0.25">
      <c r="B432" s="622">
        <v>42642</v>
      </c>
      <c r="C432" s="364">
        <v>8678</v>
      </c>
      <c r="D432" s="623">
        <v>16.016100000000002</v>
      </c>
      <c r="E432" s="365">
        <v>15.9</v>
      </c>
      <c r="F432" s="365">
        <f t="shared" si="166"/>
        <v>-1007.5158000000105</v>
      </c>
      <c r="G432" s="365">
        <f t="shared" si="167"/>
        <v>138987.71580000001</v>
      </c>
      <c r="H432" s="366">
        <f t="shared" si="168"/>
        <v>-7.2489557382884214E-3</v>
      </c>
      <c r="I432" s="365"/>
    </row>
    <row r="433" spans="2:9" x14ac:dyDescent="0.25">
      <c r="B433" s="622">
        <v>42642</v>
      </c>
      <c r="C433" s="364">
        <v>7978</v>
      </c>
      <c r="D433" s="623">
        <v>16.036825</v>
      </c>
      <c r="E433" s="365">
        <v>15.9</v>
      </c>
      <c r="F433" s="365">
        <f t="shared" si="166"/>
        <v>-1091.5898499999998</v>
      </c>
      <c r="G433" s="365">
        <f t="shared" si="167"/>
        <v>127941.78985</v>
      </c>
      <c r="H433" s="366">
        <f t="shared" si="168"/>
        <v>-8.5319257396648009E-3</v>
      </c>
      <c r="I433" s="365"/>
    </row>
    <row r="434" spans="2:9" x14ac:dyDescent="0.25">
      <c r="B434" s="622">
        <v>42642</v>
      </c>
      <c r="C434" s="364">
        <v>7764</v>
      </c>
      <c r="D434" s="623">
        <v>16.038399999999999</v>
      </c>
      <c r="E434" s="365">
        <v>15.9</v>
      </c>
      <c r="F434" s="365">
        <f t="shared" si="166"/>
        <v>-1074.5375999999919</v>
      </c>
      <c r="G434" s="365">
        <f t="shared" si="167"/>
        <v>124522.1376</v>
      </c>
      <c r="H434" s="366">
        <f t="shared" si="168"/>
        <v>-8.6292897047086353E-3</v>
      </c>
      <c r="I434" s="365"/>
    </row>
    <row r="435" spans="2:9" x14ac:dyDescent="0.25">
      <c r="B435" s="622">
        <v>42642</v>
      </c>
      <c r="C435" s="364">
        <v>8178</v>
      </c>
      <c r="D435" s="623">
        <v>16.019235999999999</v>
      </c>
      <c r="E435" s="365">
        <v>15.9</v>
      </c>
      <c r="F435" s="365">
        <f t="shared" si="166"/>
        <v>-975.11200799999187</v>
      </c>
      <c r="G435" s="365">
        <f t="shared" si="167"/>
        <v>131005.31200799999</v>
      </c>
      <c r="H435" s="366">
        <f t="shared" si="168"/>
        <v>-7.4433012910228059E-3</v>
      </c>
      <c r="I435" s="365" t="s">
        <v>287</v>
      </c>
    </row>
    <row r="436" spans="2:9" x14ac:dyDescent="0.25">
      <c r="B436" s="622">
        <v>42643</v>
      </c>
      <c r="C436" s="364">
        <v>8178</v>
      </c>
      <c r="D436" s="623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2">
        <v>42646</v>
      </c>
      <c r="C437" s="364">
        <v>8178</v>
      </c>
      <c r="D437" s="623">
        <v>16.019235999999999</v>
      </c>
      <c r="E437" s="365">
        <v>15.98</v>
      </c>
      <c r="F437" s="365">
        <f t="shared" ref="F437:F446" si="169">C437*(E437-D437)</f>
        <v>-320.8720079999913</v>
      </c>
      <c r="G437" s="365">
        <f t="shared" ref="G437:G446" si="170">IF(C437=0, 0,D437*C437)</f>
        <v>131005.31200799999</v>
      </c>
      <c r="H437" s="366">
        <f t="shared" ref="H437:H446" si="171">IF(C437=0, D437, (E437-D437)/D437)</f>
        <v>-2.4493053226757469E-3</v>
      </c>
      <c r="I437" s="365"/>
    </row>
    <row r="438" spans="2:9" x14ac:dyDescent="0.25">
      <c r="B438" s="622">
        <v>42647</v>
      </c>
      <c r="C438" s="364">
        <v>8678</v>
      </c>
      <c r="D438" s="623">
        <v>16.010061</v>
      </c>
      <c r="E438" s="365">
        <v>15.63</v>
      </c>
      <c r="F438" s="365">
        <f t="shared" si="169"/>
        <v>-3298.169357999996</v>
      </c>
      <c r="G438" s="365">
        <f t="shared" si="170"/>
        <v>138935.309358</v>
      </c>
      <c r="H438" s="366">
        <f t="shared" si="171"/>
        <v>-2.3738885192255015E-2</v>
      </c>
      <c r="I438" s="365"/>
    </row>
    <row r="439" spans="2:9" x14ac:dyDescent="0.25">
      <c r="B439" s="622">
        <v>42647</v>
      </c>
      <c r="C439" s="364">
        <v>9178</v>
      </c>
      <c r="D439" s="623">
        <v>15.988811</v>
      </c>
      <c r="E439" s="365">
        <v>15.63</v>
      </c>
      <c r="F439" s="365">
        <f t="shared" si="169"/>
        <v>-3293.1673579999938</v>
      </c>
      <c r="G439" s="365">
        <f t="shared" si="170"/>
        <v>146745.30735799999</v>
      </c>
      <c r="H439" s="366">
        <f t="shared" si="171"/>
        <v>-2.2441381038277287E-2</v>
      </c>
      <c r="I439" s="365"/>
    </row>
    <row r="440" spans="2:9" x14ac:dyDescent="0.25">
      <c r="B440" s="622">
        <v>42648</v>
      </c>
      <c r="C440" s="364">
        <v>8178</v>
      </c>
      <c r="D440" s="623">
        <v>15.977725</v>
      </c>
      <c r="E440" s="365">
        <v>16.12</v>
      </c>
      <c r="F440" s="365">
        <f t="shared" si="169"/>
        <v>1163.524950000012</v>
      </c>
      <c r="G440" s="365">
        <f t="shared" si="170"/>
        <v>130665.83504999999</v>
      </c>
      <c r="H440" s="366">
        <f t="shared" si="171"/>
        <v>8.904584351026288E-3</v>
      </c>
      <c r="I440" s="365">
        <v>15.75</v>
      </c>
    </row>
    <row r="441" spans="2:9" x14ac:dyDescent="0.25">
      <c r="B441" s="622">
        <v>42648</v>
      </c>
      <c r="C441" s="385">
        <v>7678</v>
      </c>
      <c r="D441" s="624">
        <v>15.951529000000001</v>
      </c>
      <c r="E441" s="365">
        <v>16.12</v>
      </c>
      <c r="F441" s="365">
        <f t="shared" si="169"/>
        <v>1293.5203380000021</v>
      </c>
      <c r="G441" s="365">
        <f t="shared" si="170"/>
        <v>122475.839662</v>
      </c>
      <c r="H441" s="366">
        <f t="shared" si="171"/>
        <v>1.0561432700275958E-2</v>
      </c>
      <c r="I441" s="365" t="s">
        <v>291</v>
      </c>
    </row>
    <row r="442" spans="2:9" x14ac:dyDescent="0.25">
      <c r="B442" s="622">
        <v>42649</v>
      </c>
      <c r="C442" s="364">
        <v>8678</v>
      </c>
      <c r="D442" s="623">
        <v>15.941579000000001</v>
      </c>
      <c r="E442" s="365">
        <v>16.079999999999998</v>
      </c>
      <c r="F442" s="365">
        <f t="shared" si="169"/>
        <v>1201.2174379999781</v>
      </c>
      <c r="G442" s="365">
        <f t="shared" si="170"/>
        <v>138341.022562</v>
      </c>
      <c r="H442" s="366">
        <f t="shared" si="171"/>
        <v>8.683016908174369E-3</v>
      </c>
      <c r="I442" s="365"/>
    </row>
    <row r="443" spans="2:9" x14ac:dyDescent="0.25">
      <c r="B443" s="622">
        <v>42650</v>
      </c>
      <c r="C443" s="364">
        <v>8978</v>
      </c>
      <c r="D443" s="623">
        <v>15.935176999999999</v>
      </c>
      <c r="E443" s="365">
        <v>15.56</v>
      </c>
      <c r="F443" s="365">
        <f t="shared" si="169"/>
        <v>-3368.3391059999908</v>
      </c>
      <c r="G443" s="365">
        <f t="shared" si="170"/>
        <v>143066.01910599999</v>
      </c>
      <c r="H443" s="366">
        <f t="shared" si="171"/>
        <v>-2.354394933925108E-2</v>
      </c>
      <c r="I443" s="365"/>
    </row>
    <row r="444" spans="2:9" x14ac:dyDescent="0.25">
      <c r="B444" s="622">
        <v>42650</v>
      </c>
      <c r="C444" s="364">
        <v>9278</v>
      </c>
      <c r="D444" s="623">
        <v>15.923692000000001</v>
      </c>
      <c r="E444" s="365">
        <v>15.56</v>
      </c>
      <c r="F444" s="365">
        <f t="shared" si="169"/>
        <v>-3374.3343760000034</v>
      </c>
      <c r="G444" s="365">
        <f t="shared" si="170"/>
        <v>147740.01437600001</v>
      </c>
      <c r="H444" s="366">
        <f t="shared" si="171"/>
        <v>-2.2839678134945106E-2</v>
      </c>
      <c r="I444" s="365">
        <v>15.8</v>
      </c>
    </row>
    <row r="445" spans="2:9" x14ac:dyDescent="0.25">
      <c r="B445" s="622">
        <v>42653</v>
      </c>
      <c r="C445" s="385">
        <v>9678</v>
      </c>
      <c r="D445" s="624">
        <v>15.9153</v>
      </c>
      <c r="E445" s="365">
        <v>15.72</v>
      </c>
      <c r="F445" s="365">
        <f t="shared" si="169"/>
        <v>-1890.1133999999961</v>
      </c>
      <c r="G445" s="365">
        <f t="shared" si="170"/>
        <v>154028.27340000001</v>
      </c>
      <c r="H445" s="366">
        <f t="shared" si="171"/>
        <v>-1.2271210721758281E-2</v>
      </c>
      <c r="I445" s="365"/>
    </row>
    <row r="446" spans="2:9" x14ac:dyDescent="0.25">
      <c r="B446" s="622">
        <v>42661</v>
      </c>
      <c r="C446" s="385">
        <v>10000</v>
      </c>
      <c r="D446" s="624">
        <v>15.901258</v>
      </c>
      <c r="E446" s="365">
        <v>14.2</v>
      </c>
      <c r="F446" s="365">
        <f t="shared" si="169"/>
        <v>-17012.580000000009</v>
      </c>
      <c r="G446" s="365">
        <f t="shared" si="170"/>
        <v>159012.58000000002</v>
      </c>
      <c r="H446" s="366">
        <f t="shared" si="171"/>
        <v>-0.10698889358313669</v>
      </c>
      <c r="I446" s="365"/>
    </row>
    <row r="447" spans="2:9" x14ac:dyDescent="0.25">
      <c r="B447" s="622">
        <v>42663</v>
      </c>
      <c r="C447" s="364">
        <v>10000</v>
      </c>
      <c r="D447" s="623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2">
        <v>42668</v>
      </c>
      <c r="C448" s="364">
        <v>11000</v>
      </c>
      <c r="D448" s="623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2">
        <v>42670</v>
      </c>
      <c r="C449" s="364">
        <v>11500</v>
      </c>
      <c r="D449" s="623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2">
        <v>42670</v>
      </c>
      <c r="C450" s="364">
        <v>12000</v>
      </c>
      <c r="D450" s="623">
        <v>15.6113</v>
      </c>
      <c r="E450" s="365">
        <v>13.95</v>
      </c>
      <c r="F450" s="365">
        <f t="shared" ref="F450:F457" si="172">C450*(E450-D450)</f>
        <v>-19935.600000000009</v>
      </c>
      <c r="G450" s="365">
        <f t="shared" ref="G450:G457" si="173">IF(C450=0, 0,D450*C450)</f>
        <v>187335.6</v>
      </c>
      <c r="H450" s="367">
        <f t="shared" ref="H450:H457" si="174">IF(C450=0, D450, (E450-D450)/D450)</f>
        <v>-0.10641650599245422</v>
      </c>
      <c r="I450" s="365"/>
    </row>
    <row r="451" spans="2:9" x14ac:dyDescent="0.25">
      <c r="B451" s="622">
        <v>42670</v>
      </c>
      <c r="C451" s="364">
        <v>12500</v>
      </c>
      <c r="D451" s="623">
        <v>15.542006000000001</v>
      </c>
      <c r="E451" s="365">
        <v>13.95</v>
      </c>
      <c r="F451" s="365">
        <f t="shared" si="172"/>
        <v>-19900.075000000015</v>
      </c>
      <c r="G451" s="365">
        <f t="shared" si="173"/>
        <v>194275.07500000001</v>
      </c>
      <c r="H451" s="367">
        <f t="shared" si="174"/>
        <v>-0.10243246592492637</v>
      </c>
      <c r="I451" s="365"/>
    </row>
    <row r="452" spans="2:9" x14ac:dyDescent="0.25">
      <c r="B452" s="622">
        <v>42671</v>
      </c>
      <c r="C452" s="364">
        <v>12500</v>
      </c>
      <c r="D452" s="623">
        <v>15.536431</v>
      </c>
      <c r="E452" s="365">
        <v>13.72</v>
      </c>
      <c r="F452" s="365">
        <f t="shared" si="172"/>
        <v>-22705.387499999997</v>
      </c>
      <c r="G452" s="365">
        <f t="shared" si="173"/>
        <v>194205.38750000001</v>
      </c>
      <c r="H452" s="367">
        <f t="shared" si="174"/>
        <v>-0.11691430290521676</v>
      </c>
      <c r="I452" s="365"/>
    </row>
    <row r="453" spans="2:9" x14ac:dyDescent="0.25">
      <c r="B453" s="622">
        <v>42674</v>
      </c>
      <c r="C453" s="364">
        <v>12500</v>
      </c>
      <c r="D453" s="623">
        <v>15.5313</v>
      </c>
      <c r="E453" s="365">
        <v>13.18</v>
      </c>
      <c r="F453" s="365">
        <f t="shared" si="172"/>
        <v>-29391.250000000004</v>
      </c>
      <c r="G453" s="365">
        <f t="shared" si="173"/>
        <v>194141.25</v>
      </c>
      <c r="H453" s="367">
        <f t="shared" si="174"/>
        <v>-0.15139106192012261</v>
      </c>
      <c r="I453" s="365"/>
    </row>
    <row r="454" spans="2:9" x14ac:dyDescent="0.25">
      <c r="B454" s="622">
        <v>42676</v>
      </c>
      <c r="C454" s="364">
        <v>12500</v>
      </c>
      <c r="D454" s="623">
        <v>15.528746</v>
      </c>
      <c r="E454" s="365">
        <v>12.78</v>
      </c>
      <c r="F454" s="365">
        <f t="shared" si="172"/>
        <v>-34359.325000000004</v>
      </c>
      <c r="G454" s="365">
        <f t="shared" si="173"/>
        <v>194109.32500000001</v>
      </c>
      <c r="H454" s="366">
        <f t="shared" si="174"/>
        <v>-0.17701017197396368</v>
      </c>
      <c r="I454" s="365"/>
    </row>
    <row r="455" spans="2:9" x14ac:dyDescent="0.25">
      <c r="B455" s="622">
        <v>42677</v>
      </c>
      <c r="C455" s="364">
        <v>10000</v>
      </c>
      <c r="D455" s="623">
        <v>15.813000000000001</v>
      </c>
      <c r="E455" s="365">
        <v>14.15</v>
      </c>
      <c r="F455" s="365">
        <f t="shared" si="172"/>
        <v>-16630.000000000004</v>
      </c>
      <c r="G455" s="365">
        <f t="shared" si="173"/>
        <v>158130</v>
      </c>
      <c r="H455" s="366">
        <f t="shared" si="174"/>
        <v>-0.10516663504711314</v>
      </c>
      <c r="I455" s="365"/>
    </row>
    <row r="456" spans="2:9" x14ac:dyDescent="0.25">
      <c r="B456" s="622">
        <v>42678</v>
      </c>
      <c r="C456" s="364">
        <v>11000</v>
      </c>
      <c r="D456" s="623">
        <v>15.62</v>
      </c>
      <c r="E456" s="365">
        <v>13.69</v>
      </c>
      <c r="F456" s="365">
        <f t="shared" si="172"/>
        <v>-21229.999999999996</v>
      </c>
      <c r="G456" s="365">
        <f t="shared" si="173"/>
        <v>171820</v>
      </c>
      <c r="H456" s="366">
        <f t="shared" si="174"/>
        <v>-0.12355953905249678</v>
      </c>
      <c r="I456" s="365"/>
    </row>
    <row r="457" spans="2:9" x14ac:dyDescent="0.25">
      <c r="B457" s="622">
        <v>42701</v>
      </c>
      <c r="C457" s="364">
        <v>7678</v>
      </c>
      <c r="D457" s="623">
        <v>15.484220000000001</v>
      </c>
      <c r="E457" s="365">
        <v>16.28</v>
      </c>
      <c r="F457" s="365">
        <f t="shared" si="172"/>
        <v>6109.9988400000047</v>
      </c>
      <c r="G457" s="365">
        <f t="shared" si="173"/>
        <v>118887.84116000001</v>
      </c>
      <c r="H457" s="366">
        <f t="shared" si="174"/>
        <v>5.1392966516879801E-2</v>
      </c>
      <c r="I457" s="365" t="s">
        <v>302</v>
      </c>
    </row>
    <row r="458" spans="2:9" ht="15" customHeight="1" x14ac:dyDescent="0.25">
      <c r="B458" s="622">
        <v>42702</v>
      </c>
      <c r="C458" s="364">
        <v>8178</v>
      </c>
      <c r="D458" s="623">
        <v>15.519399999999999</v>
      </c>
      <c r="E458" s="365">
        <v>15.62</v>
      </c>
      <c r="F458" s="365">
        <f t="shared" ref="F458:F475" si="175">C458*(E458-D458)</f>
        <v>822.70680000000016</v>
      </c>
      <c r="G458" s="365">
        <f t="shared" ref="G458:G475" si="176">IF(C458=0, 0,D458*C458)</f>
        <v>126917.6532</v>
      </c>
      <c r="H458" s="366">
        <f t="shared" ref="H458:H475" si="177">IF(C458=0, D458, (E458-D458)/D458)</f>
        <v>6.4822093637640649E-3</v>
      </c>
      <c r="I458" s="365" t="s">
        <v>307</v>
      </c>
    </row>
    <row r="459" spans="2:9" x14ac:dyDescent="0.25">
      <c r="B459" s="622">
        <v>42702</v>
      </c>
      <c r="C459" s="364">
        <v>8678</v>
      </c>
      <c r="D459" s="623">
        <v>15.5304</v>
      </c>
      <c r="E459" s="365">
        <v>15.54</v>
      </c>
      <c r="F459" s="365">
        <f t="shared" si="175"/>
        <v>83.308799999990825</v>
      </c>
      <c r="G459" s="365">
        <f t="shared" si="176"/>
        <v>134772.8112</v>
      </c>
      <c r="H459" s="366">
        <f t="shared" si="177"/>
        <v>6.1814248184199655E-4</v>
      </c>
      <c r="I459" s="365"/>
    </row>
    <row r="460" spans="2:9" x14ac:dyDescent="0.25">
      <c r="B460" s="622">
        <v>42703</v>
      </c>
      <c r="C460" s="364">
        <v>8978</v>
      </c>
      <c r="D460" s="623">
        <v>15.5053</v>
      </c>
      <c r="E460" s="365">
        <v>14.95</v>
      </c>
      <c r="F460" s="365">
        <f t="shared" si="175"/>
        <v>-4985.4834000000074</v>
      </c>
      <c r="G460" s="365">
        <f t="shared" si="176"/>
        <v>139206.5834</v>
      </c>
      <c r="H460" s="366">
        <f t="shared" si="177"/>
        <v>-3.5813560524465882E-2</v>
      </c>
      <c r="I460" s="365"/>
    </row>
    <row r="461" spans="2:9" x14ac:dyDescent="0.25">
      <c r="B461" s="622">
        <v>42704</v>
      </c>
      <c r="C461" s="364">
        <v>5178</v>
      </c>
      <c r="D461" s="623">
        <v>14.3947</v>
      </c>
      <c r="E461" s="365">
        <v>18.059999999999999</v>
      </c>
      <c r="F461" s="365">
        <f t="shared" si="175"/>
        <v>18978.923399999992</v>
      </c>
      <c r="G461" s="365">
        <f t="shared" si="176"/>
        <v>74535.756600000008</v>
      </c>
      <c r="H461" s="366">
        <f t="shared" si="177"/>
        <v>0.25462843963403187</v>
      </c>
      <c r="I461" s="365"/>
    </row>
    <row r="462" spans="2:9" x14ac:dyDescent="0.25">
      <c r="B462" s="622">
        <v>42705</v>
      </c>
      <c r="C462" s="364">
        <v>4678</v>
      </c>
      <c r="D462" s="623">
        <v>13.905799999999999</v>
      </c>
      <c r="E462" s="365">
        <v>17.89</v>
      </c>
      <c r="F462" s="365">
        <f t="shared" si="175"/>
        <v>18638.087600000006</v>
      </c>
      <c r="G462" s="365">
        <f t="shared" si="176"/>
        <v>65051.332399999999</v>
      </c>
      <c r="H462" s="366">
        <f t="shared" si="177"/>
        <v>0.28651354111234173</v>
      </c>
      <c r="I462" s="365"/>
    </row>
    <row r="463" spans="2:9" x14ac:dyDescent="0.25">
      <c r="B463" s="622">
        <v>42705</v>
      </c>
      <c r="C463" s="364">
        <v>5000</v>
      </c>
      <c r="D463" s="623">
        <v>14.1645</v>
      </c>
      <c r="E463" s="365">
        <v>17.89</v>
      </c>
      <c r="F463" s="365">
        <f t="shared" si="175"/>
        <v>18627.5</v>
      </c>
      <c r="G463" s="365">
        <f t="shared" si="176"/>
        <v>70822.5</v>
      </c>
      <c r="H463" s="366">
        <f t="shared" si="177"/>
        <v>0.2630166966712556</v>
      </c>
      <c r="I463" s="365"/>
    </row>
    <row r="464" spans="2:9" x14ac:dyDescent="0.25">
      <c r="B464" s="622">
        <v>42708</v>
      </c>
      <c r="C464" s="364">
        <v>5000</v>
      </c>
      <c r="D464" s="623">
        <v>14.1645</v>
      </c>
      <c r="E464" s="365">
        <v>18.2</v>
      </c>
      <c r="F464" s="365">
        <f t="shared" si="175"/>
        <v>20177.499999999996</v>
      </c>
      <c r="G464" s="365">
        <f t="shared" si="176"/>
        <v>70822.5</v>
      </c>
      <c r="H464" s="366">
        <f t="shared" si="177"/>
        <v>0.28490239683716323</v>
      </c>
      <c r="I464" s="365"/>
    </row>
    <row r="465" spans="1:10" x14ac:dyDescent="0.25">
      <c r="B465" s="622">
        <v>42711</v>
      </c>
      <c r="C465" s="364">
        <v>5000</v>
      </c>
      <c r="D465" s="623">
        <v>14.143514</v>
      </c>
      <c r="E465" s="365">
        <v>18.420000000000002</v>
      </c>
      <c r="F465" s="365">
        <f t="shared" si="175"/>
        <v>21382.430000000011</v>
      </c>
      <c r="G465" s="365">
        <f t="shared" si="176"/>
        <v>70717.569999999992</v>
      </c>
      <c r="H465" s="366">
        <f t="shared" si="177"/>
        <v>0.3023637548631834</v>
      </c>
      <c r="I465" s="365"/>
    </row>
    <row r="466" spans="1:10" x14ac:dyDescent="0.25">
      <c r="B466" s="622">
        <v>42713</v>
      </c>
      <c r="C466" s="364">
        <v>5000</v>
      </c>
      <c r="D466" s="623">
        <v>14.127554</v>
      </c>
      <c r="E466" s="365">
        <v>18.25</v>
      </c>
      <c r="F466" s="365">
        <f t="shared" si="175"/>
        <v>20612.23</v>
      </c>
      <c r="G466" s="365">
        <f t="shared" si="176"/>
        <v>70637.77</v>
      </c>
      <c r="H466" s="366">
        <f t="shared" si="177"/>
        <v>0.29180182216964096</v>
      </c>
      <c r="I466" s="365"/>
    </row>
    <row r="467" spans="1:10" x14ac:dyDescent="0.25">
      <c r="B467" s="622">
        <v>42716</v>
      </c>
      <c r="C467" s="364">
        <v>5000</v>
      </c>
      <c r="D467" s="623">
        <v>14.0276</v>
      </c>
      <c r="E467" s="365">
        <v>18.489999999999998</v>
      </c>
      <c r="F467" s="365">
        <f t="shared" si="175"/>
        <v>22311.999999999993</v>
      </c>
      <c r="G467" s="365">
        <f t="shared" si="176"/>
        <v>70138</v>
      </c>
      <c r="H467" s="366">
        <f t="shared" si="177"/>
        <v>0.3181157147338104</v>
      </c>
      <c r="I467" s="365" t="s">
        <v>185</v>
      </c>
    </row>
    <row r="468" spans="1:10" x14ac:dyDescent="0.25">
      <c r="B468" s="622">
        <v>42718</v>
      </c>
      <c r="C468" s="364">
        <v>5000</v>
      </c>
      <c r="D468" s="623">
        <v>14.025399999999999</v>
      </c>
      <c r="E468" s="365">
        <v>18.2</v>
      </c>
      <c r="F468" s="365">
        <f t="shared" si="175"/>
        <v>20873</v>
      </c>
      <c r="G468" s="365">
        <f t="shared" si="176"/>
        <v>70127</v>
      </c>
      <c r="H468" s="366">
        <f t="shared" si="177"/>
        <v>0.29764569994438661</v>
      </c>
      <c r="I468" s="365">
        <v>13.8</v>
      </c>
    </row>
    <row r="469" spans="1:10" x14ac:dyDescent="0.25">
      <c r="B469" s="622">
        <v>42726</v>
      </c>
      <c r="C469" s="364">
        <v>5000</v>
      </c>
      <c r="D469" s="623">
        <v>14.025399999999999</v>
      </c>
      <c r="E469" s="365">
        <v>18.04</v>
      </c>
      <c r="F469" s="365">
        <f t="shared" si="175"/>
        <v>20073</v>
      </c>
      <c r="G469" s="365">
        <f t="shared" si="176"/>
        <v>70127</v>
      </c>
      <c r="H469" s="366">
        <f t="shared" si="177"/>
        <v>0.28623782565916123</v>
      </c>
      <c r="I469" s="365"/>
    </row>
    <row r="470" spans="1:10" x14ac:dyDescent="0.25">
      <c r="B470" s="622">
        <v>42733</v>
      </c>
      <c r="C470" s="364">
        <v>6000</v>
      </c>
      <c r="D470" s="623">
        <v>14.627558000000001</v>
      </c>
      <c r="E470" s="365">
        <v>17.57</v>
      </c>
      <c r="F470" s="445">
        <f t="shared" si="175"/>
        <v>17654.651999999998</v>
      </c>
      <c r="G470" s="365">
        <f t="shared" si="176"/>
        <v>87765.347999999998</v>
      </c>
      <c r="H470" s="367">
        <f t="shared" si="177"/>
        <v>0.20115743174629694</v>
      </c>
      <c r="I470" s="365"/>
      <c r="J470" s="3"/>
    </row>
    <row r="471" spans="1:10" x14ac:dyDescent="0.25">
      <c r="B471" s="622">
        <v>42734</v>
      </c>
      <c r="C471" s="364">
        <v>6000</v>
      </c>
      <c r="D471" s="623">
        <v>14.562623</v>
      </c>
      <c r="E471" s="365">
        <v>17.309999999999999</v>
      </c>
      <c r="F471" s="445">
        <f t="shared" si="175"/>
        <v>16484.261999999992</v>
      </c>
      <c r="G471" s="365">
        <f t="shared" si="176"/>
        <v>87375.737999999998</v>
      </c>
      <c r="H471" s="367">
        <f t="shared" si="177"/>
        <v>0.18865948806063293</v>
      </c>
      <c r="I471" s="365"/>
    </row>
    <row r="472" spans="1:10" x14ac:dyDescent="0.25">
      <c r="B472" s="622">
        <v>42739</v>
      </c>
      <c r="C472" s="364">
        <v>5500</v>
      </c>
      <c r="D472" s="623">
        <v>14.242898</v>
      </c>
      <c r="E472" s="365">
        <v>18.05</v>
      </c>
      <c r="F472" s="445">
        <f t="shared" si="175"/>
        <v>20939.061000000002</v>
      </c>
      <c r="G472" s="365">
        <f t="shared" si="176"/>
        <v>78335.938999999998</v>
      </c>
      <c r="H472" s="367">
        <f t="shared" si="177"/>
        <v>0.26729827033796072</v>
      </c>
      <c r="I472" s="365"/>
    </row>
    <row r="473" spans="1:10" x14ac:dyDescent="0.25">
      <c r="B473" s="622">
        <v>42741</v>
      </c>
      <c r="C473" s="364">
        <v>6000</v>
      </c>
      <c r="D473" s="623">
        <v>14.54599</v>
      </c>
      <c r="E473" s="365">
        <v>17.98</v>
      </c>
      <c r="F473" s="445">
        <f t="shared" si="175"/>
        <v>20604.060000000005</v>
      </c>
      <c r="G473" s="365">
        <f t="shared" si="176"/>
        <v>87275.94</v>
      </c>
      <c r="H473" s="367">
        <f t="shared" si="177"/>
        <v>0.23607949682352322</v>
      </c>
      <c r="I473" s="365"/>
    </row>
    <row r="474" spans="1:10" x14ac:dyDescent="0.25">
      <c r="B474" s="622">
        <v>42748</v>
      </c>
      <c r="C474" s="364">
        <v>6000</v>
      </c>
      <c r="D474" s="623">
        <v>14.527687999999999</v>
      </c>
      <c r="E474" s="365">
        <v>17.46</v>
      </c>
      <c r="F474" s="445">
        <f t="shared" si="175"/>
        <v>17593.872000000007</v>
      </c>
      <c r="G474" s="365">
        <f t="shared" si="176"/>
        <v>87166.127999999997</v>
      </c>
      <c r="H474" s="367">
        <f t="shared" si="177"/>
        <v>0.20184299112150547</v>
      </c>
      <c r="I474" s="365"/>
    </row>
    <row r="475" spans="1:10" x14ac:dyDescent="0.25">
      <c r="A475" s="228" t="s">
        <v>332</v>
      </c>
      <c r="B475" s="622">
        <v>42754</v>
      </c>
      <c r="C475" s="364">
        <v>6000</v>
      </c>
      <c r="D475" s="623">
        <v>14.527687999999999</v>
      </c>
      <c r="E475" s="365">
        <v>17.27</v>
      </c>
      <c r="F475" s="445">
        <f t="shared" si="175"/>
        <v>16453.871999999999</v>
      </c>
      <c r="G475" s="365">
        <f t="shared" si="176"/>
        <v>87166.127999999997</v>
      </c>
      <c r="H475" s="367">
        <f t="shared" si="177"/>
        <v>0.1887645164185795</v>
      </c>
      <c r="I475" s="365"/>
    </row>
    <row r="476" spans="1:10" x14ac:dyDescent="0.25">
      <c r="A476" t="s">
        <v>332</v>
      </c>
      <c r="B476" s="622">
        <v>42760</v>
      </c>
      <c r="C476" s="364">
        <v>6000</v>
      </c>
      <c r="D476" s="623">
        <v>14.527687999999999</v>
      </c>
      <c r="E476" s="365">
        <v>17.75</v>
      </c>
      <c r="F476" s="445">
        <f t="shared" ref="F476:F490" si="178">C476*(E476-D476)</f>
        <v>19333.872000000003</v>
      </c>
      <c r="G476" s="365">
        <f t="shared" ref="G476:G490" si="179">IF(C476=0, 0,D476*C476)</f>
        <v>87166.127999999997</v>
      </c>
      <c r="H476" s="367">
        <f t="shared" ref="H476:H490" si="180">IF(C476=0, D476, (E476-D476)/D476)</f>
        <v>0.22180487356281334</v>
      </c>
      <c r="I476" s="365"/>
    </row>
    <row r="477" spans="1:10" x14ac:dyDescent="0.25">
      <c r="A477" t="s">
        <v>365</v>
      </c>
      <c r="B477" s="622">
        <v>42761</v>
      </c>
      <c r="C477" s="364">
        <v>6000</v>
      </c>
      <c r="D477" s="623">
        <v>14.50817</v>
      </c>
      <c r="E477" s="365">
        <v>17.75</v>
      </c>
      <c r="F477" s="445">
        <f t="shared" si="178"/>
        <v>19450.98</v>
      </c>
      <c r="G477" s="365">
        <f t="shared" si="179"/>
        <v>87049.02</v>
      </c>
      <c r="H477" s="367">
        <f t="shared" si="180"/>
        <v>0.22344858104088938</v>
      </c>
      <c r="I477" s="365"/>
    </row>
    <row r="478" spans="1:10" ht="15" customHeight="1" x14ac:dyDescent="0.25">
      <c r="A478" t="s">
        <v>368</v>
      </c>
      <c r="B478" s="622">
        <v>42762</v>
      </c>
      <c r="C478" s="364">
        <v>6100</v>
      </c>
      <c r="D478" s="623">
        <v>14.553610000000001</v>
      </c>
      <c r="E478" s="365">
        <v>17.41</v>
      </c>
      <c r="F478" s="445">
        <f t="shared" si="178"/>
        <v>17423.978999999996</v>
      </c>
      <c r="G478" s="365">
        <f t="shared" si="179"/>
        <v>88777.021000000008</v>
      </c>
      <c r="H478" s="367">
        <f t="shared" si="180"/>
        <v>0.19626676817641803</v>
      </c>
      <c r="I478" s="365"/>
    </row>
    <row r="479" spans="1:10" x14ac:dyDescent="0.25">
      <c r="A479" t="s">
        <v>379</v>
      </c>
      <c r="B479" s="622">
        <v>42765</v>
      </c>
      <c r="C479" s="364">
        <v>6900</v>
      </c>
      <c r="D479" s="623">
        <v>14.793915999999999</v>
      </c>
      <c r="E479" s="365">
        <v>16.53</v>
      </c>
      <c r="F479" s="445">
        <f t="shared" si="178"/>
        <v>11978.979600000011</v>
      </c>
      <c r="G479" s="365">
        <f t="shared" si="179"/>
        <v>102078.02039999999</v>
      </c>
      <c r="H479" s="367">
        <f t="shared" si="180"/>
        <v>0.11735121383682331</v>
      </c>
      <c r="I479" s="365"/>
    </row>
    <row r="480" spans="1:10" x14ac:dyDescent="0.25">
      <c r="A480" t="s">
        <v>380</v>
      </c>
      <c r="B480" s="622">
        <v>42766</v>
      </c>
      <c r="C480" s="364">
        <v>6900</v>
      </c>
      <c r="D480" s="623">
        <v>14.783497000000001</v>
      </c>
      <c r="E480" s="365">
        <v>16.75</v>
      </c>
      <c r="F480" s="445">
        <f t="shared" si="178"/>
        <v>13568.870699999996</v>
      </c>
      <c r="G480" s="365">
        <f t="shared" si="179"/>
        <v>102006.1293</v>
      </c>
      <c r="H480" s="367">
        <f t="shared" si="180"/>
        <v>0.13302015078029233</v>
      </c>
      <c r="I480" s="365"/>
    </row>
    <row r="481" spans="1:9" x14ac:dyDescent="0.25">
      <c r="B481" s="622">
        <v>42767</v>
      </c>
      <c r="C481" s="364">
        <v>6000</v>
      </c>
      <c r="D481" s="623">
        <v>14.442175000000001</v>
      </c>
      <c r="E481" s="365">
        <v>16.59</v>
      </c>
      <c r="F481" s="445">
        <f t="shared" si="178"/>
        <v>12886.949999999995</v>
      </c>
      <c r="G481" s="365">
        <f t="shared" si="179"/>
        <v>86653.05</v>
      </c>
      <c r="H481" s="367">
        <f t="shared" si="180"/>
        <v>0.14871894295699914</v>
      </c>
      <c r="I481" s="365"/>
    </row>
    <row r="482" spans="1:9" x14ac:dyDescent="0.25">
      <c r="B482" s="622">
        <v>42767</v>
      </c>
      <c r="C482" s="364">
        <v>7000</v>
      </c>
      <c r="D482" s="623">
        <v>14.725436</v>
      </c>
      <c r="E482" s="365">
        <v>16.59</v>
      </c>
      <c r="F482" s="445">
        <f t="shared" si="178"/>
        <v>13051.947999999999</v>
      </c>
      <c r="G482" s="365">
        <f t="shared" si="179"/>
        <v>103078.052</v>
      </c>
      <c r="H482" s="367">
        <f t="shared" si="180"/>
        <v>0.1266219893251378</v>
      </c>
      <c r="I482" s="365"/>
    </row>
    <row r="483" spans="1:9" x14ac:dyDescent="0.25">
      <c r="B483" s="622">
        <v>42767</v>
      </c>
      <c r="C483" s="364">
        <v>7200</v>
      </c>
      <c r="D483" s="623">
        <v>14.771951</v>
      </c>
      <c r="E483" s="365">
        <v>16.59</v>
      </c>
      <c r="F483" s="445">
        <f t="shared" si="178"/>
        <v>13089.952800000001</v>
      </c>
      <c r="G483" s="365">
        <f t="shared" si="179"/>
        <v>106358.0472</v>
      </c>
      <c r="H483" s="367">
        <f t="shared" si="180"/>
        <v>0.12307439958337259</v>
      </c>
      <c r="I483" s="365"/>
    </row>
    <row r="484" spans="1:9" x14ac:dyDescent="0.25">
      <c r="A484" t="s">
        <v>384</v>
      </c>
      <c r="B484" s="622">
        <v>42767</v>
      </c>
      <c r="C484" s="364">
        <v>6500</v>
      </c>
      <c r="D484" s="623">
        <v>14.578353999999999</v>
      </c>
      <c r="E484" s="365">
        <v>16.59</v>
      </c>
      <c r="F484" s="445">
        <f t="shared" si="178"/>
        <v>13075.699000000004</v>
      </c>
      <c r="G484" s="365">
        <f t="shared" si="179"/>
        <v>94759.300999999992</v>
      </c>
      <c r="H484" s="367">
        <f t="shared" si="180"/>
        <v>0.13798855481215511</v>
      </c>
      <c r="I484" s="365"/>
    </row>
    <row r="485" spans="1:9" x14ac:dyDescent="0.25">
      <c r="A485" t="s">
        <v>386</v>
      </c>
      <c r="B485" s="622">
        <v>42768</v>
      </c>
      <c r="C485" s="364">
        <v>6000</v>
      </c>
      <c r="D485" s="623">
        <v>14.368788</v>
      </c>
      <c r="E485" s="365">
        <v>16.68</v>
      </c>
      <c r="F485" s="445">
        <f t="shared" si="178"/>
        <v>13867.271999999995</v>
      </c>
      <c r="G485" s="365">
        <f>IF(C485=0, 0,D485*C485)</f>
        <v>86212.728000000003</v>
      </c>
      <c r="H485" s="367">
        <f t="shared" si="180"/>
        <v>0.16084947456946261</v>
      </c>
      <c r="I485" s="365"/>
    </row>
    <row r="486" spans="1:9" x14ac:dyDescent="0.25">
      <c r="A486" t="s">
        <v>394</v>
      </c>
      <c r="B486" s="622">
        <v>42769</v>
      </c>
      <c r="C486" s="364">
        <v>5300</v>
      </c>
      <c r="D486" s="623">
        <v>14.006677</v>
      </c>
      <c r="E486" s="365">
        <v>17.23</v>
      </c>
      <c r="F486" s="445">
        <f t="shared" si="178"/>
        <v>17083.611900000004</v>
      </c>
      <c r="G486" s="365">
        <f t="shared" si="179"/>
        <v>74235.388099999996</v>
      </c>
      <c r="H486" s="367">
        <f t="shared" si="180"/>
        <v>0.2301276027140485</v>
      </c>
      <c r="I486" s="365"/>
    </row>
    <row r="487" spans="1:9" ht="15" customHeight="1" x14ac:dyDescent="0.25">
      <c r="A487" t="s">
        <v>404</v>
      </c>
      <c r="B487" s="622">
        <v>42772</v>
      </c>
      <c r="C487" s="364">
        <v>6000</v>
      </c>
      <c r="D487" s="623">
        <v>14.311230999999999</v>
      </c>
      <c r="E487" s="365">
        <v>16.52</v>
      </c>
      <c r="F487" s="445">
        <f t="shared" si="178"/>
        <v>13252.614000000001</v>
      </c>
      <c r="G487" s="365">
        <f t="shared" si="179"/>
        <v>85867.385999999999</v>
      </c>
      <c r="H487" s="367">
        <f t="shared" si="180"/>
        <v>0.15433815581622576</v>
      </c>
      <c r="I487" s="365"/>
    </row>
    <row r="488" spans="1:9" x14ac:dyDescent="0.25">
      <c r="A488" t="s">
        <v>409</v>
      </c>
      <c r="B488" s="622">
        <v>42773</v>
      </c>
      <c r="C488" s="364">
        <v>6600</v>
      </c>
      <c r="D488" s="623">
        <v>14.461574000000001</v>
      </c>
      <c r="E488" s="365">
        <v>16.03</v>
      </c>
      <c r="F488" s="445">
        <f t="shared" si="178"/>
        <v>10351.611600000004</v>
      </c>
      <c r="G488" s="365">
        <f t="shared" si="179"/>
        <v>95446.388400000011</v>
      </c>
      <c r="H488" s="367">
        <f t="shared" si="180"/>
        <v>0.10845472283998965</v>
      </c>
      <c r="I488" s="365"/>
    </row>
    <row r="489" spans="1:9" x14ac:dyDescent="0.25">
      <c r="A489" t="s">
        <v>432</v>
      </c>
      <c r="B489" s="622">
        <v>42781</v>
      </c>
      <c r="C489" s="364">
        <v>5700</v>
      </c>
      <c r="D489" s="623">
        <v>14.140828000000001</v>
      </c>
      <c r="E489" s="365">
        <v>16.3</v>
      </c>
      <c r="F489" s="445">
        <f t="shared" si="178"/>
        <v>12307.2804</v>
      </c>
      <c r="G489" s="365">
        <f t="shared" si="179"/>
        <v>80602.719600000011</v>
      </c>
      <c r="H489" s="367">
        <f t="shared" si="180"/>
        <v>0.1526906345229572</v>
      </c>
      <c r="I489" s="365"/>
    </row>
    <row r="490" spans="1:9" x14ac:dyDescent="0.25">
      <c r="A490" t="s">
        <v>434</v>
      </c>
      <c r="B490" s="622">
        <v>42782</v>
      </c>
      <c r="C490" s="364">
        <v>5700</v>
      </c>
      <c r="D490" s="623">
        <v>14.103</v>
      </c>
      <c r="E490" s="365">
        <v>16.170000000000002</v>
      </c>
      <c r="F490" s="445">
        <f t="shared" si="178"/>
        <v>11781.900000000011</v>
      </c>
      <c r="G490" s="365">
        <f t="shared" si="179"/>
        <v>80387.100000000006</v>
      </c>
      <c r="H490" s="367">
        <f t="shared" si="180"/>
        <v>0.14656456073175933</v>
      </c>
      <c r="I490" s="365"/>
    </row>
    <row r="491" spans="1:9" x14ac:dyDescent="0.25">
      <c r="B491" s="622"/>
      <c r="C491" s="364"/>
      <c r="D491" s="623"/>
      <c r="E491" s="365"/>
      <c r="F491" s="445"/>
      <c r="G491" s="365"/>
      <c r="H491" s="367"/>
      <c r="I491" s="365"/>
    </row>
    <row r="492" spans="1:9" x14ac:dyDescent="0.25">
      <c r="B492" s="622"/>
      <c r="C492" s="364"/>
      <c r="D492" s="623"/>
      <c r="E492" s="365"/>
      <c r="F492" s="445"/>
      <c r="G492" s="365"/>
      <c r="H492" s="367"/>
      <c r="I492" s="365"/>
    </row>
    <row r="493" spans="1:9" x14ac:dyDescent="0.25">
      <c r="B493" s="622"/>
      <c r="C493" s="364"/>
      <c r="D493" s="623"/>
      <c r="E493" s="365"/>
      <c r="F493" s="445"/>
      <c r="G493" s="365"/>
      <c r="H493" s="367"/>
      <c r="I493" s="365"/>
    </row>
    <row r="494" spans="1:9" x14ac:dyDescent="0.25">
      <c r="B494" s="622"/>
      <c r="C494" s="364"/>
      <c r="D494" s="623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2" t="s">
        <v>1</v>
      </c>
      <c r="B499" s="589" t="s">
        <v>2</v>
      </c>
      <c r="C499" s="512" t="s">
        <v>4</v>
      </c>
      <c r="D499" s="590" t="s">
        <v>5</v>
      </c>
      <c r="E499" s="513" t="s">
        <v>90</v>
      </c>
      <c r="F499" s="513" t="s">
        <v>60</v>
      </c>
      <c r="G499" s="512" t="s">
        <v>3</v>
      </c>
      <c r="H499" s="591" t="s">
        <v>6</v>
      </c>
      <c r="I499" s="590" t="s">
        <v>7</v>
      </c>
      <c r="J499" s="513" t="s">
        <v>89</v>
      </c>
      <c r="K499" s="513" t="s">
        <v>61</v>
      </c>
      <c r="L499" s="512" t="s">
        <v>37</v>
      </c>
      <c r="M499" s="513" t="s">
        <v>38</v>
      </c>
    </row>
    <row r="500" spans="1:13" x14ac:dyDescent="0.25">
      <c r="A500" s="514" t="s">
        <v>50</v>
      </c>
      <c r="B500" s="547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5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6" t="s">
        <v>71</v>
      </c>
      <c r="B501" s="547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81">C501*D501+E501</f>
        <v>2172.1799999999998</v>
      </c>
      <c r="G501" s="498">
        <v>42199</v>
      </c>
      <c r="H501" s="515">
        <v>102</v>
      </c>
      <c r="I501" s="500">
        <v>25.28</v>
      </c>
      <c r="J501" s="501">
        <v>0.05</v>
      </c>
      <c r="K501" s="501">
        <f t="shared" ref="K501:K528" si="182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7">
        <v>42187</v>
      </c>
      <c r="C502" s="499">
        <v>1000</v>
      </c>
      <c r="D502" s="500">
        <v>27.1</v>
      </c>
      <c r="E502" s="501">
        <v>0</v>
      </c>
      <c r="F502" s="501">
        <f t="shared" si="181"/>
        <v>27100</v>
      </c>
      <c r="G502" s="498">
        <v>42227</v>
      </c>
      <c r="H502" s="515">
        <v>200</v>
      </c>
      <c r="I502" s="500">
        <v>19.649999999999999</v>
      </c>
      <c r="J502" s="501">
        <v>7.0000000000000007E-2</v>
      </c>
      <c r="K502" s="501">
        <f t="shared" si="182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0">
        <v>42187</v>
      </c>
      <c r="C503" s="499">
        <v>500</v>
      </c>
      <c r="D503" s="500">
        <v>27.039332999999999</v>
      </c>
      <c r="E503" s="501">
        <v>0</v>
      </c>
      <c r="F503" s="501">
        <f t="shared" si="181"/>
        <v>13519.666499999999</v>
      </c>
      <c r="G503" s="498">
        <v>42227</v>
      </c>
      <c r="H503" s="515">
        <v>200</v>
      </c>
      <c r="I503" s="500">
        <v>18.7</v>
      </c>
      <c r="J503" s="501">
        <v>7.0000000000000007E-2</v>
      </c>
      <c r="K503" s="501">
        <f t="shared" si="182"/>
        <v>3739.93</v>
      </c>
      <c r="L503" s="498">
        <v>42625</v>
      </c>
      <c r="M503" s="501">
        <v>433.9</v>
      </c>
    </row>
    <row r="504" spans="1:13" x14ac:dyDescent="0.25">
      <c r="A504" s="499"/>
      <c r="B504" s="610"/>
      <c r="C504" s="499">
        <v>500</v>
      </c>
      <c r="D504" s="500">
        <v>27.039332999999999</v>
      </c>
      <c r="E504" s="501">
        <v>0</v>
      </c>
      <c r="F504" s="501">
        <f t="shared" si="181"/>
        <v>13519.666499999999</v>
      </c>
      <c r="G504" s="498">
        <v>42257</v>
      </c>
      <c r="H504" s="515">
        <v>1600</v>
      </c>
      <c r="I504" s="500">
        <v>16.445</v>
      </c>
      <c r="J504" s="501">
        <v>0.48</v>
      </c>
      <c r="K504" s="501">
        <f t="shared" si="182"/>
        <v>26311.52</v>
      </c>
      <c r="L504" s="498">
        <v>42716</v>
      </c>
      <c r="M504" s="501">
        <v>500</v>
      </c>
    </row>
    <row r="505" spans="1:13" x14ac:dyDescent="0.25">
      <c r="A505" s="499"/>
      <c r="B505" s="610"/>
      <c r="C505" s="499">
        <v>500</v>
      </c>
      <c r="D505" s="500">
        <v>27.039332999999999</v>
      </c>
      <c r="E505" s="501">
        <v>0</v>
      </c>
      <c r="F505" s="501">
        <f t="shared" si="181"/>
        <v>13519.666499999999</v>
      </c>
      <c r="G505" s="611">
        <v>42265</v>
      </c>
      <c r="H505" s="515">
        <v>200</v>
      </c>
      <c r="I505" s="500">
        <v>15.65</v>
      </c>
      <c r="J505" s="501">
        <v>0.05</v>
      </c>
      <c r="K505" s="501">
        <f t="shared" si="182"/>
        <v>3129.95</v>
      </c>
      <c r="L505" s="499"/>
      <c r="M505" s="501"/>
    </row>
    <row r="506" spans="1:13" x14ac:dyDescent="0.25">
      <c r="A506" s="499"/>
      <c r="B506" s="610"/>
      <c r="C506" s="499">
        <v>500</v>
      </c>
      <c r="D506" s="500">
        <v>27.039332999999999</v>
      </c>
      <c r="E506" s="501">
        <v>0</v>
      </c>
      <c r="F506" s="501">
        <f t="shared" si="181"/>
        <v>13519.666499999999</v>
      </c>
      <c r="G506" s="611"/>
      <c r="H506" s="515">
        <v>2400</v>
      </c>
      <c r="I506" s="500">
        <v>15.7</v>
      </c>
      <c r="J506" s="501">
        <v>0.7</v>
      </c>
      <c r="K506" s="501">
        <f t="shared" si="182"/>
        <v>37679.300000000003</v>
      </c>
      <c r="L506" s="499"/>
      <c r="M506" s="501"/>
    </row>
    <row r="507" spans="1:13" x14ac:dyDescent="0.25">
      <c r="A507" s="499"/>
      <c r="B507" s="610"/>
      <c r="C507" s="499">
        <v>1000</v>
      </c>
      <c r="D507" s="500">
        <v>27.039332999999999</v>
      </c>
      <c r="E507" s="501">
        <v>0</v>
      </c>
      <c r="F507" s="501">
        <f t="shared" si="181"/>
        <v>27039.332999999999</v>
      </c>
      <c r="G507" s="498">
        <v>42271</v>
      </c>
      <c r="H507" s="592">
        <v>918</v>
      </c>
      <c r="I507" s="593">
        <v>16.45</v>
      </c>
      <c r="J507" s="594">
        <v>0.28000000000000003</v>
      </c>
      <c r="K507" s="594">
        <f t="shared" si="182"/>
        <v>15100.819999999998</v>
      </c>
      <c r="L507" s="499"/>
      <c r="M507" s="501"/>
    </row>
    <row r="508" spans="1:13" ht="60" x14ac:dyDescent="0.25">
      <c r="A508" s="499"/>
      <c r="B508" s="547">
        <v>42198</v>
      </c>
      <c r="C508" s="499">
        <v>100</v>
      </c>
      <c r="D508" s="500">
        <v>24.77</v>
      </c>
      <c r="E508" s="501">
        <v>0</v>
      </c>
      <c r="F508" s="501">
        <f t="shared" si="181"/>
        <v>2477</v>
      </c>
      <c r="G508" s="612" t="s">
        <v>139</v>
      </c>
      <c r="H508" s="515">
        <v>500</v>
      </c>
      <c r="I508" s="500">
        <v>15.95</v>
      </c>
      <c r="J508" s="501">
        <v>0.15</v>
      </c>
      <c r="K508" s="594">
        <f t="shared" si="182"/>
        <v>7974.85</v>
      </c>
      <c r="L508" s="499"/>
      <c r="M508" s="501"/>
    </row>
    <row r="509" spans="1:13" x14ac:dyDescent="0.25">
      <c r="A509" s="499"/>
      <c r="B509" s="547">
        <v>42205</v>
      </c>
      <c r="C509" s="499">
        <v>50</v>
      </c>
      <c r="D509" s="500">
        <v>24.35</v>
      </c>
      <c r="E509" s="501">
        <v>0</v>
      </c>
      <c r="F509" s="501">
        <f t="shared" si="181"/>
        <v>1217.5</v>
      </c>
      <c r="G509" s="612"/>
      <c r="H509" s="515">
        <v>500</v>
      </c>
      <c r="I509" s="500">
        <v>16.100000000000001</v>
      </c>
      <c r="J509" s="501">
        <v>0.15</v>
      </c>
      <c r="K509" s="594">
        <f t="shared" si="182"/>
        <v>8049.8500000000013</v>
      </c>
      <c r="L509" s="499"/>
      <c r="M509" s="501"/>
    </row>
    <row r="510" spans="1:13" x14ac:dyDescent="0.25">
      <c r="A510" s="499"/>
      <c r="B510" s="547">
        <v>42207</v>
      </c>
      <c r="C510" s="499">
        <v>20</v>
      </c>
      <c r="D510" s="500">
        <v>24.02</v>
      </c>
      <c r="E510" s="501">
        <v>0</v>
      </c>
      <c r="F510" s="501">
        <f t="shared" si="181"/>
        <v>480.4</v>
      </c>
      <c r="G510" s="612"/>
      <c r="H510" s="515">
        <v>500</v>
      </c>
      <c r="I510" s="500">
        <v>16.170000000000002</v>
      </c>
      <c r="J510" s="501">
        <v>0.15</v>
      </c>
      <c r="K510" s="594">
        <f t="shared" si="182"/>
        <v>8084.8500000000013</v>
      </c>
      <c r="L510" s="499"/>
      <c r="M510" s="501"/>
    </row>
    <row r="511" spans="1:13" x14ac:dyDescent="0.25">
      <c r="A511" s="499"/>
      <c r="B511" s="547">
        <v>42207</v>
      </c>
      <c r="C511" s="499">
        <v>20</v>
      </c>
      <c r="D511" s="500">
        <v>23.91</v>
      </c>
      <c r="E511" s="501">
        <v>0</v>
      </c>
      <c r="F511" s="501">
        <f t="shared" si="181"/>
        <v>478.2</v>
      </c>
      <c r="G511" s="612"/>
      <c r="H511" s="515">
        <v>500</v>
      </c>
      <c r="I511" s="500">
        <v>16.28</v>
      </c>
      <c r="J511" s="501">
        <v>0.15</v>
      </c>
      <c r="K511" s="594">
        <f t="shared" si="182"/>
        <v>8139.8500000000013</v>
      </c>
      <c r="L511" s="501"/>
      <c r="M511" s="501"/>
    </row>
    <row r="512" spans="1:13" ht="15" customHeight="1" x14ac:dyDescent="0.25">
      <c r="A512" s="499"/>
      <c r="B512" s="547">
        <v>42207</v>
      </c>
      <c r="C512" s="499">
        <v>20</v>
      </c>
      <c r="D512" s="500">
        <v>23.7</v>
      </c>
      <c r="E512" s="501">
        <v>0</v>
      </c>
      <c r="F512" s="501">
        <f t="shared" si="181"/>
        <v>474</v>
      </c>
      <c r="G512" s="612"/>
      <c r="H512" s="515">
        <v>500</v>
      </c>
      <c r="I512" s="500">
        <v>16.39</v>
      </c>
      <c r="J512" s="501">
        <v>0.15</v>
      </c>
      <c r="K512" s="594">
        <f t="shared" si="182"/>
        <v>8194.85</v>
      </c>
      <c r="L512" s="499"/>
      <c r="M512" s="501"/>
    </row>
    <row r="513" spans="1:13" x14ac:dyDescent="0.25">
      <c r="A513" s="499"/>
      <c r="B513" s="547">
        <v>42207</v>
      </c>
      <c r="C513" s="499">
        <v>20</v>
      </c>
      <c r="D513" s="500">
        <v>23.6</v>
      </c>
      <c r="E513" s="501">
        <v>0</v>
      </c>
      <c r="F513" s="501">
        <f t="shared" si="181"/>
        <v>472</v>
      </c>
      <c r="G513" s="612"/>
      <c r="H513" s="515">
        <v>500</v>
      </c>
      <c r="I513" s="500">
        <v>16.55</v>
      </c>
      <c r="J513" s="501">
        <v>0.17</v>
      </c>
      <c r="K513" s="594">
        <f t="shared" si="182"/>
        <v>8274.83</v>
      </c>
      <c r="L513" s="499"/>
      <c r="M513" s="501"/>
    </row>
    <row r="514" spans="1:13" x14ac:dyDescent="0.25">
      <c r="A514" s="499"/>
      <c r="B514" s="547">
        <v>42209</v>
      </c>
      <c r="C514" s="499">
        <v>40</v>
      </c>
      <c r="D514" s="500">
        <v>22.3</v>
      </c>
      <c r="E514" s="501">
        <v>0</v>
      </c>
      <c r="F514" s="501">
        <f t="shared" si="181"/>
        <v>892</v>
      </c>
      <c r="G514" s="612"/>
      <c r="H514" s="515">
        <v>50</v>
      </c>
      <c r="I514" s="500">
        <v>16.55</v>
      </c>
      <c r="J514" s="501">
        <v>0</v>
      </c>
      <c r="K514" s="594">
        <f t="shared" si="182"/>
        <v>827.5</v>
      </c>
      <c r="L514" s="499"/>
      <c r="M514" s="501"/>
    </row>
    <row r="515" spans="1:13" x14ac:dyDescent="0.25">
      <c r="A515" s="501"/>
      <c r="B515" s="547">
        <v>42221</v>
      </c>
      <c r="C515" s="499">
        <v>12</v>
      </c>
      <c r="D515" s="500">
        <v>20.95</v>
      </c>
      <c r="E515" s="501">
        <v>0</v>
      </c>
      <c r="F515" s="501">
        <f t="shared" si="181"/>
        <v>251.39999999999998</v>
      </c>
      <c r="G515" s="612"/>
      <c r="H515" s="515">
        <v>28</v>
      </c>
      <c r="I515" s="500">
        <v>16.68</v>
      </c>
      <c r="J515" s="501">
        <v>0.01</v>
      </c>
      <c r="K515" s="594">
        <f t="shared" si="182"/>
        <v>467.03</v>
      </c>
      <c r="L515" s="515"/>
      <c r="M515" s="501"/>
    </row>
    <row r="516" spans="1:13" x14ac:dyDescent="0.25">
      <c r="A516" s="499"/>
      <c r="B516" s="547">
        <v>42223</v>
      </c>
      <c r="C516" s="499">
        <v>100</v>
      </c>
      <c r="D516" s="500">
        <v>20.399999999999999</v>
      </c>
      <c r="E516" s="501">
        <v>0</v>
      </c>
      <c r="F516" s="501">
        <f t="shared" si="181"/>
        <v>2039.9999999999998</v>
      </c>
      <c r="G516" s="498">
        <v>42285</v>
      </c>
      <c r="H516" s="515">
        <v>632</v>
      </c>
      <c r="I516" s="500">
        <v>17.850000000000001</v>
      </c>
      <c r="J516" s="501">
        <v>0.21</v>
      </c>
      <c r="K516" s="594">
        <f t="shared" si="182"/>
        <v>11280.990000000002</v>
      </c>
      <c r="L516" s="501"/>
      <c r="M516" s="501"/>
    </row>
    <row r="517" spans="1:13" x14ac:dyDescent="0.25">
      <c r="A517" s="501"/>
      <c r="B517" s="547">
        <v>42226</v>
      </c>
      <c r="C517" s="499">
        <v>200</v>
      </c>
      <c r="D517" s="500">
        <v>19.95</v>
      </c>
      <c r="E517" s="501">
        <v>0</v>
      </c>
      <c r="F517" s="501">
        <f t="shared" si="181"/>
        <v>3990</v>
      </c>
      <c r="G517" s="498">
        <v>42297</v>
      </c>
      <c r="H517" s="515">
        <v>500</v>
      </c>
      <c r="I517" s="500">
        <v>19.149999999999999</v>
      </c>
      <c r="J517" s="501">
        <v>0.18</v>
      </c>
      <c r="K517" s="594">
        <f t="shared" si="182"/>
        <v>9574.82</v>
      </c>
      <c r="L517" s="499"/>
      <c r="M517" s="501"/>
    </row>
    <row r="518" spans="1:13" x14ac:dyDescent="0.25">
      <c r="A518" s="499"/>
      <c r="B518" s="547">
        <v>42226</v>
      </c>
      <c r="C518" s="499">
        <v>50</v>
      </c>
      <c r="D518" s="500">
        <v>20.010000000000002</v>
      </c>
      <c r="E518" s="501">
        <v>0</v>
      </c>
      <c r="F518" s="501">
        <f t="shared" si="181"/>
        <v>1000.5000000000001</v>
      </c>
      <c r="G518" s="498">
        <v>42300</v>
      </c>
      <c r="H518" s="515">
        <v>1000</v>
      </c>
      <c r="I518" s="500">
        <v>18.62</v>
      </c>
      <c r="J518" s="501">
        <v>0.34</v>
      </c>
      <c r="K518" s="594">
        <f t="shared" si="182"/>
        <v>18619.66</v>
      </c>
      <c r="L518" s="499"/>
      <c r="M518" s="501"/>
    </row>
    <row r="519" spans="1:13" x14ac:dyDescent="0.25">
      <c r="A519" s="499"/>
      <c r="B519" s="547">
        <v>42226</v>
      </c>
      <c r="C519" s="499">
        <v>100</v>
      </c>
      <c r="D519" s="500">
        <v>20.2</v>
      </c>
      <c r="E519" s="501">
        <v>0</v>
      </c>
      <c r="F519" s="501">
        <f t="shared" si="181"/>
        <v>2020</v>
      </c>
      <c r="G519" s="498">
        <v>42312</v>
      </c>
      <c r="H519" s="515">
        <v>2500</v>
      </c>
      <c r="I519" s="500">
        <v>18.48</v>
      </c>
      <c r="J519" s="501">
        <v>7.8</v>
      </c>
      <c r="K519" s="501">
        <f t="shared" si="182"/>
        <v>46192.2</v>
      </c>
      <c r="L519" s="499"/>
      <c r="M519" s="501"/>
    </row>
    <row r="520" spans="1:13" x14ac:dyDescent="0.25">
      <c r="A520" s="499"/>
      <c r="B520" s="547">
        <v>42227</v>
      </c>
      <c r="C520" s="499">
        <v>200</v>
      </c>
      <c r="D520" s="500">
        <v>18.399999999999999</v>
      </c>
      <c r="E520" s="501">
        <v>0</v>
      </c>
      <c r="F520" s="501">
        <f t="shared" si="181"/>
        <v>3679.9999999999995</v>
      </c>
      <c r="G520" s="498">
        <v>42313</v>
      </c>
      <c r="H520" s="515">
        <v>3000</v>
      </c>
      <c r="I520" s="500">
        <v>19.059999999999999</v>
      </c>
      <c r="J520" s="501">
        <v>1.05</v>
      </c>
      <c r="K520" s="501">
        <f t="shared" si="182"/>
        <v>57178.94999999999</v>
      </c>
      <c r="L520" s="499"/>
      <c r="M520" s="501"/>
    </row>
    <row r="521" spans="1:13" x14ac:dyDescent="0.25">
      <c r="A521" s="499"/>
      <c r="B521" s="547">
        <v>42227</v>
      </c>
      <c r="C521" s="499">
        <v>200</v>
      </c>
      <c r="D521" s="500">
        <v>19.55</v>
      </c>
      <c r="E521" s="501">
        <v>0</v>
      </c>
      <c r="F521" s="501">
        <f t="shared" si="181"/>
        <v>3910</v>
      </c>
      <c r="G521" s="498">
        <v>42324</v>
      </c>
      <c r="H521" s="515">
        <v>2500</v>
      </c>
      <c r="I521" s="500">
        <v>18.8</v>
      </c>
      <c r="J521" s="501">
        <v>0.86</v>
      </c>
      <c r="K521" s="501">
        <f t="shared" si="182"/>
        <v>46999.14</v>
      </c>
      <c r="L521" s="501"/>
      <c r="M521" s="501"/>
    </row>
    <row r="522" spans="1:13" x14ac:dyDescent="0.25">
      <c r="A522" s="499"/>
      <c r="B522" s="547">
        <v>42234</v>
      </c>
      <c r="C522" s="499">
        <v>40</v>
      </c>
      <c r="D522" s="500">
        <v>18.149999999999999</v>
      </c>
      <c r="E522" s="501">
        <v>0</v>
      </c>
      <c r="F522" s="501">
        <f t="shared" si="181"/>
        <v>726</v>
      </c>
      <c r="G522" s="498">
        <v>42335</v>
      </c>
      <c r="H522" s="515">
        <v>3078</v>
      </c>
      <c r="I522" s="500">
        <v>17.649999999999999</v>
      </c>
      <c r="J522" s="501">
        <v>1</v>
      </c>
      <c r="K522" s="501">
        <f t="shared" si="182"/>
        <v>54325.7</v>
      </c>
      <c r="L522" s="499"/>
      <c r="M522" s="501"/>
    </row>
    <row r="523" spans="1:13" x14ac:dyDescent="0.25">
      <c r="A523" s="499"/>
      <c r="B523" s="547">
        <v>42234</v>
      </c>
      <c r="C523" s="499">
        <v>100</v>
      </c>
      <c r="D523" s="500">
        <v>18</v>
      </c>
      <c r="E523" s="501">
        <v>0</v>
      </c>
      <c r="F523" s="501">
        <f t="shared" si="181"/>
        <v>1800</v>
      </c>
      <c r="G523" s="498">
        <v>42347</v>
      </c>
      <c r="H523" s="515">
        <v>500</v>
      </c>
      <c r="I523" s="500">
        <v>16.149999999999999</v>
      </c>
      <c r="J523" s="501">
        <v>0.15</v>
      </c>
      <c r="K523" s="501">
        <f t="shared" si="182"/>
        <v>8074.8499999999995</v>
      </c>
      <c r="L523" s="499"/>
      <c r="M523" s="501"/>
    </row>
    <row r="524" spans="1:13" x14ac:dyDescent="0.25">
      <c r="A524" s="499"/>
      <c r="B524" s="547">
        <v>42235</v>
      </c>
      <c r="C524" s="499">
        <v>100</v>
      </c>
      <c r="D524" s="500">
        <v>17.78</v>
      </c>
      <c r="E524" s="501">
        <v>0</v>
      </c>
      <c r="F524" s="501">
        <f t="shared" si="181"/>
        <v>1778</v>
      </c>
      <c r="G524" s="498">
        <v>42353</v>
      </c>
      <c r="H524" s="515">
        <v>600</v>
      </c>
      <c r="I524" s="500">
        <v>14.95</v>
      </c>
      <c r="J524" s="501">
        <v>0.17</v>
      </c>
      <c r="K524" s="501">
        <f t="shared" si="182"/>
        <v>8969.83</v>
      </c>
      <c r="L524" s="499"/>
      <c r="M524" s="501"/>
    </row>
    <row r="525" spans="1:13" x14ac:dyDescent="0.25">
      <c r="A525" s="499"/>
      <c r="B525" s="547">
        <v>42235</v>
      </c>
      <c r="C525" s="499">
        <v>100</v>
      </c>
      <c r="D525" s="500">
        <v>17.68</v>
      </c>
      <c r="E525" s="501">
        <v>0</v>
      </c>
      <c r="F525" s="501">
        <f t="shared" si="181"/>
        <v>1768</v>
      </c>
      <c r="G525" s="498">
        <v>42354</v>
      </c>
      <c r="H525" s="515">
        <v>500</v>
      </c>
      <c r="I525" s="500">
        <v>14.32</v>
      </c>
      <c r="J525" s="501">
        <v>0.13</v>
      </c>
      <c r="K525" s="501">
        <f t="shared" si="182"/>
        <v>7159.87</v>
      </c>
      <c r="L525" s="499"/>
      <c r="M525" s="501"/>
    </row>
    <row r="526" spans="1:13" x14ac:dyDescent="0.25">
      <c r="A526" s="499"/>
      <c r="B526" s="547">
        <v>42240</v>
      </c>
      <c r="C526" s="499">
        <v>100</v>
      </c>
      <c r="D526" s="500">
        <v>16.649999999999999</v>
      </c>
      <c r="E526" s="501">
        <v>0</v>
      </c>
      <c r="F526" s="501">
        <f t="shared" si="181"/>
        <v>1664.9999999999998</v>
      </c>
      <c r="G526" s="498">
        <v>42361</v>
      </c>
      <c r="H526" s="515">
        <v>500</v>
      </c>
      <c r="I526" s="500">
        <v>12.83</v>
      </c>
      <c r="J526" s="501">
        <v>0.12</v>
      </c>
      <c r="K526" s="501">
        <f t="shared" si="182"/>
        <v>6414.88</v>
      </c>
      <c r="L526" s="499"/>
      <c r="M526" s="501"/>
    </row>
    <row r="527" spans="1:13" x14ac:dyDescent="0.25">
      <c r="A527" s="499"/>
      <c r="B527" s="547">
        <v>42240</v>
      </c>
      <c r="C527" s="499">
        <v>100</v>
      </c>
      <c r="D527" s="500">
        <v>16.100000000000001</v>
      </c>
      <c r="E527" s="501">
        <v>0</v>
      </c>
      <c r="F527" s="501">
        <f t="shared" si="181"/>
        <v>1610.0000000000002</v>
      </c>
      <c r="G527" s="498">
        <v>42362</v>
      </c>
      <c r="H527" s="515">
        <v>1222</v>
      </c>
      <c r="I527" s="500">
        <v>12.75</v>
      </c>
      <c r="J527" s="501">
        <v>0.28999999999999998</v>
      </c>
      <c r="K527" s="501">
        <f t="shared" si="182"/>
        <v>15580.21</v>
      </c>
      <c r="L527" s="499"/>
      <c r="M527" s="501"/>
    </row>
    <row r="528" spans="1:13" x14ac:dyDescent="0.25">
      <c r="A528" s="499"/>
      <c r="B528" s="547">
        <v>42257</v>
      </c>
      <c r="C528" s="499">
        <v>1500</v>
      </c>
      <c r="D528" s="500">
        <v>16.350000000000001</v>
      </c>
      <c r="E528" s="501">
        <v>0</v>
      </c>
      <c r="F528" s="501">
        <f t="shared" si="181"/>
        <v>24525.000000000004</v>
      </c>
      <c r="G528" s="498">
        <v>42367</v>
      </c>
      <c r="H528" s="515">
        <v>1000</v>
      </c>
      <c r="I528" s="500">
        <v>13.15</v>
      </c>
      <c r="J528" s="501">
        <v>0.24</v>
      </c>
      <c r="K528" s="501">
        <f t="shared" si="182"/>
        <v>13149.76</v>
      </c>
      <c r="L528" s="499"/>
      <c r="M528" s="501"/>
    </row>
    <row r="529" spans="1:13" x14ac:dyDescent="0.25">
      <c r="A529" s="499"/>
      <c r="B529" s="547">
        <v>42258</v>
      </c>
      <c r="C529" s="499">
        <v>100</v>
      </c>
      <c r="D529" s="500">
        <v>16.100000000000001</v>
      </c>
      <c r="E529" s="501">
        <v>0</v>
      </c>
      <c r="F529" s="501">
        <f t="shared" si="181"/>
        <v>1610.0000000000002</v>
      </c>
      <c r="G529" s="498">
        <v>42367</v>
      </c>
      <c r="H529" s="515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7">
        <v>42261</v>
      </c>
      <c r="C530" s="499">
        <v>1000</v>
      </c>
      <c r="D530" s="500">
        <v>15.416</v>
      </c>
      <c r="E530" s="501">
        <v>0</v>
      </c>
      <c r="F530" s="501">
        <f t="shared" si="181"/>
        <v>15416</v>
      </c>
      <c r="G530" s="498">
        <v>42010</v>
      </c>
      <c r="H530" s="515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7">
        <v>42261</v>
      </c>
      <c r="C531" s="499">
        <v>1000</v>
      </c>
      <c r="D531" s="500">
        <v>15.1</v>
      </c>
      <c r="E531" s="501">
        <v>0</v>
      </c>
      <c r="F531" s="501">
        <f t="shared" si="181"/>
        <v>15100</v>
      </c>
      <c r="G531" s="595">
        <v>42374</v>
      </c>
      <c r="H531" s="515">
        <v>2000</v>
      </c>
      <c r="I531" s="500">
        <v>12.81</v>
      </c>
      <c r="J531" s="501">
        <v>0.47</v>
      </c>
      <c r="K531" s="501">
        <f t="shared" ref="K531:K543" si="183">H531*I531-J531</f>
        <v>25619.53</v>
      </c>
      <c r="L531" s="499"/>
      <c r="M531" s="501"/>
    </row>
    <row r="532" spans="1:13" x14ac:dyDescent="0.25">
      <c r="A532" s="499"/>
      <c r="B532" s="547">
        <v>42261</v>
      </c>
      <c r="C532" s="499">
        <v>200</v>
      </c>
      <c r="D532" s="500">
        <v>14.87</v>
      </c>
      <c r="E532" s="501">
        <v>0</v>
      </c>
      <c r="F532" s="501">
        <f t="shared" si="181"/>
        <v>2974</v>
      </c>
      <c r="G532" s="498">
        <v>42374</v>
      </c>
      <c r="H532" s="515">
        <v>1000</v>
      </c>
      <c r="I532" s="500">
        <v>12.82</v>
      </c>
      <c r="J532" s="501">
        <v>0.24</v>
      </c>
      <c r="K532" s="501">
        <f t="shared" si="183"/>
        <v>12819.76</v>
      </c>
      <c r="L532" s="499"/>
      <c r="M532" s="501"/>
    </row>
    <row r="533" spans="1:13" x14ac:dyDescent="0.25">
      <c r="A533" s="499"/>
      <c r="B533" s="547">
        <v>42261</v>
      </c>
      <c r="C533" s="499">
        <v>300</v>
      </c>
      <c r="D533" s="500">
        <v>14.87</v>
      </c>
      <c r="E533" s="501">
        <v>0</v>
      </c>
      <c r="F533" s="501">
        <f t="shared" si="181"/>
        <v>4461</v>
      </c>
      <c r="G533" s="498">
        <v>42398</v>
      </c>
      <c r="H533" s="515">
        <v>400</v>
      </c>
      <c r="I533" s="500">
        <v>9.5500000000000007</v>
      </c>
      <c r="J533" s="501">
        <v>7.0000000000000007E-2</v>
      </c>
      <c r="K533" s="501">
        <f t="shared" si="183"/>
        <v>3819.9300000000003</v>
      </c>
      <c r="L533" s="499"/>
      <c r="M533" s="501"/>
    </row>
    <row r="534" spans="1:13" x14ac:dyDescent="0.25">
      <c r="A534" s="499"/>
      <c r="B534" s="547">
        <v>42270</v>
      </c>
      <c r="C534" s="499">
        <v>478</v>
      </c>
      <c r="D534" s="500">
        <v>15.85</v>
      </c>
      <c r="E534" s="501">
        <v>0</v>
      </c>
      <c r="F534" s="501">
        <f t="shared" si="181"/>
        <v>7576.3</v>
      </c>
      <c r="G534" s="498">
        <v>42411</v>
      </c>
      <c r="H534" s="515">
        <v>500</v>
      </c>
      <c r="I534" s="500">
        <v>6.97</v>
      </c>
      <c r="J534" s="501">
        <v>0.08</v>
      </c>
      <c r="K534" s="501">
        <f t="shared" si="183"/>
        <v>3484.92</v>
      </c>
      <c r="L534" s="499"/>
      <c r="M534" s="501"/>
    </row>
    <row r="535" spans="1:13" x14ac:dyDescent="0.25">
      <c r="A535" s="499"/>
      <c r="B535" s="547">
        <v>42292</v>
      </c>
      <c r="C535" s="499">
        <v>500</v>
      </c>
      <c r="D535" s="500">
        <v>18.55</v>
      </c>
      <c r="E535" s="501">
        <v>0</v>
      </c>
      <c r="F535" s="501">
        <f t="shared" si="181"/>
        <v>9275</v>
      </c>
      <c r="G535" s="498">
        <v>42412</v>
      </c>
      <c r="H535" s="515">
        <v>200</v>
      </c>
      <c r="I535" s="500">
        <v>7.45</v>
      </c>
      <c r="J535" s="501">
        <v>0.03</v>
      </c>
      <c r="K535" s="501">
        <f t="shared" si="183"/>
        <v>1489.97</v>
      </c>
      <c r="L535" s="499"/>
      <c r="M535" s="501"/>
    </row>
    <row r="536" spans="1:13" x14ac:dyDescent="0.25">
      <c r="A536" s="499"/>
      <c r="B536" s="547">
        <v>42299</v>
      </c>
      <c r="C536" s="499">
        <v>500</v>
      </c>
      <c r="D536" s="500">
        <v>18.55</v>
      </c>
      <c r="E536" s="501">
        <v>0</v>
      </c>
      <c r="F536" s="501">
        <f t="shared" si="181"/>
        <v>9275</v>
      </c>
      <c r="G536" s="498">
        <v>42416</v>
      </c>
      <c r="H536" s="515">
        <v>500</v>
      </c>
      <c r="I536" s="500">
        <v>7.75</v>
      </c>
      <c r="J536" s="501">
        <v>0.08</v>
      </c>
      <c r="K536" s="501">
        <f t="shared" si="183"/>
        <v>3874.92</v>
      </c>
      <c r="L536" s="499"/>
      <c r="M536" s="501"/>
    </row>
    <row r="537" spans="1:13" x14ac:dyDescent="0.25">
      <c r="A537" s="499"/>
      <c r="B537" s="547">
        <v>42299</v>
      </c>
      <c r="C537" s="499">
        <v>500</v>
      </c>
      <c r="D537" s="500">
        <v>18.28</v>
      </c>
      <c r="E537" s="501">
        <v>0</v>
      </c>
      <c r="F537" s="501">
        <f t="shared" si="181"/>
        <v>9140</v>
      </c>
      <c r="G537" s="498">
        <v>42422</v>
      </c>
      <c r="H537" s="515">
        <v>2500</v>
      </c>
      <c r="I537" s="500">
        <v>7.47</v>
      </c>
      <c r="J537" s="501">
        <v>0.41</v>
      </c>
      <c r="K537" s="501">
        <f t="shared" si="183"/>
        <v>18674.59</v>
      </c>
      <c r="L537" s="499"/>
      <c r="M537" s="501"/>
    </row>
    <row r="538" spans="1:13" x14ac:dyDescent="0.25">
      <c r="A538" s="499"/>
      <c r="B538" s="547">
        <v>42299</v>
      </c>
      <c r="C538" s="499">
        <v>1000</v>
      </c>
      <c r="D538" s="500">
        <v>18.100000000000001</v>
      </c>
      <c r="E538" s="501">
        <v>0</v>
      </c>
      <c r="F538" s="501">
        <f t="shared" si="181"/>
        <v>18100</v>
      </c>
      <c r="G538" s="498">
        <v>42422</v>
      </c>
      <c r="H538" s="515">
        <v>1000</v>
      </c>
      <c r="I538" s="500">
        <v>7.49</v>
      </c>
      <c r="J538" s="501">
        <v>0.16</v>
      </c>
      <c r="K538" s="501">
        <f t="shared" si="183"/>
        <v>7489.84</v>
      </c>
      <c r="L538" s="499"/>
      <c r="M538" s="501"/>
    </row>
    <row r="539" spans="1:13" x14ac:dyDescent="0.25">
      <c r="A539" s="499"/>
      <c r="B539" s="610">
        <v>42306</v>
      </c>
      <c r="C539" s="499">
        <v>660</v>
      </c>
      <c r="D539" s="500">
        <v>17.8</v>
      </c>
      <c r="E539" s="501">
        <v>0</v>
      </c>
      <c r="F539" s="501">
        <f t="shared" si="181"/>
        <v>11748</v>
      </c>
      <c r="G539" s="498">
        <v>42426</v>
      </c>
      <c r="H539" s="515">
        <v>900</v>
      </c>
      <c r="I539" s="500">
        <v>7.7</v>
      </c>
      <c r="J539" s="501">
        <v>0.15</v>
      </c>
      <c r="K539" s="501">
        <f t="shared" si="183"/>
        <v>6929.85</v>
      </c>
      <c r="L539" s="499"/>
      <c r="M539" s="501"/>
    </row>
    <row r="540" spans="1:13" ht="30" x14ac:dyDescent="0.25">
      <c r="A540" s="499"/>
      <c r="B540" s="610"/>
      <c r="C540" s="499">
        <v>340</v>
      </c>
      <c r="D540" s="500">
        <v>17.8</v>
      </c>
      <c r="E540" s="501">
        <v>0</v>
      </c>
      <c r="F540" s="501">
        <f t="shared" si="181"/>
        <v>6052</v>
      </c>
      <c r="G540" s="613" t="s">
        <v>181</v>
      </c>
      <c r="H540" s="515">
        <v>500</v>
      </c>
      <c r="I540" s="500">
        <v>7.73</v>
      </c>
      <c r="J540" s="501">
        <v>0.08</v>
      </c>
      <c r="K540" s="501">
        <f t="shared" si="183"/>
        <v>3864.92</v>
      </c>
      <c r="L540" s="499"/>
      <c r="M540" s="501"/>
    </row>
    <row r="541" spans="1:13" x14ac:dyDescent="0.25">
      <c r="A541" s="499"/>
      <c r="B541" s="547">
        <v>42312</v>
      </c>
      <c r="C541" s="596">
        <v>500</v>
      </c>
      <c r="D541" s="593">
        <v>17.559999999999999</v>
      </c>
      <c r="E541" s="594">
        <v>6.95</v>
      </c>
      <c r="F541" s="594">
        <f t="shared" si="181"/>
        <v>8786.9500000000007</v>
      </c>
      <c r="G541" s="613"/>
      <c r="H541" s="515">
        <v>500</v>
      </c>
      <c r="I541" s="500">
        <v>7.96</v>
      </c>
      <c r="J541" s="501">
        <v>0.09</v>
      </c>
      <c r="K541" s="501">
        <f t="shared" si="183"/>
        <v>3979.91</v>
      </c>
      <c r="L541" s="499"/>
      <c r="M541" s="501"/>
    </row>
    <row r="542" spans="1:13" x14ac:dyDescent="0.25">
      <c r="A542" s="499"/>
      <c r="B542" s="547">
        <v>42313</v>
      </c>
      <c r="C542" s="499">
        <v>3000</v>
      </c>
      <c r="D542" s="500">
        <v>19.05</v>
      </c>
      <c r="E542" s="501">
        <v>0</v>
      </c>
      <c r="F542" s="501">
        <f t="shared" si="181"/>
        <v>57150</v>
      </c>
      <c r="G542" s="613"/>
      <c r="H542" s="515">
        <v>500</v>
      </c>
      <c r="I542" s="500">
        <v>8.0299999999999994</v>
      </c>
      <c r="J542" s="501">
        <v>0.09</v>
      </c>
      <c r="K542" s="501">
        <f t="shared" si="183"/>
        <v>4014.9099999999994</v>
      </c>
      <c r="L542" s="499"/>
      <c r="M542" s="500"/>
    </row>
    <row r="543" spans="1:13" x14ac:dyDescent="0.25">
      <c r="A543" s="499"/>
      <c r="B543" s="547">
        <v>42320</v>
      </c>
      <c r="C543" s="499">
        <v>500</v>
      </c>
      <c r="D543" s="500">
        <v>18.079999999999998</v>
      </c>
      <c r="E543" s="501">
        <v>0</v>
      </c>
      <c r="F543" s="501">
        <f t="shared" si="181"/>
        <v>9040</v>
      </c>
      <c r="G543" s="613"/>
      <c r="H543" s="515">
        <v>1500</v>
      </c>
      <c r="I543" s="500">
        <v>8.1</v>
      </c>
      <c r="J543" s="501">
        <v>0.26</v>
      </c>
      <c r="K543" s="501">
        <f t="shared" si="183"/>
        <v>12149.74</v>
      </c>
      <c r="L543" s="499"/>
      <c r="M543" s="501"/>
    </row>
    <row r="544" spans="1:13" x14ac:dyDescent="0.25">
      <c r="A544" s="499"/>
      <c r="B544" s="547">
        <v>42320</v>
      </c>
      <c r="C544" s="499">
        <v>1000</v>
      </c>
      <c r="D544" s="500">
        <v>18.05</v>
      </c>
      <c r="E544" s="501">
        <v>0</v>
      </c>
      <c r="F544" s="501">
        <f t="shared" si="181"/>
        <v>18050</v>
      </c>
      <c r="G544" s="498">
        <v>42429</v>
      </c>
      <c r="H544" s="515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7"/>
    </row>
    <row r="545" spans="1:13" x14ac:dyDescent="0.25">
      <c r="A545" s="499"/>
      <c r="B545" s="547">
        <v>42320</v>
      </c>
      <c r="C545" s="499">
        <v>1000</v>
      </c>
      <c r="D545" s="500">
        <v>17.82</v>
      </c>
      <c r="E545" s="501">
        <v>0</v>
      </c>
      <c r="F545" s="501">
        <f t="shared" si="181"/>
        <v>17820</v>
      </c>
      <c r="G545" s="498">
        <v>42429</v>
      </c>
      <c r="H545" s="515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7">
        <v>42328</v>
      </c>
      <c r="C546" s="499">
        <v>3078</v>
      </c>
      <c r="D546" s="500">
        <v>17.47</v>
      </c>
      <c r="E546" s="501">
        <v>0</v>
      </c>
      <c r="F546" s="501">
        <f t="shared" si="181"/>
        <v>53772.659999999996</v>
      </c>
      <c r="G546" s="498">
        <v>42429</v>
      </c>
      <c r="H546" s="515">
        <v>500</v>
      </c>
      <c r="I546" s="500">
        <v>7.97</v>
      </c>
      <c r="J546" s="501">
        <v>0.09</v>
      </c>
      <c r="K546" s="501">
        <f t="shared" ref="K546:K605" si="184">H546*I546-J546</f>
        <v>3984.91</v>
      </c>
      <c r="L546" s="499"/>
      <c r="M546" s="501"/>
    </row>
    <row r="547" spans="1:13" x14ac:dyDescent="0.25">
      <c r="A547" s="499"/>
      <c r="B547" s="547">
        <v>42340</v>
      </c>
      <c r="C547" s="499">
        <v>3078</v>
      </c>
      <c r="D547" s="500">
        <v>17.739999999999998</v>
      </c>
      <c r="E547" s="501">
        <v>0</v>
      </c>
      <c r="F547" s="501">
        <f t="shared" si="181"/>
        <v>54603.719999999994</v>
      </c>
      <c r="G547" s="498">
        <v>42430</v>
      </c>
      <c r="H547" s="515">
        <v>500</v>
      </c>
      <c r="I547" s="500">
        <v>7.85</v>
      </c>
      <c r="J547" s="501">
        <v>0.09</v>
      </c>
      <c r="K547" s="501">
        <f t="shared" si="184"/>
        <v>3924.91</v>
      </c>
      <c r="L547" s="499"/>
      <c r="M547" s="501"/>
    </row>
    <row r="548" spans="1:13" x14ac:dyDescent="0.25">
      <c r="A548" s="499"/>
      <c r="B548" s="547">
        <v>42340</v>
      </c>
      <c r="C548" s="499">
        <v>500</v>
      </c>
      <c r="D548" s="500">
        <v>17.5</v>
      </c>
      <c r="E548" s="501">
        <v>0</v>
      </c>
      <c r="F548" s="501">
        <f t="shared" si="181"/>
        <v>8750</v>
      </c>
      <c r="G548" s="498">
        <v>42430</v>
      </c>
      <c r="H548" s="515">
        <v>500</v>
      </c>
      <c r="I548" s="500">
        <v>8.0299999999999994</v>
      </c>
      <c r="J548" s="501">
        <v>0.09</v>
      </c>
      <c r="K548" s="501">
        <f t="shared" si="184"/>
        <v>4014.9099999999994</v>
      </c>
      <c r="L548" s="501"/>
      <c r="M548" s="501"/>
    </row>
    <row r="549" spans="1:13" x14ac:dyDescent="0.25">
      <c r="A549" s="499"/>
      <c r="B549" s="547">
        <v>42345</v>
      </c>
      <c r="C549" s="499">
        <v>100</v>
      </c>
      <c r="D549" s="500">
        <v>16.7</v>
      </c>
      <c r="E549" s="501">
        <v>0</v>
      </c>
      <c r="F549" s="501">
        <f t="shared" si="181"/>
        <v>1670</v>
      </c>
      <c r="G549" s="498">
        <v>42431</v>
      </c>
      <c r="H549" s="515">
        <v>500</v>
      </c>
      <c r="I549" s="500">
        <v>8.3800000000000008</v>
      </c>
      <c r="J549" s="501">
        <v>0.09</v>
      </c>
      <c r="K549" s="501">
        <f t="shared" si="184"/>
        <v>4189.91</v>
      </c>
      <c r="L549" s="501"/>
      <c r="M549" s="501"/>
    </row>
    <row r="550" spans="1:13" x14ac:dyDescent="0.25">
      <c r="A550" s="499"/>
      <c r="B550" s="547">
        <v>42345</v>
      </c>
      <c r="C550" s="499">
        <v>500</v>
      </c>
      <c r="D550" s="500">
        <v>16.850000000000001</v>
      </c>
      <c r="E550" s="501">
        <v>0</v>
      </c>
      <c r="F550" s="501">
        <f t="shared" si="181"/>
        <v>8425</v>
      </c>
      <c r="G550" s="498">
        <v>42431</v>
      </c>
      <c r="H550" s="515">
        <v>500</v>
      </c>
      <c r="I550" s="500">
        <v>8.58</v>
      </c>
      <c r="J550" s="501">
        <v>0.09</v>
      </c>
      <c r="K550" s="501">
        <f t="shared" si="184"/>
        <v>4289.91</v>
      </c>
      <c r="L550" s="499"/>
      <c r="M550" s="501"/>
    </row>
    <row r="551" spans="1:13" ht="30" x14ac:dyDescent="0.25">
      <c r="A551" s="499"/>
      <c r="B551" s="547">
        <v>42347</v>
      </c>
      <c r="C551" s="499">
        <v>500</v>
      </c>
      <c r="D551" s="500">
        <v>15.84</v>
      </c>
      <c r="E551" s="501">
        <v>0</v>
      </c>
      <c r="F551" s="501">
        <f t="shared" si="181"/>
        <v>7920</v>
      </c>
      <c r="G551" s="612" t="s">
        <v>183</v>
      </c>
      <c r="H551" s="515">
        <v>400</v>
      </c>
      <c r="I551" s="500">
        <v>9.09</v>
      </c>
      <c r="J551" s="501">
        <v>0.1</v>
      </c>
      <c r="K551" s="501">
        <f t="shared" si="184"/>
        <v>3635.9</v>
      </c>
      <c r="L551" s="499"/>
      <c r="M551" s="501"/>
    </row>
    <row r="552" spans="1:13" x14ac:dyDescent="0.25">
      <c r="A552" s="499"/>
      <c r="B552" s="547">
        <v>42348</v>
      </c>
      <c r="C552" s="499">
        <v>500</v>
      </c>
      <c r="D552" s="500">
        <v>14.78</v>
      </c>
      <c r="E552" s="501">
        <v>0</v>
      </c>
      <c r="F552" s="501">
        <f t="shared" si="181"/>
        <v>7390</v>
      </c>
      <c r="G552" s="612"/>
      <c r="H552" s="515">
        <v>100</v>
      </c>
      <c r="I552" s="500">
        <v>9.09</v>
      </c>
      <c r="J552" s="501">
        <v>0</v>
      </c>
      <c r="K552" s="501">
        <f t="shared" si="184"/>
        <v>909</v>
      </c>
      <c r="L552" s="499"/>
      <c r="M552" s="501"/>
    </row>
    <row r="553" spans="1:13" x14ac:dyDescent="0.25">
      <c r="A553" s="499"/>
      <c r="B553" s="547">
        <v>42352</v>
      </c>
      <c r="C553" s="499">
        <v>100</v>
      </c>
      <c r="D553" s="500">
        <v>14.57</v>
      </c>
      <c r="E553" s="501">
        <v>0</v>
      </c>
      <c r="F553" s="501">
        <f t="shared" si="181"/>
        <v>1457</v>
      </c>
      <c r="G553" s="612"/>
      <c r="H553" s="515">
        <v>500</v>
      </c>
      <c r="I553" s="500">
        <v>8.81</v>
      </c>
      <c r="J553" s="501">
        <v>0.1</v>
      </c>
      <c r="K553" s="501">
        <f t="shared" si="184"/>
        <v>4404.8999999999996</v>
      </c>
      <c r="L553" s="499"/>
      <c r="M553" s="501"/>
    </row>
    <row r="554" spans="1:13" x14ac:dyDescent="0.25">
      <c r="A554" s="499"/>
      <c r="B554" s="547">
        <v>42355</v>
      </c>
      <c r="C554" s="499">
        <v>500</v>
      </c>
      <c r="D554" s="500">
        <v>13.89</v>
      </c>
      <c r="E554" s="501">
        <v>0</v>
      </c>
      <c r="F554" s="501">
        <f t="shared" si="181"/>
        <v>6945</v>
      </c>
      <c r="G554" s="498">
        <v>42432</v>
      </c>
      <c r="H554" s="515">
        <v>600</v>
      </c>
      <c r="I554" s="500">
        <v>9.65</v>
      </c>
      <c r="J554" s="501">
        <v>0.13</v>
      </c>
      <c r="K554" s="501">
        <f t="shared" si="184"/>
        <v>5789.87</v>
      </c>
      <c r="L554" s="499"/>
      <c r="M554" s="501"/>
    </row>
    <row r="555" spans="1:13" x14ac:dyDescent="0.25">
      <c r="A555" s="499"/>
      <c r="B555" s="547">
        <v>42360</v>
      </c>
      <c r="C555" s="499">
        <v>500</v>
      </c>
      <c r="D555" s="500">
        <v>12.95</v>
      </c>
      <c r="E555" s="501">
        <v>0</v>
      </c>
      <c r="F555" s="501">
        <f t="shared" si="181"/>
        <v>6475</v>
      </c>
      <c r="G555" s="498">
        <v>42433</v>
      </c>
      <c r="H555" s="515">
        <v>600</v>
      </c>
      <c r="I555" s="500">
        <v>10.45</v>
      </c>
      <c r="J555" s="501">
        <v>0.14000000000000001</v>
      </c>
      <c r="K555" s="501">
        <f t="shared" si="184"/>
        <v>6269.86</v>
      </c>
      <c r="L555" s="499"/>
      <c r="M555" s="501"/>
    </row>
    <row r="556" spans="1:13" x14ac:dyDescent="0.25">
      <c r="A556" s="499"/>
      <c r="B556" s="547">
        <v>42361</v>
      </c>
      <c r="C556" s="499">
        <v>500</v>
      </c>
      <c r="D556" s="500">
        <v>12.75</v>
      </c>
      <c r="E556" s="501">
        <v>0</v>
      </c>
      <c r="F556" s="501">
        <f t="shared" si="181"/>
        <v>6375</v>
      </c>
      <c r="G556" s="498">
        <v>42440</v>
      </c>
      <c r="H556" s="515">
        <v>400</v>
      </c>
      <c r="I556" s="500">
        <v>11.25</v>
      </c>
      <c r="J556" s="501">
        <v>0.1</v>
      </c>
      <c r="K556" s="501">
        <f t="shared" si="184"/>
        <v>4499.8999999999996</v>
      </c>
      <c r="L556" s="499"/>
      <c r="M556" s="501"/>
    </row>
    <row r="557" spans="1:13" x14ac:dyDescent="0.25">
      <c r="A557" s="499"/>
      <c r="B557" s="547">
        <v>42361</v>
      </c>
      <c r="C557" s="499">
        <v>500</v>
      </c>
      <c r="D557" s="500">
        <v>12.8</v>
      </c>
      <c r="E557" s="501">
        <v>0</v>
      </c>
      <c r="F557" s="501">
        <f t="shared" si="181"/>
        <v>6400</v>
      </c>
      <c r="G557" s="498">
        <v>42446</v>
      </c>
      <c r="H557" s="515">
        <v>1500</v>
      </c>
      <c r="I557" s="500">
        <v>11.49</v>
      </c>
      <c r="J557" s="501">
        <v>0.38</v>
      </c>
      <c r="K557" s="501">
        <f t="shared" si="184"/>
        <v>17234.62</v>
      </c>
      <c r="L557" s="499"/>
      <c r="M557" s="501"/>
    </row>
    <row r="558" spans="1:13" x14ac:dyDescent="0.25">
      <c r="A558" s="499"/>
      <c r="B558" s="547">
        <v>42361</v>
      </c>
      <c r="C558" s="499">
        <v>1000</v>
      </c>
      <c r="D558" s="500">
        <v>12.67</v>
      </c>
      <c r="E558" s="501">
        <v>0</v>
      </c>
      <c r="F558" s="501">
        <f t="shared" si="181"/>
        <v>12670</v>
      </c>
      <c r="G558" s="498">
        <v>42447</v>
      </c>
      <c r="H558" s="515">
        <v>1500</v>
      </c>
      <c r="I558" s="500">
        <v>11.44</v>
      </c>
      <c r="J558" s="501">
        <v>0.37</v>
      </c>
      <c r="K558" s="501">
        <f t="shared" si="184"/>
        <v>17159.63</v>
      </c>
      <c r="L558" s="499"/>
      <c r="M558" s="501"/>
    </row>
    <row r="559" spans="1:13" x14ac:dyDescent="0.25">
      <c r="A559" s="499"/>
      <c r="B559" s="547">
        <v>42361</v>
      </c>
      <c r="C559" s="499">
        <v>222</v>
      </c>
      <c r="D559" s="500">
        <v>12.44</v>
      </c>
      <c r="E559" s="501">
        <v>0</v>
      </c>
      <c r="F559" s="501">
        <f t="shared" si="181"/>
        <v>2761.68</v>
      </c>
      <c r="G559" s="498">
        <v>42447</v>
      </c>
      <c r="H559" s="515">
        <v>500</v>
      </c>
      <c r="I559" s="500">
        <v>11.484999999999999</v>
      </c>
      <c r="J559" s="501">
        <v>0.13</v>
      </c>
      <c r="K559" s="501">
        <f t="shared" si="184"/>
        <v>5742.37</v>
      </c>
      <c r="L559" s="499"/>
      <c r="M559" s="501"/>
    </row>
    <row r="560" spans="1:13" x14ac:dyDescent="0.25">
      <c r="A560" s="499"/>
      <c r="B560" s="547">
        <v>42367</v>
      </c>
      <c r="C560" s="499">
        <v>2178</v>
      </c>
      <c r="D560" s="500">
        <v>13.68</v>
      </c>
      <c r="E560" s="501">
        <v>0</v>
      </c>
      <c r="F560" s="501">
        <f t="shared" si="181"/>
        <v>29795.040000000001</v>
      </c>
      <c r="G560" s="611">
        <v>42447</v>
      </c>
      <c r="H560" s="515">
        <v>650</v>
      </c>
      <c r="I560" s="500">
        <v>11.56</v>
      </c>
      <c r="J560" s="501">
        <v>0.25</v>
      </c>
      <c r="K560" s="501">
        <f t="shared" si="184"/>
        <v>7513.75</v>
      </c>
      <c r="L560" s="499"/>
      <c r="M560" s="501"/>
    </row>
    <row r="561" spans="1:13" x14ac:dyDescent="0.25">
      <c r="A561" s="499"/>
      <c r="B561" s="547">
        <v>42369</v>
      </c>
      <c r="C561" s="499">
        <v>2500</v>
      </c>
      <c r="D561" s="500">
        <v>13.04</v>
      </c>
      <c r="E561" s="501">
        <v>0</v>
      </c>
      <c r="F561" s="501">
        <f t="shared" si="181"/>
        <v>32599.999999999996</v>
      </c>
      <c r="G561" s="611"/>
      <c r="H561" s="515">
        <v>350</v>
      </c>
      <c r="I561" s="500">
        <v>11.56</v>
      </c>
      <c r="J561" s="501">
        <v>0</v>
      </c>
      <c r="K561" s="501">
        <f t="shared" si="184"/>
        <v>4046</v>
      </c>
      <c r="L561" s="499"/>
      <c r="M561" s="501"/>
    </row>
    <row r="562" spans="1:13" x14ac:dyDescent="0.25">
      <c r="A562" s="499"/>
      <c r="B562" s="547">
        <v>42008</v>
      </c>
      <c r="C562" s="499">
        <v>2000</v>
      </c>
      <c r="D562" s="500">
        <v>13.01</v>
      </c>
      <c r="E562" s="501">
        <v>0</v>
      </c>
      <c r="F562" s="501">
        <f t="shared" si="181"/>
        <v>26020</v>
      </c>
      <c r="G562" s="498">
        <v>42447</v>
      </c>
      <c r="H562" s="515">
        <v>1000</v>
      </c>
      <c r="I562" s="500">
        <v>11.62</v>
      </c>
      <c r="J562" s="501">
        <v>0.25</v>
      </c>
      <c r="K562" s="501">
        <f t="shared" si="184"/>
        <v>11619.75</v>
      </c>
      <c r="L562" s="499"/>
      <c r="M562" s="501"/>
    </row>
    <row r="563" spans="1:13" x14ac:dyDescent="0.25">
      <c r="A563" s="499"/>
      <c r="B563" s="547">
        <v>42009</v>
      </c>
      <c r="C563" s="499">
        <v>500</v>
      </c>
      <c r="D563" s="500">
        <v>12.62</v>
      </c>
      <c r="E563" s="501">
        <v>0</v>
      </c>
      <c r="F563" s="501">
        <f t="shared" si="181"/>
        <v>6310</v>
      </c>
      <c r="G563" s="498">
        <v>42451</v>
      </c>
      <c r="H563" s="515">
        <v>1000</v>
      </c>
      <c r="I563" s="500">
        <v>11.45</v>
      </c>
      <c r="J563" s="501">
        <v>0.25</v>
      </c>
      <c r="K563" s="501">
        <f t="shared" si="184"/>
        <v>11449.75</v>
      </c>
      <c r="L563" s="499"/>
      <c r="M563" s="501"/>
    </row>
    <row r="564" spans="1:13" x14ac:dyDescent="0.25">
      <c r="A564" s="499"/>
      <c r="B564" s="547">
        <v>42009</v>
      </c>
      <c r="C564" s="499">
        <v>500</v>
      </c>
      <c r="D564" s="500">
        <v>12.45</v>
      </c>
      <c r="E564" s="501">
        <v>0</v>
      </c>
      <c r="F564" s="501">
        <f t="shared" si="181"/>
        <v>6225</v>
      </c>
      <c r="G564" s="498">
        <v>42451</v>
      </c>
      <c r="H564" s="515">
        <v>50</v>
      </c>
      <c r="I564" s="500">
        <v>11.28</v>
      </c>
      <c r="J564" s="501">
        <v>0.01</v>
      </c>
      <c r="K564" s="501">
        <f t="shared" si="184"/>
        <v>563.99</v>
      </c>
      <c r="L564" s="499"/>
      <c r="M564" s="501"/>
    </row>
    <row r="565" spans="1:13" x14ac:dyDescent="0.25">
      <c r="A565" s="499"/>
      <c r="B565" s="598">
        <v>42374</v>
      </c>
      <c r="C565" s="499">
        <v>2000</v>
      </c>
      <c r="D565" s="500">
        <v>12.73</v>
      </c>
      <c r="E565" s="501">
        <v>0</v>
      </c>
      <c r="F565" s="501">
        <f t="shared" ref="F565:F628" si="185">C565*D565+E565</f>
        <v>25460</v>
      </c>
      <c r="G565" s="498">
        <v>42459</v>
      </c>
      <c r="H565" s="515">
        <v>2000</v>
      </c>
      <c r="I565" s="500">
        <v>10.75</v>
      </c>
      <c r="J565" s="501">
        <v>0.47</v>
      </c>
      <c r="K565" s="501">
        <f t="shared" si="184"/>
        <v>21499.53</v>
      </c>
      <c r="L565" s="499"/>
      <c r="M565" s="501"/>
    </row>
    <row r="566" spans="1:13" x14ac:dyDescent="0.25">
      <c r="A566" s="499"/>
      <c r="B566" s="547">
        <v>42375</v>
      </c>
      <c r="C566" s="499">
        <v>1000</v>
      </c>
      <c r="D566" s="500">
        <v>12.5</v>
      </c>
      <c r="E566" s="501">
        <v>0</v>
      </c>
      <c r="F566" s="501">
        <f t="shared" si="185"/>
        <v>12500</v>
      </c>
      <c r="G566" s="498">
        <v>42460</v>
      </c>
      <c r="H566" s="515">
        <v>1600</v>
      </c>
      <c r="I566" s="500">
        <v>10.95</v>
      </c>
      <c r="J566" s="501">
        <v>2.88</v>
      </c>
      <c r="K566" s="501">
        <f t="shared" si="184"/>
        <v>17517.12</v>
      </c>
      <c r="L566" s="499"/>
      <c r="M566" s="501"/>
    </row>
    <row r="567" spans="1:13" x14ac:dyDescent="0.25">
      <c r="A567" s="499"/>
      <c r="B567" s="547">
        <v>42375</v>
      </c>
      <c r="C567" s="499">
        <v>1000</v>
      </c>
      <c r="D567" s="500">
        <v>11.7</v>
      </c>
      <c r="E567" s="501">
        <v>0</v>
      </c>
      <c r="F567" s="501">
        <f t="shared" si="185"/>
        <v>11700</v>
      </c>
      <c r="G567" s="498">
        <v>42461</v>
      </c>
      <c r="H567" s="515">
        <v>2000</v>
      </c>
      <c r="I567" s="500">
        <v>10.52</v>
      </c>
      <c r="J567" s="501">
        <v>0.46</v>
      </c>
      <c r="K567" s="501">
        <f t="shared" si="184"/>
        <v>21039.54</v>
      </c>
      <c r="L567" s="499"/>
      <c r="M567" s="501"/>
    </row>
    <row r="568" spans="1:13" x14ac:dyDescent="0.25">
      <c r="A568" s="499"/>
      <c r="B568" s="547">
        <v>42402</v>
      </c>
      <c r="C568" s="499">
        <v>400</v>
      </c>
      <c r="D568" s="500">
        <v>9.1</v>
      </c>
      <c r="E568" s="501">
        <v>0</v>
      </c>
      <c r="F568" s="501">
        <f t="shared" si="185"/>
        <v>3640</v>
      </c>
      <c r="G568" s="498">
        <v>42461</v>
      </c>
      <c r="H568" s="515">
        <v>2000</v>
      </c>
      <c r="I568" s="500">
        <v>10.55</v>
      </c>
      <c r="J568" s="501">
        <v>0.46</v>
      </c>
      <c r="K568" s="501">
        <f t="shared" si="184"/>
        <v>21099.54</v>
      </c>
      <c r="L568" s="499"/>
      <c r="M568" s="501"/>
    </row>
    <row r="569" spans="1:13" x14ac:dyDescent="0.25">
      <c r="A569" s="499"/>
      <c r="B569" s="547">
        <v>42411</v>
      </c>
      <c r="C569" s="499">
        <v>500</v>
      </c>
      <c r="D569" s="500">
        <v>6.835</v>
      </c>
      <c r="E569" s="501">
        <v>0</v>
      </c>
      <c r="F569" s="501">
        <f t="shared" si="185"/>
        <v>3417.5</v>
      </c>
      <c r="G569" s="498">
        <v>42465</v>
      </c>
      <c r="H569" s="515">
        <v>100</v>
      </c>
      <c r="I569" s="500">
        <v>10.75</v>
      </c>
      <c r="J569" s="501">
        <v>0.02</v>
      </c>
      <c r="K569" s="501">
        <f t="shared" si="184"/>
        <v>1074.98</v>
      </c>
      <c r="L569" s="499"/>
      <c r="M569" s="501"/>
    </row>
    <row r="570" spans="1:13" x14ac:dyDescent="0.25">
      <c r="A570" s="499"/>
      <c r="B570" s="547">
        <v>42412</v>
      </c>
      <c r="C570" s="499">
        <v>200</v>
      </c>
      <c r="D570" s="500">
        <v>7.23</v>
      </c>
      <c r="E570" s="501">
        <v>0</v>
      </c>
      <c r="F570" s="501">
        <f t="shared" si="185"/>
        <v>1446</v>
      </c>
      <c r="G570" s="498">
        <v>42468</v>
      </c>
      <c r="H570" s="515">
        <v>1000</v>
      </c>
      <c r="I570" s="500">
        <v>11.77</v>
      </c>
      <c r="J570" s="501">
        <v>0.26</v>
      </c>
      <c r="K570" s="501">
        <f t="shared" si="184"/>
        <v>11769.74</v>
      </c>
      <c r="L570" s="499"/>
      <c r="M570" s="501"/>
    </row>
    <row r="571" spans="1:13" x14ac:dyDescent="0.25">
      <c r="A571" s="499"/>
      <c r="B571" s="547">
        <v>42416</v>
      </c>
      <c r="C571" s="499">
        <v>500</v>
      </c>
      <c r="D571" s="500">
        <v>7.5</v>
      </c>
      <c r="E571" s="501">
        <v>0</v>
      </c>
      <c r="F571" s="501">
        <f t="shared" si="185"/>
        <v>3750</v>
      </c>
      <c r="G571" s="611">
        <v>42472</v>
      </c>
      <c r="H571" s="515">
        <v>420</v>
      </c>
      <c r="I571" s="500">
        <v>13.35</v>
      </c>
      <c r="J571" s="501">
        <v>0.15</v>
      </c>
      <c r="K571" s="501">
        <f t="shared" si="184"/>
        <v>5606.85</v>
      </c>
      <c r="L571" s="499"/>
      <c r="M571" s="501"/>
    </row>
    <row r="572" spans="1:13" ht="30" x14ac:dyDescent="0.25">
      <c r="A572" s="499"/>
      <c r="B572" s="614" t="s">
        <v>179</v>
      </c>
      <c r="C572" s="499">
        <v>3000</v>
      </c>
      <c r="D572" s="500">
        <v>7.55</v>
      </c>
      <c r="E572" s="501">
        <v>0</v>
      </c>
      <c r="F572" s="501">
        <f t="shared" si="185"/>
        <v>22650</v>
      </c>
      <c r="G572" s="611"/>
      <c r="H572" s="515">
        <v>80</v>
      </c>
      <c r="I572" s="500">
        <v>13.35</v>
      </c>
      <c r="J572" s="501">
        <v>0</v>
      </c>
      <c r="K572" s="501">
        <f t="shared" si="184"/>
        <v>1068</v>
      </c>
      <c r="L572" s="499"/>
      <c r="M572" s="501"/>
    </row>
    <row r="573" spans="1:13" x14ac:dyDescent="0.25">
      <c r="A573" s="499"/>
      <c r="B573" s="614"/>
      <c r="C573" s="499">
        <v>500</v>
      </c>
      <c r="D573" s="500">
        <v>6.75</v>
      </c>
      <c r="E573" s="501">
        <v>0</v>
      </c>
      <c r="F573" s="501">
        <f t="shared" si="185"/>
        <v>3375</v>
      </c>
      <c r="G573" s="498">
        <v>42472</v>
      </c>
      <c r="H573" s="515">
        <v>500</v>
      </c>
      <c r="I573" s="500">
        <v>13.15</v>
      </c>
      <c r="J573" s="501">
        <v>0.14000000000000001</v>
      </c>
      <c r="K573" s="501">
        <f t="shared" si="184"/>
        <v>6574.86</v>
      </c>
      <c r="L573" s="499"/>
      <c r="M573" s="501"/>
    </row>
    <row r="574" spans="1:13" x14ac:dyDescent="0.25">
      <c r="A574" s="499"/>
      <c r="B574" s="614"/>
      <c r="C574" s="499">
        <v>300</v>
      </c>
      <c r="D574" s="500">
        <v>6.75</v>
      </c>
      <c r="E574" s="501">
        <v>0</v>
      </c>
      <c r="F574" s="501">
        <f t="shared" si="185"/>
        <v>2025</v>
      </c>
      <c r="G574" s="498">
        <v>42472</v>
      </c>
      <c r="H574" s="515">
        <v>500</v>
      </c>
      <c r="I574" s="500">
        <v>12.92</v>
      </c>
      <c r="J574" s="501">
        <v>0.14000000000000001</v>
      </c>
      <c r="K574" s="501">
        <f t="shared" si="184"/>
        <v>6459.86</v>
      </c>
      <c r="L574" s="499"/>
      <c r="M574" s="501"/>
    </row>
    <row r="575" spans="1:13" x14ac:dyDescent="0.25">
      <c r="A575" s="499"/>
      <c r="B575" s="547">
        <v>42426</v>
      </c>
      <c r="C575" s="499">
        <v>600</v>
      </c>
      <c r="D575" s="500">
        <v>7.63</v>
      </c>
      <c r="E575" s="501">
        <v>0</v>
      </c>
      <c r="F575" s="501">
        <f t="shared" si="185"/>
        <v>4578</v>
      </c>
      <c r="G575" s="498">
        <v>42472</v>
      </c>
      <c r="H575" s="515">
        <v>500</v>
      </c>
      <c r="I575" s="500">
        <v>12.59</v>
      </c>
      <c r="J575" s="501">
        <v>0.14000000000000001</v>
      </c>
      <c r="K575" s="501">
        <f t="shared" si="184"/>
        <v>6294.86</v>
      </c>
      <c r="L575" s="499"/>
      <c r="M575" s="501"/>
    </row>
    <row r="576" spans="1:13" x14ac:dyDescent="0.25">
      <c r="A576" s="499"/>
      <c r="B576" s="547">
        <v>42426</v>
      </c>
      <c r="C576" s="499">
        <v>2000</v>
      </c>
      <c r="D576" s="500">
        <v>7.95</v>
      </c>
      <c r="E576" s="501">
        <v>0</v>
      </c>
      <c r="F576" s="501">
        <f t="shared" si="185"/>
        <v>15900</v>
      </c>
      <c r="G576" s="498">
        <v>42474</v>
      </c>
      <c r="H576" s="515">
        <v>500</v>
      </c>
      <c r="I576" s="500">
        <v>13.18</v>
      </c>
      <c r="J576" s="501">
        <v>0.14000000000000001</v>
      </c>
      <c r="K576" s="501">
        <f t="shared" si="184"/>
        <v>6589.86</v>
      </c>
      <c r="L576" s="499"/>
      <c r="M576" s="501"/>
    </row>
    <row r="577" spans="1:13" x14ac:dyDescent="0.25">
      <c r="A577" s="499"/>
      <c r="B577" s="547">
        <v>42429</v>
      </c>
      <c r="C577" s="499">
        <v>2000</v>
      </c>
      <c r="D577" s="500">
        <v>8.1999999999999993</v>
      </c>
      <c r="E577" s="501">
        <v>0</v>
      </c>
      <c r="F577" s="501">
        <f t="shared" si="185"/>
        <v>16400</v>
      </c>
      <c r="G577" s="498">
        <v>42478</v>
      </c>
      <c r="H577" s="515">
        <v>500</v>
      </c>
      <c r="I577" s="500">
        <v>13.4</v>
      </c>
      <c r="J577" s="501">
        <v>0.15</v>
      </c>
      <c r="K577" s="501">
        <f t="shared" si="184"/>
        <v>6699.85</v>
      </c>
      <c r="L577" s="499"/>
      <c r="M577" s="501"/>
    </row>
    <row r="578" spans="1:13" x14ac:dyDescent="0.25">
      <c r="A578" s="501"/>
      <c r="B578" s="547">
        <v>42429</v>
      </c>
      <c r="C578" s="499">
        <v>500</v>
      </c>
      <c r="D578" s="500">
        <v>7.88</v>
      </c>
      <c r="E578" s="501">
        <v>0</v>
      </c>
      <c r="F578" s="501">
        <f t="shared" si="185"/>
        <v>3940</v>
      </c>
      <c r="G578" s="498">
        <v>42486</v>
      </c>
      <c r="H578" s="515">
        <v>500</v>
      </c>
      <c r="I578" s="500">
        <v>14.35</v>
      </c>
      <c r="J578" s="501">
        <v>0.16</v>
      </c>
      <c r="K578" s="501">
        <f t="shared" si="184"/>
        <v>7174.84</v>
      </c>
      <c r="L578" s="499"/>
      <c r="M578" s="501"/>
    </row>
    <row r="579" spans="1:13" x14ac:dyDescent="0.25">
      <c r="A579" s="499"/>
      <c r="B579" s="547">
        <v>42430</v>
      </c>
      <c r="C579" s="499">
        <v>1000</v>
      </c>
      <c r="D579" s="500">
        <v>7.77</v>
      </c>
      <c r="E579" s="501">
        <v>0</v>
      </c>
      <c r="F579" s="501">
        <f t="shared" si="185"/>
        <v>7770</v>
      </c>
      <c r="G579" s="498">
        <v>42487</v>
      </c>
      <c r="H579" s="515">
        <v>600</v>
      </c>
      <c r="I579" s="500">
        <v>14.85</v>
      </c>
      <c r="J579" s="501">
        <v>0.19</v>
      </c>
      <c r="K579" s="501">
        <f t="shared" si="184"/>
        <v>8909.81</v>
      </c>
      <c r="L579" s="499"/>
      <c r="M579" s="501"/>
    </row>
    <row r="580" spans="1:13" x14ac:dyDescent="0.25">
      <c r="A580" s="499"/>
      <c r="B580" s="547">
        <v>42430</v>
      </c>
      <c r="C580" s="499">
        <v>500</v>
      </c>
      <c r="D580" s="500">
        <v>7.94</v>
      </c>
      <c r="E580" s="501">
        <v>0</v>
      </c>
      <c r="F580" s="501">
        <f t="shared" si="185"/>
        <v>3970</v>
      </c>
      <c r="G580" s="498">
        <v>42489</v>
      </c>
      <c r="H580" s="515">
        <v>3000</v>
      </c>
      <c r="I580" s="500">
        <v>14.15</v>
      </c>
      <c r="J580" s="501">
        <v>0.93</v>
      </c>
      <c r="K580" s="501">
        <f t="shared" si="184"/>
        <v>42449.07</v>
      </c>
      <c r="L580" s="499"/>
      <c r="M580" s="501"/>
    </row>
    <row r="581" spans="1:13" x14ac:dyDescent="0.25">
      <c r="A581" s="499"/>
      <c r="B581" s="547">
        <v>42431</v>
      </c>
      <c r="C581" s="499">
        <v>1000</v>
      </c>
      <c r="D581" s="500">
        <v>8.3699999999999992</v>
      </c>
      <c r="E581" s="501">
        <v>0</v>
      </c>
      <c r="F581" s="501">
        <f t="shared" si="185"/>
        <v>8370</v>
      </c>
      <c r="G581" s="498">
        <v>42492</v>
      </c>
      <c r="H581" s="515">
        <v>1000</v>
      </c>
      <c r="I581" s="500">
        <v>13.48</v>
      </c>
      <c r="J581" s="501">
        <v>0.28999999999999998</v>
      </c>
      <c r="K581" s="501">
        <f t="shared" si="184"/>
        <v>13479.71</v>
      </c>
      <c r="L581" s="499"/>
      <c r="M581" s="501"/>
    </row>
    <row r="582" spans="1:13" x14ac:dyDescent="0.25">
      <c r="A582" s="499"/>
      <c r="B582" s="547">
        <v>42432</v>
      </c>
      <c r="C582" s="499">
        <v>600</v>
      </c>
      <c r="D582" s="500">
        <v>9.3699999999999992</v>
      </c>
      <c r="E582" s="501">
        <v>0</v>
      </c>
      <c r="F582" s="501">
        <f t="shared" si="185"/>
        <v>5621.9999999999991</v>
      </c>
      <c r="G582" s="498">
        <v>42492</v>
      </c>
      <c r="H582" s="515">
        <v>1000</v>
      </c>
      <c r="I582" s="500">
        <v>13.61</v>
      </c>
      <c r="J582" s="501">
        <v>0.3</v>
      </c>
      <c r="K582" s="501">
        <f t="shared" si="184"/>
        <v>13609.7</v>
      </c>
      <c r="L582" s="499"/>
      <c r="M582" s="501"/>
    </row>
    <row r="583" spans="1:13" x14ac:dyDescent="0.25">
      <c r="A583" s="499"/>
      <c r="B583" s="547">
        <v>42432</v>
      </c>
      <c r="C583" s="499">
        <v>600</v>
      </c>
      <c r="D583" s="500">
        <v>8.8800000000000008</v>
      </c>
      <c r="E583" s="501">
        <v>0</v>
      </c>
      <c r="F583" s="501">
        <f t="shared" si="185"/>
        <v>5328.0000000000009</v>
      </c>
      <c r="G583" s="498">
        <v>42493</v>
      </c>
      <c r="H583" s="515">
        <v>322</v>
      </c>
      <c r="I583" s="500">
        <v>13.28</v>
      </c>
      <c r="J583" s="501">
        <v>0.09</v>
      </c>
      <c r="K583" s="501">
        <f t="shared" si="184"/>
        <v>4276.07</v>
      </c>
      <c r="L583" s="499"/>
      <c r="M583" s="501"/>
    </row>
    <row r="584" spans="1:13" x14ac:dyDescent="0.25">
      <c r="A584" s="499"/>
      <c r="B584" s="547">
        <v>42433</v>
      </c>
      <c r="C584" s="499">
        <v>600</v>
      </c>
      <c r="D584" s="500">
        <v>10.42</v>
      </c>
      <c r="E584" s="501">
        <v>0</v>
      </c>
      <c r="F584" s="501">
        <f t="shared" si="185"/>
        <v>6252</v>
      </c>
      <c r="G584" s="498">
        <v>42495</v>
      </c>
      <c r="H584" s="515">
        <v>1000</v>
      </c>
      <c r="I584" s="500">
        <v>12.05</v>
      </c>
      <c r="J584" s="501">
        <v>0.26</v>
      </c>
      <c r="K584" s="501">
        <f t="shared" si="184"/>
        <v>12049.74</v>
      </c>
      <c r="L584" s="499"/>
      <c r="M584" s="501"/>
    </row>
    <row r="585" spans="1:13" x14ac:dyDescent="0.25">
      <c r="A585" s="499"/>
      <c r="B585" s="547">
        <v>42440</v>
      </c>
      <c r="C585" s="499">
        <v>400</v>
      </c>
      <c r="D585" s="500">
        <v>11.12</v>
      </c>
      <c r="E585" s="501">
        <v>0</v>
      </c>
      <c r="F585" s="501">
        <f t="shared" si="185"/>
        <v>4448</v>
      </c>
      <c r="G585" s="498">
        <v>42495</v>
      </c>
      <c r="H585" s="515">
        <v>2000</v>
      </c>
      <c r="I585" s="500">
        <v>12.63</v>
      </c>
      <c r="J585" s="501">
        <v>0.55000000000000004</v>
      </c>
      <c r="K585" s="501">
        <f t="shared" si="184"/>
        <v>25259.45</v>
      </c>
      <c r="L585" s="499"/>
      <c r="M585" s="501"/>
    </row>
    <row r="586" spans="1:13" x14ac:dyDescent="0.25">
      <c r="A586" s="499"/>
      <c r="B586" s="547">
        <v>42446</v>
      </c>
      <c r="C586" s="499">
        <v>1500</v>
      </c>
      <c r="D586" s="500">
        <v>11.445</v>
      </c>
      <c r="E586" s="501">
        <v>0</v>
      </c>
      <c r="F586" s="501">
        <f t="shared" si="185"/>
        <v>17167.5</v>
      </c>
      <c r="G586" s="498">
        <v>42500</v>
      </c>
      <c r="H586" s="515">
        <v>1000</v>
      </c>
      <c r="I586" s="500">
        <v>11.66</v>
      </c>
      <c r="J586" s="501">
        <v>5.25</v>
      </c>
      <c r="K586" s="501">
        <f t="shared" si="184"/>
        <v>11654.75</v>
      </c>
      <c r="L586" s="499"/>
      <c r="M586" s="501"/>
    </row>
    <row r="587" spans="1:13" x14ac:dyDescent="0.25">
      <c r="A587" s="499"/>
      <c r="B587" s="610">
        <v>42447</v>
      </c>
      <c r="C587" s="499">
        <v>1500</v>
      </c>
      <c r="D587" s="500">
        <v>11.42</v>
      </c>
      <c r="E587" s="501">
        <v>0</v>
      </c>
      <c r="F587" s="501">
        <f t="shared" si="185"/>
        <v>17130</v>
      </c>
      <c r="G587" s="498">
        <v>42502</v>
      </c>
      <c r="H587" s="515">
        <v>1500</v>
      </c>
      <c r="I587" s="500">
        <v>12.36</v>
      </c>
      <c r="J587" s="501">
        <v>0.4</v>
      </c>
      <c r="K587" s="501">
        <f t="shared" si="184"/>
        <v>18539.599999999999</v>
      </c>
      <c r="L587" s="499"/>
      <c r="M587" s="501"/>
    </row>
    <row r="588" spans="1:13" x14ac:dyDescent="0.25">
      <c r="A588" s="499"/>
      <c r="B588" s="615"/>
      <c r="C588" s="499">
        <v>500</v>
      </c>
      <c r="D588" s="500">
        <v>11.42</v>
      </c>
      <c r="E588" s="501">
        <v>0</v>
      </c>
      <c r="F588" s="501">
        <f t="shared" si="185"/>
        <v>5710</v>
      </c>
      <c r="G588" s="498">
        <v>42503</v>
      </c>
      <c r="H588" s="515">
        <v>500</v>
      </c>
      <c r="I588" s="500">
        <v>12.49</v>
      </c>
      <c r="J588" s="501">
        <v>0.14000000000000001</v>
      </c>
      <c r="K588" s="501">
        <f t="shared" si="184"/>
        <v>6244.86</v>
      </c>
      <c r="L588" s="499"/>
      <c r="M588" s="501"/>
    </row>
    <row r="589" spans="1:13" x14ac:dyDescent="0.25">
      <c r="A589" s="499"/>
      <c r="B589" s="547">
        <v>42447</v>
      </c>
      <c r="C589" s="499">
        <v>650</v>
      </c>
      <c r="D589" s="500">
        <v>11.545</v>
      </c>
      <c r="E589" s="501">
        <v>0.75</v>
      </c>
      <c r="F589" s="501">
        <f t="shared" si="185"/>
        <v>7505</v>
      </c>
      <c r="G589" s="498">
        <v>42506</v>
      </c>
      <c r="H589" s="515">
        <v>300</v>
      </c>
      <c r="I589" s="500">
        <v>12.85</v>
      </c>
      <c r="J589" s="501">
        <v>0.08</v>
      </c>
      <c r="K589" s="501">
        <f t="shared" si="184"/>
        <v>3854.92</v>
      </c>
      <c r="L589" s="499"/>
      <c r="M589" s="501"/>
    </row>
    <row r="590" spans="1:13" x14ac:dyDescent="0.25">
      <c r="A590" s="499"/>
      <c r="B590" s="547">
        <v>42450</v>
      </c>
      <c r="C590" s="499">
        <v>1350</v>
      </c>
      <c r="D590" s="500">
        <v>11.42</v>
      </c>
      <c r="E590" s="501">
        <v>0</v>
      </c>
      <c r="F590" s="501">
        <f t="shared" si="185"/>
        <v>15417</v>
      </c>
      <c r="G590" s="498">
        <v>42513</v>
      </c>
      <c r="H590" s="515">
        <v>500</v>
      </c>
      <c r="I590" s="500">
        <v>13.05</v>
      </c>
      <c r="J590" s="501">
        <v>0.14000000000000001</v>
      </c>
      <c r="K590" s="501">
        <f t="shared" si="184"/>
        <v>6524.86</v>
      </c>
      <c r="L590" s="499"/>
      <c r="M590" s="501"/>
    </row>
    <row r="591" spans="1:13" x14ac:dyDescent="0.25">
      <c r="A591" s="499"/>
      <c r="B591" s="547">
        <v>42451</v>
      </c>
      <c r="C591" s="499">
        <v>1000</v>
      </c>
      <c r="D591" s="500">
        <v>11.38</v>
      </c>
      <c r="E591" s="501">
        <v>0</v>
      </c>
      <c r="F591" s="501">
        <f t="shared" si="185"/>
        <v>11380</v>
      </c>
      <c r="G591" s="498">
        <v>42515</v>
      </c>
      <c r="H591" s="515">
        <v>500</v>
      </c>
      <c r="I591" s="500">
        <v>13.59</v>
      </c>
      <c r="J591" s="501">
        <v>0.15</v>
      </c>
      <c r="K591" s="501">
        <f t="shared" si="184"/>
        <v>6794.85</v>
      </c>
      <c r="L591" s="499"/>
      <c r="M591" s="501"/>
    </row>
    <row r="592" spans="1:13" x14ac:dyDescent="0.25">
      <c r="A592" s="499"/>
      <c r="B592" s="610">
        <v>42451</v>
      </c>
      <c r="C592" s="499">
        <v>50</v>
      </c>
      <c r="D592" s="500">
        <v>11.22</v>
      </c>
      <c r="E592" s="501">
        <v>0</v>
      </c>
      <c r="F592" s="501">
        <f t="shared" si="185"/>
        <v>561</v>
      </c>
      <c r="G592" s="498">
        <v>42515</v>
      </c>
      <c r="H592" s="515">
        <v>500</v>
      </c>
      <c r="I592" s="500">
        <v>13.57</v>
      </c>
      <c r="J592" s="501">
        <v>0.15</v>
      </c>
      <c r="K592" s="501">
        <f t="shared" si="184"/>
        <v>6784.85</v>
      </c>
      <c r="L592" s="499"/>
      <c r="M592" s="501"/>
    </row>
    <row r="593" spans="1:13" x14ac:dyDescent="0.25">
      <c r="A593" s="499"/>
      <c r="B593" s="610"/>
      <c r="C593" s="499">
        <v>350</v>
      </c>
      <c r="D593" s="500">
        <v>11.22</v>
      </c>
      <c r="E593" s="501">
        <v>0</v>
      </c>
      <c r="F593" s="501">
        <f t="shared" si="185"/>
        <v>3927</v>
      </c>
      <c r="G593" s="498">
        <v>42517</v>
      </c>
      <c r="H593" s="515">
        <v>500</v>
      </c>
      <c r="I593" s="500">
        <v>12.87</v>
      </c>
      <c r="J593" s="501">
        <v>0.14000000000000001</v>
      </c>
      <c r="K593" s="501">
        <f t="shared" si="184"/>
        <v>6434.86</v>
      </c>
      <c r="L593" s="499"/>
      <c r="M593" s="501"/>
    </row>
    <row r="594" spans="1:13" ht="45" x14ac:dyDescent="0.25">
      <c r="A594" s="499"/>
      <c r="B594" s="614" t="s">
        <v>192</v>
      </c>
      <c r="C594" s="499">
        <v>650</v>
      </c>
      <c r="D594" s="500">
        <v>11.22</v>
      </c>
      <c r="E594" s="501">
        <v>0</v>
      </c>
      <c r="F594" s="501">
        <f t="shared" si="185"/>
        <v>7293</v>
      </c>
      <c r="G594" s="498">
        <v>42524</v>
      </c>
      <c r="H594" s="515">
        <v>400</v>
      </c>
      <c r="I594" s="500">
        <v>13.38</v>
      </c>
      <c r="J594" s="501">
        <v>0.12</v>
      </c>
      <c r="K594" s="501">
        <f t="shared" si="184"/>
        <v>5351.88</v>
      </c>
      <c r="L594" s="499"/>
      <c r="M594" s="501"/>
    </row>
    <row r="595" spans="1:13" x14ac:dyDescent="0.25">
      <c r="A595" s="499"/>
      <c r="B595" s="614"/>
      <c r="C595" s="499">
        <v>500</v>
      </c>
      <c r="D595" s="500">
        <v>11.01</v>
      </c>
      <c r="E595" s="501">
        <v>0</v>
      </c>
      <c r="F595" s="501">
        <f t="shared" si="185"/>
        <v>5505</v>
      </c>
      <c r="G595" s="498">
        <v>42527</v>
      </c>
      <c r="H595" s="515">
        <v>1000</v>
      </c>
      <c r="I595" s="500">
        <v>13.82</v>
      </c>
      <c r="J595" s="501">
        <v>0.3</v>
      </c>
      <c r="K595" s="501">
        <f t="shared" si="184"/>
        <v>13819.7</v>
      </c>
      <c r="L595" s="499"/>
      <c r="M595" s="501"/>
    </row>
    <row r="596" spans="1:13" x14ac:dyDescent="0.25">
      <c r="A596" s="499"/>
      <c r="B596" s="614"/>
      <c r="C596" s="499">
        <v>500</v>
      </c>
      <c r="D596" s="500">
        <v>10.75</v>
      </c>
      <c r="E596" s="501">
        <v>0</v>
      </c>
      <c r="F596" s="501">
        <f t="shared" si="185"/>
        <v>5375</v>
      </c>
      <c r="G596" s="498">
        <v>42527</v>
      </c>
      <c r="H596" s="515">
        <v>500</v>
      </c>
      <c r="I596" s="500">
        <v>13.97</v>
      </c>
      <c r="J596" s="501">
        <v>1.1499999999999999</v>
      </c>
      <c r="K596" s="501">
        <f t="shared" si="184"/>
        <v>6983.85</v>
      </c>
      <c r="L596" s="499"/>
      <c r="M596" s="501"/>
    </row>
    <row r="597" spans="1:13" x14ac:dyDescent="0.25">
      <c r="A597" s="499"/>
      <c r="B597" s="614"/>
      <c r="C597" s="499">
        <v>1000</v>
      </c>
      <c r="D597" s="500">
        <v>10.4</v>
      </c>
      <c r="E597" s="501">
        <v>0</v>
      </c>
      <c r="F597" s="501">
        <f t="shared" si="185"/>
        <v>10400</v>
      </c>
      <c r="G597" s="498">
        <v>42528</v>
      </c>
      <c r="H597" s="515">
        <v>500</v>
      </c>
      <c r="I597" s="500">
        <v>14.65</v>
      </c>
      <c r="J597" s="501">
        <v>0.16</v>
      </c>
      <c r="K597" s="501">
        <f t="shared" si="184"/>
        <v>7324.84</v>
      </c>
      <c r="L597" s="499"/>
      <c r="M597" s="501"/>
    </row>
    <row r="598" spans="1:13" x14ac:dyDescent="0.25">
      <c r="A598" s="499"/>
      <c r="B598" s="614"/>
      <c r="C598" s="499">
        <v>1000</v>
      </c>
      <c r="D598" s="500">
        <v>10.185</v>
      </c>
      <c r="E598" s="501">
        <v>0</v>
      </c>
      <c r="F598" s="501">
        <f t="shared" si="185"/>
        <v>10185</v>
      </c>
      <c r="G598" s="498">
        <v>42536</v>
      </c>
      <c r="H598" s="515">
        <v>400</v>
      </c>
      <c r="I598" s="500">
        <v>13.43</v>
      </c>
      <c r="J598" s="501">
        <v>0.12</v>
      </c>
      <c r="K598" s="501">
        <f t="shared" si="184"/>
        <v>5371.88</v>
      </c>
      <c r="L598" s="499"/>
      <c r="M598" s="501"/>
    </row>
    <row r="599" spans="1:13" x14ac:dyDescent="0.25">
      <c r="A599" s="499"/>
      <c r="B599" s="547">
        <v>42461</v>
      </c>
      <c r="C599" s="499">
        <v>2000</v>
      </c>
      <c r="D599" s="500">
        <v>10.43</v>
      </c>
      <c r="E599" s="501">
        <v>0</v>
      </c>
      <c r="F599" s="501">
        <f t="shared" si="185"/>
        <v>20860</v>
      </c>
      <c r="G599" s="498">
        <v>42537</v>
      </c>
      <c r="H599" s="515">
        <v>400</v>
      </c>
      <c r="I599" s="500">
        <v>12.69</v>
      </c>
      <c r="J599" s="501">
        <v>0.11</v>
      </c>
      <c r="K599" s="501">
        <f t="shared" si="184"/>
        <v>5075.8900000000003</v>
      </c>
      <c r="L599" s="499"/>
      <c r="M599" s="501"/>
    </row>
    <row r="600" spans="1:13" x14ac:dyDescent="0.25">
      <c r="A600" s="499"/>
      <c r="B600" s="547">
        <v>42461</v>
      </c>
      <c r="C600" s="499">
        <v>2000</v>
      </c>
      <c r="D600" s="500">
        <v>10.42</v>
      </c>
      <c r="E600" s="501">
        <v>0</v>
      </c>
      <c r="F600" s="501">
        <f t="shared" si="185"/>
        <v>20840</v>
      </c>
      <c r="G600" s="498">
        <v>42538</v>
      </c>
      <c r="H600" s="515">
        <v>500</v>
      </c>
      <c r="I600" s="500">
        <v>13.34</v>
      </c>
      <c r="J600" s="501">
        <v>0.15</v>
      </c>
      <c r="K600" s="501">
        <f t="shared" si="184"/>
        <v>6669.85</v>
      </c>
      <c r="L600" s="499"/>
      <c r="M600" s="501"/>
    </row>
    <row r="601" spans="1:13" ht="45" x14ac:dyDescent="0.25">
      <c r="A601" s="499"/>
      <c r="B601" s="547">
        <v>42465</v>
      </c>
      <c r="C601" s="499">
        <v>100</v>
      </c>
      <c r="D601" s="500">
        <v>10.4</v>
      </c>
      <c r="E601" s="501">
        <v>0</v>
      </c>
      <c r="F601" s="501">
        <f t="shared" si="185"/>
        <v>1040</v>
      </c>
      <c r="G601" s="616" t="s">
        <v>219</v>
      </c>
      <c r="H601" s="515">
        <v>500</v>
      </c>
      <c r="I601" s="500">
        <v>13.91</v>
      </c>
      <c r="J601" s="501">
        <v>0.15</v>
      </c>
      <c r="K601" s="501">
        <f t="shared" si="184"/>
        <v>6954.85</v>
      </c>
      <c r="L601" s="499"/>
      <c r="M601" s="501"/>
    </row>
    <row r="602" spans="1:13" x14ac:dyDescent="0.25">
      <c r="A602" s="499"/>
      <c r="B602" s="547">
        <v>42471</v>
      </c>
      <c r="C602" s="499">
        <v>500</v>
      </c>
      <c r="D602" s="500">
        <v>11.77</v>
      </c>
      <c r="E602" s="501">
        <v>0</v>
      </c>
      <c r="F602" s="501">
        <f t="shared" si="185"/>
        <v>5885</v>
      </c>
      <c r="G602" s="616"/>
      <c r="H602" s="515">
        <v>600</v>
      </c>
      <c r="I602" s="500">
        <v>14.36</v>
      </c>
      <c r="J602" s="501">
        <v>0.19</v>
      </c>
      <c r="K602" s="501">
        <f t="shared" si="184"/>
        <v>8615.81</v>
      </c>
      <c r="L602" s="499"/>
      <c r="M602" s="501"/>
    </row>
    <row r="603" spans="1:13" x14ac:dyDescent="0.25">
      <c r="A603" s="499"/>
      <c r="B603" s="547">
        <v>42471</v>
      </c>
      <c r="C603" s="499">
        <v>500</v>
      </c>
      <c r="D603" s="500">
        <v>11.55</v>
      </c>
      <c r="E603" s="501">
        <v>0</v>
      </c>
      <c r="F603" s="501">
        <f t="shared" si="185"/>
        <v>5775</v>
      </c>
      <c r="G603" s="616"/>
      <c r="H603" s="515">
        <v>500</v>
      </c>
      <c r="I603" s="500">
        <v>14.65</v>
      </c>
      <c r="J603" s="501">
        <v>0.16</v>
      </c>
      <c r="K603" s="501">
        <f t="shared" si="184"/>
        <v>7324.84</v>
      </c>
      <c r="L603" s="499"/>
      <c r="M603" s="501"/>
    </row>
    <row r="604" spans="1:13" x14ac:dyDescent="0.25">
      <c r="A604" s="499"/>
      <c r="B604" s="547">
        <v>42472</v>
      </c>
      <c r="C604" s="499">
        <v>610</v>
      </c>
      <c r="D604" s="500">
        <v>12.95</v>
      </c>
      <c r="E604" s="501">
        <v>0</v>
      </c>
      <c r="F604" s="501">
        <f t="shared" si="185"/>
        <v>7899.5</v>
      </c>
      <c r="G604" s="498">
        <v>42542</v>
      </c>
      <c r="H604" s="515">
        <v>500</v>
      </c>
      <c r="I604" s="500">
        <v>14.95</v>
      </c>
      <c r="J604" s="501">
        <v>0.16</v>
      </c>
      <c r="K604" s="501">
        <f t="shared" si="184"/>
        <v>7474.84</v>
      </c>
      <c r="L604" s="499"/>
      <c r="M604" s="501"/>
    </row>
    <row r="605" spans="1:13" x14ac:dyDescent="0.25">
      <c r="A605" s="499"/>
      <c r="B605" s="547">
        <v>42473</v>
      </c>
      <c r="C605" s="499">
        <v>970</v>
      </c>
      <c r="D605" s="500">
        <v>12.76</v>
      </c>
      <c r="E605" s="501">
        <v>4.0999999999999996</v>
      </c>
      <c r="F605" s="501">
        <f t="shared" si="185"/>
        <v>12381.3</v>
      </c>
      <c r="G605" s="498">
        <v>42542</v>
      </c>
      <c r="H605" s="515">
        <v>378</v>
      </c>
      <c r="I605" s="500">
        <v>15.2</v>
      </c>
      <c r="J605" s="501">
        <v>0.13</v>
      </c>
      <c r="K605" s="501">
        <f t="shared" si="184"/>
        <v>5745.4699999999993</v>
      </c>
      <c r="L605" s="499"/>
      <c r="M605" s="501"/>
    </row>
    <row r="606" spans="1:13" x14ac:dyDescent="0.25">
      <c r="A606" s="499"/>
      <c r="B606" s="547">
        <v>42474</v>
      </c>
      <c r="C606" s="499">
        <v>420</v>
      </c>
      <c r="D606" s="500">
        <v>12.755000000000001</v>
      </c>
      <c r="E606" s="501">
        <v>0.34</v>
      </c>
      <c r="F606" s="501">
        <f t="shared" si="185"/>
        <v>5357.4400000000005</v>
      </c>
      <c r="G606" s="499"/>
      <c r="H606" s="515"/>
      <c r="I606" s="500"/>
      <c r="J606" s="501"/>
      <c r="K606" s="501"/>
      <c r="L606" s="499"/>
      <c r="M606" s="501"/>
    </row>
    <row r="607" spans="1:13" x14ac:dyDescent="0.25">
      <c r="A607" s="499"/>
      <c r="B607" s="547">
        <v>42475</v>
      </c>
      <c r="C607" s="499">
        <v>500</v>
      </c>
      <c r="D607" s="500">
        <v>13.02</v>
      </c>
      <c r="E607" s="501">
        <v>-1.75</v>
      </c>
      <c r="F607" s="501">
        <f t="shared" si="185"/>
        <v>6508.25</v>
      </c>
      <c r="G607" s="499"/>
      <c r="H607" s="515"/>
      <c r="I607" s="500"/>
      <c r="J607" s="501"/>
      <c r="K607" s="501"/>
      <c r="L607" s="499"/>
      <c r="M607" s="501"/>
    </row>
    <row r="608" spans="1:13" x14ac:dyDescent="0.25">
      <c r="A608" s="499"/>
      <c r="B608" s="547">
        <v>42485</v>
      </c>
      <c r="C608" s="499">
        <v>500</v>
      </c>
      <c r="D608" s="500">
        <v>13.95</v>
      </c>
      <c r="E608" s="501">
        <v>0</v>
      </c>
      <c r="F608" s="501">
        <f t="shared" si="185"/>
        <v>6975</v>
      </c>
      <c r="G608" s="499"/>
      <c r="H608" s="515"/>
      <c r="I608" s="500"/>
      <c r="J608" s="501"/>
      <c r="K608" s="501"/>
      <c r="L608" s="499"/>
      <c r="M608" s="501"/>
    </row>
    <row r="609" spans="1:13" x14ac:dyDescent="0.25">
      <c r="A609" s="499"/>
      <c r="B609" s="547">
        <v>42487</v>
      </c>
      <c r="C609" s="499">
        <v>600</v>
      </c>
      <c r="D609" s="500">
        <v>14.63</v>
      </c>
      <c r="E609" s="501">
        <v>0</v>
      </c>
      <c r="F609" s="501">
        <f t="shared" si="185"/>
        <v>8778</v>
      </c>
      <c r="G609" s="499"/>
      <c r="H609" s="515"/>
      <c r="I609" s="500"/>
      <c r="J609" s="501"/>
      <c r="K609" s="501"/>
      <c r="L609" s="499"/>
      <c r="M609" s="501"/>
    </row>
    <row r="610" spans="1:13" x14ac:dyDescent="0.25">
      <c r="A610" s="499"/>
      <c r="B610" s="547">
        <v>42488</v>
      </c>
      <c r="C610" s="499">
        <v>500</v>
      </c>
      <c r="D610" s="500">
        <v>14.52</v>
      </c>
      <c r="E610" s="501">
        <v>0</v>
      </c>
      <c r="F610" s="501">
        <f t="shared" si="185"/>
        <v>7260</v>
      </c>
      <c r="G610" s="499"/>
      <c r="H610" s="515"/>
      <c r="I610" s="500"/>
      <c r="J610" s="501"/>
      <c r="K610" s="501"/>
      <c r="L610" s="499"/>
      <c r="M610" s="501"/>
    </row>
    <row r="611" spans="1:13" ht="30" x14ac:dyDescent="0.25">
      <c r="A611" s="617" t="s">
        <v>197</v>
      </c>
      <c r="B611" s="547">
        <v>42489</v>
      </c>
      <c r="C611" s="499">
        <v>500</v>
      </c>
      <c r="D611" s="500">
        <v>14.35</v>
      </c>
      <c r="E611" s="501">
        <v>0</v>
      </c>
      <c r="F611" s="501">
        <f t="shared" si="185"/>
        <v>7175</v>
      </c>
      <c r="G611" s="499"/>
      <c r="H611" s="515"/>
      <c r="I611" s="500"/>
      <c r="J611" s="501"/>
      <c r="K611" s="501"/>
      <c r="L611" s="499"/>
      <c r="M611" s="501"/>
    </row>
    <row r="612" spans="1:13" x14ac:dyDescent="0.25">
      <c r="A612" s="617"/>
      <c r="B612" s="547">
        <v>42489</v>
      </c>
      <c r="C612" s="499">
        <v>500</v>
      </c>
      <c r="D612" s="500">
        <v>14.15</v>
      </c>
      <c r="E612" s="501">
        <v>0</v>
      </c>
      <c r="F612" s="501">
        <f t="shared" si="185"/>
        <v>7075</v>
      </c>
      <c r="G612" s="499"/>
      <c r="H612" s="515"/>
      <c r="I612" s="500"/>
      <c r="J612" s="501"/>
      <c r="K612" s="501"/>
      <c r="L612" s="499"/>
      <c r="M612" s="501"/>
    </row>
    <row r="613" spans="1:13" x14ac:dyDescent="0.25">
      <c r="A613" s="617"/>
      <c r="B613" s="547">
        <v>42489</v>
      </c>
      <c r="C613" s="499">
        <v>1000</v>
      </c>
      <c r="D613" s="500">
        <v>13.92</v>
      </c>
      <c r="E613" s="501">
        <v>0</v>
      </c>
      <c r="F613" s="501">
        <f t="shared" si="185"/>
        <v>13920</v>
      </c>
      <c r="G613" s="499"/>
      <c r="H613" s="515"/>
      <c r="I613" s="500"/>
      <c r="J613" s="501"/>
      <c r="K613" s="501"/>
      <c r="L613" s="499"/>
      <c r="M613" s="501"/>
    </row>
    <row r="614" spans="1:13" x14ac:dyDescent="0.25">
      <c r="A614" s="617"/>
      <c r="B614" s="547">
        <v>42489</v>
      </c>
      <c r="C614" s="499">
        <v>1000</v>
      </c>
      <c r="D614" s="500">
        <v>13.8</v>
      </c>
      <c r="E614" s="501">
        <v>0</v>
      </c>
      <c r="F614" s="501">
        <f t="shared" si="185"/>
        <v>13800</v>
      </c>
      <c r="G614" s="499"/>
      <c r="H614" s="515"/>
      <c r="I614" s="500"/>
      <c r="J614" s="501"/>
      <c r="K614" s="501"/>
      <c r="L614" s="499"/>
      <c r="M614" s="501"/>
    </row>
    <row r="615" spans="1:13" x14ac:dyDescent="0.25">
      <c r="A615" s="499"/>
      <c r="B615" s="547">
        <v>42492</v>
      </c>
      <c r="C615" s="499">
        <v>1500</v>
      </c>
      <c r="D615" s="500">
        <v>13.25</v>
      </c>
      <c r="E615" s="501">
        <v>0</v>
      </c>
      <c r="F615" s="501">
        <f t="shared" si="185"/>
        <v>19875</v>
      </c>
      <c r="G615" s="499"/>
      <c r="H615" s="515"/>
      <c r="I615" s="500"/>
      <c r="J615" s="501"/>
      <c r="K615" s="501"/>
      <c r="L615" s="499"/>
      <c r="M615" s="501"/>
    </row>
    <row r="616" spans="1:13" x14ac:dyDescent="0.25">
      <c r="A616" s="499"/>
      <c r="B616" s="547">
        <v>42492</v>
      </c>
      <c r="C616" s="499">
        <v>500</v>
      </c>
      <c r="D616" s="500">
        <v>13.6</v>
      </c>
      <c r="E616" s="501">
        <v>0</v>
      </c>
      <c r="F616" s="501">
        <f t="shared" si="185"/>
        <v>6800</v>
      </c>
      <c r="G616" s="499"/>
      <c r="H616" s="515"/>
      <c r="I616" s="500"/>
      <c r="J616" s="501"/>
      <c r="K616" s="501"/>
      <c r="L616" s="499"/>
      <c r="M616" s="501"/>
    </row>
    <row r="617" spans="1:13" x14ac:dyDescent="0.25">
      <c r="A617" s="499"/>
      <c r="B617" s="547">
        <v>42493</v>
      </c>
      <c r="C617" s="499">
        <v>322</v>
      </c>
      <c r="D617" s="500">
        <v>12.85</v>
      </c>
      <c r="E617" s="501">
        <v>0</v>
      </c>
      <c r="F617" s="501">
        <f t="shared" si="185"/>
        <v>4137.7</v>
      </c>
      <c r="G617" s="499"/>
      <c r="H617" s="515"/>
      <c r="I617" s="500"/>
      <c r="J617" s="501"/>
      <c r="K617" s="501"/>
      <c r="L617" s="499"/>
      <c r="M617" s="501"/>
    </row>
    <row r="618" spans="1:13" ht="30" x14ac:dyDescent="0.25">
      <c r="A618" s="601" t="s">
        <v>201</v>
      </c>
      <c r="B618" s="547">
        <v>42494</v>
      </c>
      <c r="C618" s="499">
        <v>1000</v>
      </c>
      <c r="D618" s="500">
        <v>12.25</v>
      </c>
      <c r="E618" s="501">
        <v>0</v>
      </c>
      <c r="F618" s="501">
        <f t="shared" si="185"/>
        <v>12250</v>
      </c>
      <c r="G618" s="499"/>
      <c r="H618" s="515"/>
      <c r="I618" s="500"/>
      <c r="J618" s="501"/>
      <c r="K618" s="501"/>
      <c r="L618" s="499"/>
      <c r="M618" s="501"/>
    </row>
    <row r="619" spans="1:13" x14ac:dyDescent="0.25">
      <c r="A619" s="601"/>
      <c r="B619" s="547">
        <v>42494</v>
      </c>
      <c r="C619" s="499">
        <v>500</v>
      </c>
      <c r="D619" s="500">
        <v>12.53</v>
      </c>
      <c r="E619" s="501">
        <v>0</v>
      </c>
      <c r="F619" s="501">
        <f t="shared" si="185"/>
        <v>6265</v>
      </c>
      <c r="G619" s="499"/>
      <c r="H619" s="515"/>
      <c r="I619" s="500"/>
      <c r="J619" s="501"/>
      <c r="K619" s="501"/>
      <c r="L619" s="499"/>
      <c r="M619" s="501"/>
    </row>
    <row r="620" spans="1:13" x14ac:dyDescent="0.25">
      <c r="A620" s="601"/>
      <c r="B620" s="547">
        <v>42494</v>
      </c>
      <c r="C620" s="499">
        <v>500</v>
      </c>
      <c r="D620" s="500">
        <v>12.65</v>
      </c>
      <c r="E620" s="501">
        <v>0</v>
      </c>
      <c r="F620" s="501">
        <f t="shared" si="185"/>
        <v>6325</v>
      </c>
      <c r="G620" s="499"/>
      <c r="H620" s="515"/>
      <c r="I620" s="500"/>
      <c r="J620" s="501"/>
      <c r="K620" s="501"/>
      <c r="L620" s="499"/>
      <c r="M620" s="501"/>
    </row>
    <row r="621" spans="1:13" x14ac:dyDescent="0.25">
      <c r="A621" s="499"/>
      <c r="B621" s="547">
        <v>42495</v>
      </c>
      <c r="C621" s="499">
        <v>1000</v>
      </c>
      <c r="D621" s="500">
        <v>11.95</v>
      </c>
      <c r="E621" s="501">
        <v>0</v>
      </c>
      <c r="F621" s="501">
        <f t="shared" si="185"/>
        <v>11950</v>
      </c>
      <c r="G621" s="499"/>
      <c r="H621" s="515"/>
      <c r="I621" s="500"/>
      <c r="J621" s="501"/>
      <c r="K621" s="501"/>
      <c r="L621" s="499"/>
      <c r="M621" s="501"/>
    </row>
    <row r="622" spans="1:13" x14ac:dyDescent="0.25">
      <c r="A622" s="499"/>
      <c r="B622" s="547">
        <v>42499</v>
      </c>
      <c r="C622" s="499">
        <v>500</v>
      </c>
      <c r="D622" s="500">
        <v>11.48</v>
      </c>
      <c r="E622" s="501">
        <v>0</v>
      </c>
      <c r="F622" s="501">
        <f t="shared" si="185"/>
        <v>5740</v>
      </c>
      <c r="G622" s="499"/>
      <c r="H622" s="515"/>
      <c r="I622" s="500"/>
      <c r="J622" s="501"/>
      <c r="K622" s="501"/>
      <c r="L622" s="499"/>
      <c r="M622" s="501"/>
    </row>
    <row r="623" spans="1:13" x14ac:dyDescent="0.25">
      <c r="A623" s="499"/>
      <c r="B623" s="547">
        <v>42499</v>
      </c>
      <c r="C623" s="499">
        <v>500</v>
      </c>
      <c r="D623" s="500">
        <v>11.32</v>
      </c>
      <c r="E623" s="501">
        <v>0</v>
      </c>
      <c r="F623" s="501">
        <f t="shared" si="185"/>
        <v>5660</v>
      </c>
      <c r="G623" s="499"/>
      <c r="H623" s="515"/>
      <c r="I623" s="500"/>
      <c r="J623" s="501"/>
      <c r="K623" s="501"/>
      <c r="L623" s="499"/>
      <c r="M623" s="501"/>
    </row>
    <row r="624" spans="1:13" ht="30" x14ac:dyDescent="0.25">
      <c r="A624" s="617" t="s">
        <v>204</v>
      </c>
      <c r="B624" s="547">
        <v>42502</v>
      </c>
      <c r="C624" s="499">
        <v>500</v>
      </c>
      <c r="D624" s="500">
        <v>12.38</v>
      </c>
      <c r="E624" s="501">
        <v>0</v>
      </c>
      <c r="F624" s="501">
        <f t="shared" si="185"/>
        <v>6190</v>
      </c>
      <c r="G624" s="499"/>
      <c r="H624" s="515"/>
      <c r="I624" s="500"/>
      <c r="J624" s="501"/>
      <c r="K624" s="501"/>
      <c r="L624" s="499"/>
      <c r="M624" s="501"/>
    </row>
    <row r="625" spans="1:13" x14ac:dyDescent="0.25">
      <c r="A625" s="617"/>
      <c r="B625" s="547">
        <v>42502</v>
      </c>
      <c r="C625" s="499">
        <v>500</v>
      </c>
      <c r="D625" s="500">
        <v>12.3</v>
      </c>
      <c r="E625" s="501">
        <v>0</v>
      </c>
      <c r="F625" s="501">
        <f t="shared" si="185"/>
        <v>6150</v>
      </c>
      <c r="G625" s="499"/>
      <c r="H625" s="515"/>
      <c r="I625" s="500"/>
      <c r="J625" s="501"/>
      <c r="K625" s="501"/>
      <c r="L625" s="499"/>
      <c r="M625" s="501"/>
    </row>
    <row r="626" spans="1:13" x14ac:dyDescent="0.25">
      <c r="A626" s="617"/>
      <c r="B626" s="547">
        <v>42502</v>
      </c>
      <c r="C626" s="499">
        <v>500</v>
      </c>
      <c r="D626" s="500">
        <v>12.23</v>
      </c>
      <c r="E626" s="501">
        <v>0</v>
      </c>
      <c r="F626" s="501">
        <f t="shared" si="185"/>
        <v>6115</v>
      </c>
      <c r="G626" s="499"/>
      <c r="H626" s="515"/>
      <c r="I626" s="500"/>
      <c r="J626" s="501"/>
      <c r="K626" s="501"/>
      <c r="L626" s="499"/>
      <c r="M626" s="501"/>
    </row>
    <row r="627" spans="1:13" x14ac:dyDescent="0.25">
      <c r="A627" s="499"/>
      <c r="B627" s="547">
        <v>42503</v>
      </c>
      <c r="C627" s="499">
        <v>500</v>
      </c>
      <c r="D627" s="500">
        <v>12.41</v>
      </c>
      <c r="E627" s="501">
        <v>0</v>
      </c>
      <c r="F627" s="501">
        <f t="shared" si="185"/>
        <v>6205</v>
      </c>
      <c r="G627" s="499"/>
      <c r="H627" s="515"/>
      <c r="I627" s="500"/>
      <c r="J627" s="501"/>
      <c r="K627" s="501"/>
      <c r="L627" s="499"/>
      <c r="M627" s="501"/>
    </row>
    <row r="628" spans="1:13" x14ac:dyDescent="0.25">
      <c r="A628" s="499"/>
      <c r="B628" s="547">
        <v>42506</v>
      </c>
      <c r="C628" s="499">
        <v>300</v>
      </c>
      <c r="D628" s="500">
        <v>12.8</v>
      </c>
      <c r="E628" s="501">
        <v>0</v>
      </c>
      <c r="F628" s="501">
        <f t="shared" si="185"/>
        <v>3840</v>
      </c>
      <c r="G628" s="499"/>
      <c r="H628" s="515"/>
      <c r="I628" s="500"/>
      <c r="J628" s="501"/>
      <c r="K628" s="501"/>
      <c r="L628" s="499"/>
      <c r="M628" s="501"/>
    </row>
    <row r="629" spans="1:13" x14ac:dyDescent="0.25">
      <c r="A629" s="499"/>
      <c r="B629" s="547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6">C629*D629+E629</f>
        <v>6508.35</v>
      </c>
      <c r="G629" s="499"/>
      <c r="H629" s="515"/>
      <c r="I629" s="500"/>
      <c r="J629" s="501"/>
      <c r="K629" s="501"/>
      <c r="L629" s="499"/>
      <c r="M629" s="501"/>
    </row>
    <row r="630" spans="1:13" x14ac:dyDescent="0.25">
      <c r="A630" s="499"/>
      <c r="B630" s="547">
        <v>42515</v>
      </c>
      <c r="C630" s="499">
        <v>500</v>
      </c>
      <c r="D630" s="500">
        <v>13.45</v>
      </c>
      <c r="E630" s="501">
        <v>1</v>
      </c>
      <c r="F630" s="501">
        <f t="shared" si="186"/>
        <v>6726</v>
      </c>
      <c r="G630" s="499"/>
      <c r="H630" s="515"/>
      <c r="I630" s="500"/>
      <c r="J630" s="501"/>
      <c r="K630" s="501"/>
      <c r="L630" s="499"/>
      <c r="M630" s="501"/>
    </row>
    <row r="631" spans="1:13" x14ac:dyDescent="0.25">
      <c r="A631" s="499"/>
      <c r="B631" s="547">
        <v>42516</v>
      </c>
      <c r="C631" s="499">
        <v>500</v>
      </c>
      <c r="D631" s="500">
        <v>13.28</v>
      </c>
      <c r="E631" s="501">
        <v>-1.04</v>
      </c>
      <c r="F631" s="501">
        <f t="shared" si="186"/>
        <v>6638.96</v>
      </c>
      <c r="G631" s="499"/>
      <c r="H631" s="515"/>
      <c r="I631" s="500"/>
      <c r="J631" s="501"/>
      <c r="K631" s="501"/>
      <c r="L631" s="499"/>
      <c r="M631" s="501"/>
    </row>
    <row r="632" spans="1:13" x14ac:dyDescent="0.25">
      <c r="A632" s="499"/>
      <c r="B632" s="547">
        <v>42517</v>
      </c>
      <c r="C632" s="499">
        <v>500</v>
      </c>
      <c r="D632" s="500">
        <v>12.79</v>
      </c>
      <c r="E632" s="501">
        <v>0</v>
      </c>
      <c r="F632" s="501">
        <f t="shared" si="186"/>
        <v>6395</v>
      </c>
      <c r="G632" s="499"/>
      <c r="H632" s="515"/>
      <c r="I632" s="500"/>
      <c r="J632" s="501"/>
      <c r="K632" s="501"/>
      <c r="L632" s="499"/>
      <c r="M632" s="501"/>
    </row>
    <row r="633" spans="1:13" x14ac:dyDescent="0.25">
      <c r="A633" s="499"/>
      <c r="B633" s="547">
        <v>42524</v>
      </c>
      <c r="C633" s="499">
        <v>400</v>
      </c>
      <c r="D633" s="500">
        <v>13.28</v>
      </c>
      <c r="E633" s="501">
        <v>0</v>
      </c>
      <c r="F633" s="501">
        <f t="shared" si="186"/>
        <v>5312</v>
      </c>
      <c r="G633" s="499"/>
      <c r="H633" s="515"/>
      <c r="I633" s="500"/>
      <c r="J633" s="501"/>
      <c r="K633" s="501"/>
      <c r="L633" s="499"/>
      <c r="M633" s="501"/>
    </row>
    <row r="634" spans="1:13" x14ac:dyDescent="0.25">
      <c r="A634" s="499"/>
      <c r="B634" s="547">
        <v>42529</v>
      </c>
      <c r="C634" s="499">
        <v>500</v>
      </c>
      <c r="D634" s="500">
        <v>14.59</v>
      </c>
      <c r="E634" s="501">
        <v>0</v>
      </c>
      <c r="F634" s="501">
        <f t="shared" si="186"/>
        <v>7295</v>
      </c>
      <c r="G634" s="499"/>
      <c r="H634" s="515"/>
      <c r="I634" s="500"/>
      <c r="J634" s="501"/>
      <c r="K634" s="501"/>
      <c r="L634" s="499"/>
      <c r="M634" s="501"/>
    </row>
    <row r="635" spans="1:13" x14ac:dyDescent="0.25">
      <c r="A635" s="499"/>
      <c r="B635" s="547">
        <v>42531</v>
      </c>
      <c r="C635" s="499">
        <v>800</v>
      </c>
      <c r="D635" s="500">
        <v>13.79</v>
      </c>
      <c r="E635" s="501">
        <v>0</v>
      </c>
      <c r="F635" s="501">
        <f t="shared" si="186"/>
        <v>11032</v>
      </c>
      <c r="G635" s="499"/>
      <c r="H635" s="515"/>
      <c r="I635" s="500"/>
      <c r="J635" s="501"/>
      <c r="K635" s="501"/>
      <c r="L635" s="499"/>
      <c r="M635" s="501"/>
    </row>
    <row r="636" spans="1:13" x14ac:dyDescent="0.25">
      <c r="A636" s="499"/>
      <c r="B636" s="547">
        <v>42531</v>
      </c>
      <c r="C636" s="499">
        <v>300</v>
      </c>
      <c r="D636" s="500">
        <v>13.4</v>
      </c>
      <c r="E636" s="501">
        <v>0</v>
      </c>
      <c r="F636" s="501">
        <f t="shared" si="186"/>
        <v>4020</v>
      </c>
      <c r="G636" s="499"/>
      <c r="H636" s="515"/>
      <c r="I636" s="500"/>
      <c r="J636" s="501"/>
      <c r="K636" s="501"/>
      <c r="L636" s="499"/>
      <c r="M636" s="501"/>
    </row>
    <row r="637" spans="1:13" x14ac:dyDescent="0.25">
      <c r="A637" s="499"/>
      <c r="B637" s="547">
        <v>42535</v>
      </c>
      <c r="C637" s="499">
        <v>400</v>
      </c>
      <c r="D637" s="500">
        <v>12.85</v>
      </c>
      <c r="E637" s="501">
        <v>0</v>
      </c>
      <c r="F637" s="501">
        <f t="shared" si="186"/>
        <v>5140</v>
      </c>
      <c r="G637" s="499"/>
      <c r="H637" s="515"/>
      <c r="I637" s="500"/>
      <c r="J637" s="501"/>
      <c r="K637" s="501"/>
      <c r="L637" s="499"/>
      <c r="M637" s="501"/>
    </row>
    <row r="638" spans="1:13" x14ac:dyDescent="0.25">
      <c r="A638" s="499"/>
      <c r="B638" s="547">
        <v>42537</v>
      </c>
      <c r="C638" s="499">
        <v>400</v>
      </c>
      <c r="D638" s="500">
        <v>12.43</v>
      </c>
      <c r="E638" s="501">
        <v>-0.04</v>
      </c>
      <c r="F638" s="501">
        <f t="shared" si="186"/>
        <v>4971.96</v>
      </c>
      <c r="G638" s="499"/>
      <c r="H638" s="515"/>
      <c r="I638" s="500"/>
      <c r="J638" s="501"/>
      <c r="K638" s="501"/>
      <c r="L638" s="499"/>
      <c r="M638" s="501"/>
    </row>
    <row r="639" spans="1:13" x14ac:dyDescent="0.25">
      <c r="A639" s="499"/>
      <c r="B639" s="547">
        <v>42538</v>
      </c>
      <c r="C639" s="499">
        <v>500</v>
      </c>
      <c r="D639" s="500">
        <v>13.14</v>
      </c>
      <c r="E639" s="501">
        <v>0</v>
      </c>
      <c r="F639" s="501">
        <f t="shared" si="186"/>
        <v>6570</v>
      </c>
      <c r="G639" s="499"/>
      <c r="H639" s="515"/>
      <c r="I639" s="500"/>
      <c r="J639" s="501"/>
      <c r="K639" s="501"/>
      <c r="L639" s="499"/>
      <c r="M639" s="501"/>
    </row>
    <row r="640" spans="1:13" x14ac:dyDescent="0.25">
      <c r="A640" s="499"/>
      <c r="B640" s="547">
        <v>42543</v>
      </c>
      <c r="C640" s="499">
        <v>500</v>
      </c>
      <c r="D640" s="500">
        <v>14.75</v>
      </c>
      <c r="E640" s="501">
        <v>0</v>
      </c>
      <c r="F640" s="501">
        <f t="shared" si="186"/>
        <v>7375</v>
      </c>
      <c r="G640" s="498">
        <v>42544</v>
      </c>
      <c r="H640" s="515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7">
        <v>42545</v>
      </c>
      <c r="C641" s="499">
        <v>878</v>
      </c>
      <c r="D641" s="500">
        <v>14.41</v>
      </c>
      <c r="E641" s="501">
        <v>0</v>
      </c>
      <c r="F641" s="501">
        <f t="shared" si="186"/>
        <v>12651.98</v>
      </c>
      <c r="G641" s="499"/>
      <c r="H641" s="515"/>
      <c r="I641" s="500"/>
      <c r="J641" s="501"/>
      <c r="K641" s="501"/>
      <c r="L641" s="499"/>
      <c r="M641" s="501"/>
    </row>
    <row r="642" spans="1:13" x14ac:dyDescent="0.25">
      <c r="A642" s="499"/>
      <c r="B642" s="547">
        <v>42545</v>
      </c>
      <c r="C642" s="499">
        <v>335</v>
      </c>
      <c r="D642" s="500">
        <v>14.08</v>
      </c>
      <c r="E642" s="501">
        <v>0</v>
      </c>
      <c r="F642" s="501">
        <f t="shared" si="186"/>
        <v>4716.8</v>
      </c>
      <c r="G642" s="499"/>
      <c r="H642" s="515"/>
      <c r="I642" s="500"/>
      <c r="J642" s="501"/>
      <c r="K642" s="501"/>
      <c r="L642" s="499"/>
      <c r="M642" s="501"/>
    </row>
    <row r="643" spans="1:13" x14ac:dyDescent="0.25">
      <c r="A643" s="499"/>
      <c r="B643" s="547">
        <v>42548</v>
      </c>
      <c r="C643" s="499">
        <v>965</v>
      </c>
      <c r="D643" s="500">
        <v>13.81</v>
      </c>
      <c r="E643" s="501">
        <v>0</v>
      </c>
      <c r="F643" s="501">
        <f t="shared" si="186"/>
        <v>13326.65</v>
      </c>
      <c r="G643" s="499"/>
      <c r="H643" s="515"/>
      <c r="I643" s="500"/>
      <c r="J643" s="501"/>
      <c r="K643" s="501"/>
      <c r="L643" s="499"/>
      <c r="M643" s="501"/>
    </row>
    <row r="644" spans="1:13" x14ac:dyDescent="0.25">
      <c r="A644" s="499"/>
      <c r="B644" s="547">
        <v>42548</v>
      </c>
      <c r="C644" s="499">
        <v>300</v>
      </c>
      <c r="D644" s="500">
        <v>13.58</v>
      </c>
      <c r="E644" s="501">
        <v>0</v>
      </c>
      <c r="F644" s="501">
        <f t="shared" si="186"/>
        <v>4074</v>
      </c>
      <c r="G644" s="498">
        <v>42549</v>
      </c>
      <c r="H644" s="515">
        <v>1100</v>
      </c>
      <c r="I644" s="500">
        <v>14.68</v>
      </c>
      <c r="J644" s="501">
        <v>0.35</v>
      </c>
      <c r="K644" s="501">
        <f t="shared" ref="K644:K729" si="187">H644*I644-J644</f>
        <v>16147.65</v>
      </c>
      <c r="L644" s="499"/>
      <c r="M644" s="501"/>
    </row>
    <row r="645" spans="1:13" ht="45" x14ac:dyDescent="0.25">
      <c r="A645" s="499"/>
      <c r="B645" s="547">
        <v>42556</v>
      </c>
      <c r="C645" s="499">
        <v>2178</v>
      </c>
      <c r="D645" s="500">
        <v>15.08</v>
      </c>
      <c r="E645" s="501">
        <v>0</v>
      </c>
      <c r="F645" s="501">
        <f t="shared" si="186"/>
        <v>32844.239999999998</v>
      </c>
      <c r="G645" s="613" t="s">
        <v>228</v>
      </c>
      <c r="H645" s="515">
        <v>500</v>
      </c>
      <c r="I645" s="500">
        <v>15.48</v>
      </c>
      <c r="J645" s="501">
        <v>0.17</v>
      </c>
      <c r="K645" s="501">
        <f t="shared" si="187"/>
        <v>7739.83</v>
      </c>
      <c r="L645" s="499"/>
      <c r="M645" s="501"/>
    </row>
    <row r="646" spans="1:13" x14ac:dyDescent="0.25">
      <c r="A646" s="499"/>
      <c r="B646" s="547">
        <v>42556</v>
      </c>
      <c r="C646" s="499">
        <v>500</v>
      </c>
      <c r="D646" s="500">
        <v>14.62</v>
      </c>
      <c r="E646" s="501">
        <v>0</v>
      </c>
      <c r="F646" s="501">
        <f t="shared" si="186"/>
        <v>7310</v>
      </c>
      <c r="G646" s="613"/>
      <c r="H646" s="515">
        <v>378</v>
      </c>
      <c r="I646" s="500">
        <v>15.65</v>
      </c>
      <c r="J646" s="501">
        <v>0.13</v>
      </c>
      <c r="K646" s="501">
        <f t="shared" si="187"/>
        <v>5915.57</v>
      </c>
      <c r="L646" s="499"/>
      <c r="M646" s="501"/>
    </row>
    <row r="647" spans="1:13" x14ac:dyDescent="0.25">
      <c r="A647" s="499"/>
      <c r="B647" s="547">
        <v>42557</v>
      </c>
      <c r="C647" s="499">
        <v>500</v>
      </c>
      <c r="D647" s="500">
        <v>14.78</v>
      </c>
      <c r="E647" s="501">
        <v>0</v>
      </c>
      <c r="F647" s="501">
        <f t="shared" si="186"/>
        <v>7390</v>
      </c>
      <c r="G647" s="613"/>
      <c r="H647" s="515">
        <v>500</v>
      </c>
      <c r="I647" s="500">
        <v>15.51</v>
      </c>
      <c r="J647" s="501">
        <v>0.17</v>
      </c>
      <c r="K647" s="501">
        <f t="shared" si="187"/>
        <v>7754.83</v>
      </c>
      <c r="L647" s="499"/>
      <c r="M647" s="501"/>
    </row>
    <row r="648" spans="1:13" x14ac:dyDescent="0.25">
      <c r="A648" s="499"/>
      <c r="B648" s="599">
        <v>42564</v>
      </c>
      <c r="C648" s="499">
        <v>320</v>
      </c>
      <c r="D648" s="500">
        <v>15.48</v>
      </c>
      <c r="E648" s="501">
        <v>0</v>
      </c>
      <c r="F648" s="501">
        <f t="shared" si="186"/>
        <v>4953.6000000000004</v>
      </c>
      <c r="G648" s="613"/>
      <c r="H648" s="515">
        <v>800</v>
      </c>
      <c r="I648" s="500">
        <v>15.78</v>
      </c>
      <c r="J648" s="501">
        <v>0.28000000000000003</v>
      </c>
      <c r="K648" s="501">
        <f t="shared" si="187"/>
        <v>12623.72</v>
      </c>
      <c r="L648" s="499"/>
      <c r="M648" s="501"/>
    </row>
    <row r="649" spans="1:13" x14ac:dyDescent="0.25">
      <c r="A649" s="600"/>
      <c r="B649" s="599">
        <v>42564</v>
      </c>
      <c r="C649" s="499">
        <v>160</v>
      </c>
      <c r="D649" s="500">
        <v>15.48</v>
      </c>
      <c r="E649" s="501">
        <v>0</v>
      </c>
      <c r="F649" s="501">
        <f t="shared" si="186"/>
        <v>2476.8000000000002</v>
      </c>
      <c r="G649" s="498">
        <v>42557</v>
      </c>
      <c r="H649" s="515">
        <v>500</v>
      </c>
      <c r="I649" s="500">
        <v>14.92</v>
      </c>
      <c r="J649" s="501">
        <v>0.16</v>
      </c>
      <c r="K649" s="501">
        <f t="shared" si="187"/>
        <v>7459.84</v>
      </c>
      <c r="L649" s="499"/>
      <c r="M649" s="501"/>
    </row>
    <row r="650" spans="1:13" x14ac:dyDescent="0.25">
      <c r="A650" s="600"/>
      <c r="B650" s="547">
        <v>42570</v>
      </c>
      <c r="C650" s="499">
        <v>200</v>
      </c>
      <c r="D650" s="500">
        <v>15.18</v>
      </c>
      <c r="E650" s="501">
        <v>0</v>
      </c>
      <c r="F650" s="501">
        <f t="shared" si="186"/>
        <v>3036</v>
      </c>
      <c r="G650" s="498">
        <v>42564</v>
      </c>
      <c r="H650" s="515">
        <v>420</v>
      </c>
      <c r="I650" s="500">
        <v>15.68</v>
      </c>
      <c r="J650" s="501">
        <v>0.14000000000000001</v>
      </c>
      <c r="K650" s="501">
        <f t="shared" si="187"/>
        <v>6585.4599999999991</v>
      </c>
      <c r="L650" s="499"/>
      <c r="M650" s="501"/>
    </row>
    <row r="651" spans="1:13" x14ac:dyDescent="0.25">
      <c r="A651" s="600"/>
      <c r="B651" s="547">
        <v>42570</v>
      </c>
      <c r="C651" s="499">
        <v>200</v>
      </c>
      <c r="D651" s="500">
        <v>14.68</v>
      </c>
      <c r="E651" s="501">
        <v>0</v>
      </c>
      <c r="F651" s="501">
        <f t="shared" si="186"/>
        <v>2936</v>
      </c>
      <c r="G651" s="498">
        <v>42571</v>
      </c>
      <c r="H651" s="515">
        <v>200</v>
      </c>
      <c r="I651" s="500">
        <v>14.82</v>
      </c>
      <c r="J651" s="501">
        <v>0.06</v>
      </c>
      <c r="K651" s="501">
        <f t="shared" si="187"/>
        <v>2963.94</v>
      </c>
      <c r="L651" s="499"/>
      <c r="M651" s="501"/>
    </row>
    <row r="652" spans="1:13" x14ac:dyDescent="0.25">
      <c r="A652" s="499"/>
      <c r="B652" s="547">
        <v>42571</v>
      </c>
      <c r="C652" s="499">
        <v>200</v>
      </c>
      <c r="D652" s="500">
        <v>14.33</v>
      </c>
      <c r="E652" s="501">
        <v>-1</v>
      </c>
      <c r="F652" s="501">
        <f t="shared" si="186"/>
        <v>2865</v>
      </c>
      <c r="G652" s="498">
        <v>42572</v>
      </c>
      <c r="H652" s="515">
        <v>200</v>
      </c>
      <c r="I652" s="500">
        <v>14.8</v>
      </c>
      <c r="J652" s="501">
        <v>0.06</v>
      </c>
      <c r="K652" s="501">
        <f t="shared" si="187"/>
        <v>2959.94</v>
      </c>
      <c r="L652" s="499"/>
      <c r="M652" s="501"/>
    </row>
    <row r="653" spans="1:13" x14ac:dyDescent="0.25">
      <c r="A653" s="499"/>
      <c r="B653" s="547">
        <v>42572</v>
      </c>
      <c r="C653" s="499">
        <v>60</v>
      </c>
      <c r="D653" s="500">
        <v>14.58</v>
      </c>
      <c r="E653" s="501">
        <v>0</v>
      </c>
      <c r="F653" s="501">
        <f t="shared" si="186"/>
        <v>874.8</v>
      </c>
      <c r="G653" s="498">
        <v>42577</v>
      </c>
      <c r="H653" s="515">
        <v>200</v>
      </c>
      <c r="I653" s="500">
        <v>13.78</v>
      </c>
      <c r="J653" s="501">
        <v>0.06</v>
      </c>
      <c r="K653" s="501">
        <f t="shared" si="187"/>
        <v>2755.94</v>
      </c>
      <c r="L653" s="499"/>
      <c r="M653" s="501"/>
    </row>
    <row r="654" spans="1:13" x14ac:dyDescent="0.25">
      <c r="A654" s="499"/>
      <c r="B654" s="547">
        <v>42572</v>
      </c>
      <c r="C654" s="499">
        <v>140</v>
      </c>
      <c r="D654" s="500">
        <v>14.65</v>
      </c>
      <c r="E654" s="501">
        <v>0</v>
      </c>
      <c r="F654" s="501">
        <f t="shared" si="186"/>
        <v>2051</v>
      </c>
      <c r="G654" s="498">
        <v>42580</v>
      </c>
      <c r="H654" s="515">
        <v>200</v>
      </c>
      <c r="I654" s="500">
        <v>13.224</v>
      </c>
      <c r="J654" s="501">
        <v>0.08</v>
      </c>
      <c r="K654" s="501">
        <f t="shared" si="187"/>
        <v>2644.7200000000003</v>
      </c>
      <c r="L654" s="499"/>
      <c r="M654" s="501"/>
    </row>
    <row r="655" spans="1:13" x14ac:dyDescent="0.25">
      <c r="A655" s="499"/>
      <c r="B655" s="547">
        <v>42573</v>
      </c>
      <c r="C655" s="499">
        <v>140</v>
      </c>
      <c r="D655" s="500">
        <v>14.08</v>
      </c>
      <c r="E655" s="501">
        <v>0</v>
      </c>
      <c r="F655" s="501">
        <f t="shared" si="186"/>
        <v>1971.2</v>
      </c>
      <c r="G655" s="498">
        <v>42580</v>
      </c>
      <c r="H655" s="515">
        <v>200</v>
      </c>
      <c r="I655" s="500">
        <v>13.58</v>
      </c>
      <c r="J655" s="501">
        <v>0.06</v>
      </c>
      <c r="K655" s="501">
        <f t="shared" si="187"/>
        <v>2715.94</v>
      </c>
      <c r="L655" s="499"/>
      <c r="M655" s="501"/>
    </row>
    <row r="656" spans="1:13" x14ac:dyDescent="0.25">
      <c r="A656" s="499"/>
      <c r="B656" s="547">
        <v>42576</v>
      </c>
      <c r="C656" s="499">
        <v>200</v>
      </c>
      <c r="D656" s="500">
        <v>13.55</v>
      </c>
      <c r="E656" s="501">
        <v>0</v>
      </c>
      <c r="F656" s="501">
        <f t="shared" si="186"/>
        <v>2710</v>
      </c>
      <c r="G656" s="498">
        <v>42586</v>
      </c>
      <c r="H656" s="515">
        <v>400</v>
      </c>
      <c r="I656" s="500">
        <v>13.78</v>
      </c>
      <c r="J656" s="501">
        <v>0.12</v>
      </c>
      <c r="K656" s="501">
        <f t="shared" si="187"/>
        <v>5511.88</v>
      </c>
      <c r="L656" s="499"/>
      <c r="M656" s="501"/>
    </row>
    <row r="657" spans="1:13" x14ac:dyDescent="0.25">
      <c r="A657" s="499"/>
      <c r="B657" s="547">
        <v>42578</v>
      </c>
      <c r="C657" s="499">
        <v>200</v>
      </c>
      <c r="D657" s="500">
        <v>13.18</v>
      </c>
      <c r="E657" s="501">
        <v>0</v>
      </c>
      <c r="F657" s="501">
        <f t="shared" si="186"/>
        <v>2636</v>
      </c>
      <c r="G657" s="498">
        <v>42586</v>
      </c>
      <c r="H657" s="515">
        <v>400</v>
      </c>
      <c r="I657" s="500">
        <v>13.72</v>
      </c>
      <c r="J657" s="501">
        <v>0.12</v>
      </c>
      <c r="K657" s="501">
        <f t="shared" si="187"/>
        <v>5487.88</v>
      </c>
      <c r="L657" s="499"/>
      <c r="M657" s="501"/>
    </row>
    <row r="658" spans="1:13" x14ac:dyDescent="0.25">
      <c r="A658" s="499"/>
      <c r="B658" s="547">
        <v>42580</v>
      </c>
      <c r="C658" s="499">
        <v>200</v>
      </c>
      <c r="D658" s="500">
        <v>13.15</v>
      </c>
      <c r="E658" s="501">
        <v>0</v>
      </c>
      <c r="F658" s="501">
        <f t="shared" si="186"/>
        <v>2630</v>
      </c>
      <c r="G658" s="498">
        <v>42586</v>
      </c>
      <c r="H658" s="515">
        <v>140</v>
      </c>
      <c r="I658" s="500">
        <v>13.88</v>
      </c>
      <c r="J658" s="501">
        <v>0.04</v>
      </c>
      <c r="K658" s="501">
        <f t="shared" si="187"/>
        <v>1943.16</v>
      </c>
      <c r="L658" s="499"/>
      <c r="M658" s="501"/>
    </row>
    <row r="659" spans="1:13" x14ac:dyDescent="0.25">
      <c r="A659" s="499"/>
      <c r="B659" s="547">
        <v>42583</v>
      </c>
      <c r="C659" s="596">
        <v>20</v>
      </c>
      <c r="D659" s="500">
        <v>13.02</v>
      </c>
      <c r="E659" s="501">
        <v>0</v>
      </c>
      <c r="F659" s="501">
        <f t="shared" si="186"/>
        <v>260.39999999999998</v>
      </c>
      <c r="G659" s="498">
        <v>42593</v>
      </c>
      <c r="H659" s="515">
        <v>460</v>
      </c>
      <c r="I659" s="500">
        <v>14.59</v>
      </c>
      <c r="J659" s="501">
        <v>0.15</v>
      </c>
      <c r="K659" s="501">
        <f t="shared" si="187"/>
        <v>6711.25</v>
      </c>
      <c r="L659" s="499"/>
      <c r="M659" s="501"/>
    </row>
    <row r="660" spans="1:13" x14ac:dyDescent="0.25">
      <c r="A660" s="499"/>
      <c r="B660" s="547">
        <v>42583</v>
      </c>
      <c r="C660" s="499">
        <v>180</v>
      </c>
      <c r="D660" s="500">
        <v>13.02</v>
      </c>
      <c r="E660" s="501">
        <v>0</v>
      </c>
      <c r="F660" s="501">
        <f t="shared" si="186"/>
        <v>2343.6</v>
      </c>
      <c r="G660" s="498">
        <v>42594</v>
      </c>
      <c r="H660" s="515">
        <v>500</v>
      </c>
      <c r="I660" s="500">
        <v>14.88</v>
      </c>
      <c r="J660" s="501">
        <v>0.16</v>
      </c>
      <c r="K660" s="501">
        <f t="shared" si="187"/>
        <v>7439.84</v>
      </c>
      <c r="L660" s="499"/>
      <c r="M660" s="501"/>
    </row>
    <row r="661" spans="1:13" x14ac:dyDescent="0.25">
      <c r="A661" s="499"/>
      <c r="B661" s="547">
        <v>42584</v>
      </c>
      <c r="C661" s="499">
        <v>120</v>
      </c>
      <c r="D661" s="500">
        <v>12.68</v>
      </c>
      <c r="E661" s="501">
        <v>0</v>
      </c>
      <c r="F661" s="501">
        <f t="shared" si="186"/>
        <v>1521.6</v>
      </c>
      <c r="G661" s="498">
        <v>42598</v>
      </c>
      <c r="H661" s="515">
        <v>500</v>
      </c>
      <c r="I661" s="500">
        <v>15.18</v>
      </c>
      <c r="J661" s="501">
        <v>0.17</v>
      </c>
      <c r="K661" s="501">
        <f t="shared" si="187"/>
        <v>7589.83</v>
      </c>
      <c r="L661" s="499"/>
      <c r="M661" s="501"/>
    </row>
    <row r="662" spans="1:13" x14ac:dyDescent="0.25">
      <c r="A662" s="499"/>
      <c r="B662" s="547">
        <v>42584</v>
      </c>
      <c r="C662" s="499">
        <v>80</v>
      </c>
      <c r="D662" s="500">
        <v>12.68</v>
      </c>
      <c r="E662" s="501">
        <v>0</v>
      </c>
      <c r="F662" s="501">
        <f t="shared" si="186"/>
        <v>1014.4</v>
      </c>
      <c r="G662" s="498">
        <v>42599</v>
      </c>
      <c r="H662" s="515">
        <v>500</v>
      </c>
      <c r="I662" s="500">
        <v>15.18</v>
      </c>
      <c r="J662" s="501">
        <v>0.17</v>
      </c>
      <c r="K662" s="501">
        <f t="shared" si="187"/>
        <v>7589.83</v>
      </c>
      <c r="L662" s="499"/>
      <c r="M662" s="501"/>
    </row>
    <row r="663" spans="1:13" x14ac:dyDescent="0.25">
      <c r="A663" s="499"/>
      <c r="B663" s="547">
        <v>42585</v>
      </c>
      <c r="C663" s="499">
        <v>242</v>
      </c>
      <c r="D663" s="500">
        <v>13.38</v>
      </c>
      <c r="E663" s="501">
        <v>0</v>
      </c>
      <c r="F663" s="501">
        <f t="shared" si="186"/>
        <v>3237.96</v>
      </c>
      <c r="G663" s="498">
        <v>42599</v>
      </c>
      <c r="H663" s="515">
        <v>500</v>
      </c>
      <c r="I663" s="500">
        <v>15.41</v>
      </c>
      <c r="J663" s="501">
        <v>0.17</v>
      </c>
      <c r="K663" s="501">
        <f t="shared" si="187"/>
        <v>7704.83</v>
      </c>
      <c r="L663" s="499"/>
      <c r="M663" s="501"/>
    </row>
    <row r="664" spans="1:13" x14ac:dyDescent="0.25">
      <c r="A664" s="499"/>
      <c r="B664" s="547">
        <v>42585</v>
      </c>
      <c r="C664" s="499">
        <v>158</v>
      </c>
      <c r="D664" s="500">
        <v>13.38</v>
      </c>
      <c r="E664" s="501">
        <v>0</v>
      </c>
      <c r="F664" s="501">
        <f t="shared" si="186"/>
        <v>2114.04</v>
      </c>
      <c r="G664" s="498">
        <v>42599</v>
      </c>
      <c r="H664" s="515">
        <v>500</v>
      </c>
      <c r="I664" s="500">
        <v>15.65</v>
      </c>
      <c r="J664" s="501">
        <v>0.17</v>
      </c>
      <c r="K664" s="501">
        <f t="shared" si="187"/>
        <v>7824.83</v>
      </c>
      <c r="L664" s="499"/>
      <c r="M664" s="501"/>
    </row>
    <row r="665" spans="1:13" ht="45" x14ac:dyDescent="0.25">
      <c r="A665" s="499"/>
      <c r="B665" s="547">
        <v>42594</v>
      </c>
      <c r="C665" s="499">
        <v>500</v>
      </c>
      <c r="D665" s="500">
        <v>14.65</v>
      </c>
      <c r="E665" s="501">
        <v>0</v>
      </c>
      <c r="F665" s="501">
        <f t="shared" si="186"/>
        <v>7325</v>
      </c>
      <c r="G665" s="618" t="s">
        <v>256</v>
      </c>
      <c r="H665" s="515">
        <v>500</v>
      </c>
      <c r="I665" s="500">
        <v>16.18</v>
      </c>
      <c r="J665" s="501">
        <v>0.18</v>
      </c>
      <c r="K665" s="501">
        <f t="shared" si="187"/>
        <v>8089.82</v>
      </c>
      <c r="L665" s="499"/>
      <c r="M665" s="501"/>
    </row>
    <row r="666" spans="1:13" x14ac:dyDescent="0.25">
      <c r="A666" s="499"/>
      <c r="B666" s="547">
        <v>42599</v>
      </c>
      <c r="C666" s="499">
        <v>242</v>
      </c>
      <c r="D666" s="500">
        <v>14.95</v>
      </c>
      <c r="E666" s="501">
        <v>0</v>
      </c>
      <c r="F666" s="501">
        <f t="shared" si="186"/>
        <v>3617.8999999999996</v>
      </c>
      <c r="G666" s="618"/>
      <c r="H666" s="515">
        <v>500</v>
      </c>
      <c r="I666" s="500">
        <v>16.38</v>
      </c>
      <c r="J666" s="501">
        <v>0.18</v>
      </c>
      <c r="K666" s="501">
        <f t="shared" si="187"/>
        <v>8189.8199999999988</v>
      </c>
      <c r="L666" s="499"/>
      <c r="M666" s="501"/>
    </row>
    <row r="667" spans="1:13" x14ac:dyDescent="0.25">
      <c r="A667" s="499"/>
      <c r="B667" s="547">
        <v>42599</v>
      </c>
      <c r="C667" s="499">
        <v>200</v>
      </c>
      <c r="D667" s="500">
        <v>14.95</v>
      </c>
      <c r="E667" s="501">
        <v>0</v>
      </c>
      <c r="F667" s="501">
        <f t="shared" si="186"/>
        <v>2990</v>
      </c>
      <c r="G667" s="618"/>
      <c r="H667" s="515">
        <v>178</v>
      </c>
      <c r="I667" s="500">
        <v>16.5</v>
      </c>
      <c r="J667" s="501">
        <v>0.06</v>
      </c>
      <c r="K667" s="501">
        <f t="shared" si="187"/>
        <v>2936.94</v>
      </c>
      <c r="L667" s="499"/>
      <c r="M667" s="501"/>
    </row>
    <row r="668" spans="1:13" x14ac:dyDescent="0.25">
      <c r="A668" s="499"/>
      <c r="B668" s="547">
        <v>42599</v>
      </c>
      <c r="C668" s="499">
        <v>36</v>
      </c>
      <c r="D668" s="500">
        <v>14.95</v>
      </c>
      <c r="E668" s="501">
        <v>0</v>
      </c>
      <c r="F668" s="501">
        <f t="shared" si="186"/>
        <v>538.19999999999993</v>
      </c>
      <c r="G668" s="618"/>
      <c r="H668" s="515">
        <v>500</v>
      </c>
      <c r="I668" s="500">
        <v>16.72</v>
      </c>
      <c r="J668" s="501">
        <v>0.18</v>
      </c>
      <c r="K668" s="501">
        <f t="shared" si="187"/>
        <v>8359.82</v>
      </c>
      <c r="L668" s="499"/>
      <c r="M668" s="501"/>
    </row>
    <row r="669" spans="1:13" x14ac:dyDescent="0.25">
      <c r="A669" s="499"/>
      <c r="B669" s="547">
        <v>42599</v>
      </c>
      <c r="C669" s="499">
        <v>22</v>
      </c>
      <c r="D669" s="500">
        <v>14.95</v>
      </c>
      <c r="E669" s="501">
        <v>0</v>
      </c>
      <c r="F669" s="501">
        <f t="shared" si="186"/>
        <v>328.9</v>
      </c>
      <c r="G669" s="498">
        <v>42601</v>
      </c>
      <c r="H669" s="515">
        <v>500</v>
      </c>
      <c r="I669" s="500">
        <v>16.82</v>
      </c>
      <c r="J669" s="501">
        <v>0.18</v>
      </c>
      <c r="K669" s="501">
        <f t="shared" si="187"/>
        <v>8409.82</v>
      </c>
      <c r="L669" s="499"/>
      <c r="M669" s="501"/>
    </row>
    <row r="670" spans="1:13" x14ac:dyDescent="0.25">
      <c r="A670" s="499"/>
      <c r="B670" s="547">
        <v>42604</v>
      </c>
      <c r="C670" s="499">
        <v>1000</v>
      </c>
      <c r="D670" s="500">
        <v>15.68</v>
      </c>
      <c r="E670" s="501">
        <v>0</v>
      </c>
      <c r="F670" s="501">
        <f t="shared" si="186"/>
        <v>15680</v>
      </c>
      <c r="G670" s="498">
        <v>42605</v>
      </c>
      <c r="H670" s="515">
        <v>500</v>
      </c>
      <c r="I670" s="500">
        <v>15.98</v>
      </c>
      <c r="J670" s="501">
        <v>0.17</v>
      </c>
      <c r="K670" s="501">
        <f t="shared" si="187"/>
        <v>7989.83</v>
      </c>
      <c r="L670" s="499"/>
      <c r="M670" s="501"/>
    </row>
    <row r="671" spans="1:13" x14ac:dyDescent="0.25">
      <c r="A671" s="499"/>
      <c r="B671" s="547">
        <v>42604</v>
      </c>
      <c r="C671" s="499">
        <v>500</v>
      </c>
      <c r="D671" s="500">
        <v>15.48</v>
      </c>
      <c r="E671" s="501">
        <v>0</v>
      </c>
      <c r="F671" s="501">
        <f t="shared" si="186"/>
        <v>7740</v>
      </c>
      <c r="G671" s="498">
        <v>42605</v>
      </c>
      <c r="H671" s="515">
        <v>500</v>
      </c>
      <c r="I671" s="500">
        <v>16.25</v>
      </c>
      <c r="J671" s="501">
        <v>0.18</v>
      </c>
      <c r="K671" s="501">
        <f t="shared" si="187"/>
        <v>8124.82</v>
      </c>
      <c r="L671" s="499"/>
      <c r="M671" s="501"/>
    </row>
    <row r="672" spans="1:13" x14ac:dyDescent="0.25">
      <c r="A672" s="499"/>
      <c r="B672" s="547">
        <v>42606</v>
      </c>
      <c r="C672" s="499">
        <v>178</v>
      </c>
      <c r="D672" s="500">
        <v>16.059999999999999</v>
      </c>
      <c r="E672" s="501">
        <v>0</v>
      </c>
      <c r="F672" s="501">
        <f t="shared" si="186"/>
        <v>2858.68</v>
      </c>
      <c r="G672" s="498">
        <v>42605</v>
      </c>
      <c r="H672" s="515">
        <v>500</v>
      </c>
      <c r="I672" s="500">
        <v>16.48</v>
      </c>
      <c r="J672" s="501">
        <v>0.18</v>
      </c>
      <c r="K672" s="501">
        <f t="shared" si="187"/>
        <v>8239.82</v>
      </c>
      <c r="L672" s="499"/>
      <c r="M672" s="501"/>
    </row>
    <row r="673" spans="1:13" x14ac:dyDescent="0.25">
      <c r="A673" s="499"/>
      <c r="B673" s="547">
        <v>42608</v>
      </c>
      <c r="C673" s="499">
        <v>500</v>
      </c>
      <c r="D673" s="500">
        <v>15.98</v>
      </c>
      <c r="E673" s="501">
        <v>0</v>
      </c>
      <c r="F673" s="501">
        <f t="shared" si="186"/>
        <v>7990</v>
      </c>
      <c r="G673" s="498">
        <v>42615</v>
      </c>
      <c r="H673" s="515">
        <v>500</v>
      </c>
      <c r="I673" s="500">
        <v>15.65</v>
      </c>
      <c r="J673" s="501">
        <v>0.17</v>
      </c>
      <c r="K673" s="501">
        <f t="shared" si="187"/>
        <v>7824.83</v>
      </c>
      <c r="L673" s="499"/>
      <c r="M673" s="501"/>
    </row>
    <row r="674" spans="1:13" ht="30" x14ac:dyDescent="0.25">
      <c r="A674" s="499"/>
      <c r="B674" s="547">
        <v>42608</v>
      </c>
      <c r="C674" s="499">
        <v>500</v>
      </c>
      <c r="D674" s="500">
        <v>15.85</v>
      </c>
      <c r="E674" s="501">
        <v>0</v>
      </c>
      <c r="F674" s="501">
        <f t="shared" si="186"/>
        <v>7925</v>
      </c>
      <c r="G674" s="498">
        <v>42621</v>
      </c>
      <c r="H674" s="515">
        <v>500</v>
      </c>
      <c r="I674" s="500">
        <v>16.72</v>
      </c>
      <c r="J674" s="501">
        <v>0.18</v>
      </c>
      <c r="K674" s="501">
        <f t="shared" si="187"/>
        <v>8359.82</v>
      </c>
      <c r="L674" s="619" t="s">
        <v>269</v>
      </c>
      <c r="M674" s="501"/>
    </row>
    <row r="675" spans="1:13" x14ac:dyDescent="0.25">
      <c r="A675" s="499"/>
      <c r="B675" s="547">
        <v>42612</v>
      </c>
      <c r="C675" s="499">
        <v>500</v>
      </c>
      <c r="D675" s="500">
        <v>15.68</v>
      </c>
      <c r="E675" s="501">
        <v>0</v>
      </c>
      <c r="F675" s="501">
        <f t="shared" si="186"/>
        <v>7840</v>
      </c>
      <c r="G675" s="498">
        <v>42621</v>
      </c>
      <c r="H675" s="515">
        <v>500</v>
      </c>
      <c r="I675" s="500">
        <v>16.28</v>
      </c>
      <c r="J675" s="501">
        <v>0.18</v>
      </c>
      <c r="K675" s="501">
        <f t="shared" si="187"/>
        <v>8139.8200000000006</v>
      </c>
      <c r="L675" s="619"/>
      <c r="M675" s="501"/>
    </row>
    <row r="676" spans="1:13" x14ac:dyDescent="0.25">
      <c r="A676" s="499"/>
      <c r="B676" s="547">
        <v>42612</v>
      </c>
      <c r="C676" s="499">
        <v>500</v>
      </c>
      <c r="D676" s="500">
        <v>15.55</v>
      </c>
      <c r="E676" s="501">
        <v>0</v>
      </c>
      <c r="F676" s="501">
        <f t="shared" si="186"/>
        <v>7775</v>
      </c>
      <c r="G676" s="498">
        <v>42621</v>
      </c>
      <c r="H676" s="515">
        <v>220</v>
      </c>
      <c r="I676" s="500">
        <v>16.77</v>
      </c>
      <c r="J676" s="501">
        <v>0.08</v>
      </c>
      <c r="K676" s="501">
        <f t="shared" si="187"/>
        <v>3689.32</v>
      </c>
      <c r="L676" s="619"/>
      <c r="M676" s="501"/>
    </row>
    <row r="677" spans="1:13" x14ac:dyDescent="0.25">
      <c r="A677" s="499"/>
      <c r="B677" s="547">
        <v>42613</v>
      </c>
      <c r="C677" s="499">
        <v>500</v>
      </c>
      <c r="D677" s="500">
        <v>15.244999999999999</v>
      </c>
      <c r="E677" s="501">
        <v>0</v>
      </c>
      <c r="F677" s="501">
        <f t="shared" si="186"/>
        <v>7622.5</v>
      </c>
      <c r="G677" s="498">
        <v>42625</v>
      </c>
      <c r="H677" s="515">
        <v>500</v>
      </c>
      <c r="I677" s="500">
        <v>15.5</v>
      </c>
      <c r="J677" s="501">
        <v>0.17</v>
      </c>
      <c r="K677" s="501">
        <f t="shared" si="187"/>
        <v>7749.83</v>
      </c>
      <c r="L677" s="499"/>
      <c r="M677" s="501"/>
    </row>
    <row r="678" spans="1:13" x14ac:dyDescent="0.25">
      <c r="A678" s="499"/>
      <c r="B678" s="547">
        <v>42613</v>
      </c>
      <c r="C678" s="499">
        <v>500</v>
      </c>
      <c r="D678" s="500">
        <v>15.08</v>
      </c>
      <c r="E678" s="501">
        <v>0</v>
      </c>
      <c r="F678" s="501">
        <f t="shared" si="186"/>
        <v>7540</v>
      </c>
      <c r="G678" s="498">
        <v>42628</v>
      </c>
      <c r="H678" s="515">
        <v>300</v>
      </c>
      <c r="I678" s="500">
        <v>14.46</v>
      </c>
      <c r="J678" s="501">
        <v>0.09</v>
      </c>
      <c r="K678" s="501">
        <f t="shared" si="187"/>
        <v>4337.91</v>
      </c>
      <c r="L678" s="499"/>
      <c r="M678" s="501"/>
    </row>
    <row r="679" spans="1:13" x14ac:dyDescent="0.25">
      <c r="A679" s="499"/>
      <c r="B679" s="547">
        <v>42622</v>
      </c>
      <c r="C679" s="499">
        <v>220</v>
      </c>
      <c r="D679" s="500">
        <v>16.25</v>
      </c>
      <c r="E679" s="501">
        <v>0</v>
      </c>
      <c r="F679" s="501">
        <f t="shared" si="186"/>
        <v>3575</v>
      </c>
      <c r="G679" s="498">
        <v>42634</v>
      </c>
      <c r="H679" s="515">
        <v>322</v>
      </c>
      <c r="I679" s="500">
        <v>14.28</v>
      </c>
      <c r="J679" s="501">
        <v>0.1</v>
      </c>
      <c r="K679" s="501">
        <f t="shared" si="187"/>
        <v>4598.0599999999995</v>
      </c>
      <c r="L679" s="499"/>
      <c r="M679" s="501"/>
    </row>
    <row r="680" spans="1:13" x14ac:dyDescent="0.25">
      <c r="A680" s="499"/>
      <c r="B680" s="547">
        <v>42622</v>
      </c>
      <c r="C680" s="499">
        <v>500</v>
      </c>
      <c r="D680" s="500">
        <v>15.98</v>
      </c>
      <c r="E680" s="501">
        <v>0</v>
      </c>
      <c r="F680" s="501">
        <f t="shared" si="186"/>
        <v>7990</v>
      </c>
      <c r="G680" s="498">
        <v>42634</v>
      </c>
      <c r="H680" s="515">
        <v>400</v>
      </c>
      <c r="I680" s="500">
        <v>14.64</v>
      </c>
      <c r="J680" s="501">
        <v>0.13</v>
      </c>
      <c r="K680" s="501">
        <f t="shared" si="187"/>
        <v>5855.87</v>
      </c>
      <c r="L680" s="499"/>
      <c r="M680" s="501"/>
    </row>
    <row r="681" spans="1:13" x14ac:dyDescent="0.25">
      <c r="A681" s="499"/>
      <c r="B681" s="547">
        <v>42622</v>
      </c>
      <c r="C681" s="499">
        <v>500</v>
      </c>
      <c r="D681" s="500">
        <v>15.75</v>
      </c>
      <c r="E681" s="501">
        <v>0</v>
      </c>
      <c r="F681" s="501">
        <f t="shared" si="186"/>
        <v>7875</v>
      </c>
      <c r="G681" s="498">
        <v>42639</v>
      </c>
      <c r="H681" s="515">
        <v>200</v>
      </c>
      <c r="I681" s="500">
        <v>14.72</v>
      </c>
      <c r="J681" s="501">
        <v>0.06</v>
      </c>
      <c r="K681" s="501">
        <f t="shared" si="187"/>
        <v>2943.94</v>
      </c>
      <c r="L681" s="499"/>
      <c r="M681" s="501"/>
    </row>
    <row r="682" spans="1:13" x14ac:dyDescent="0.25">
      <c r="A682" s="499"/>
      <c r="B682" s="547">
        <v>42625</v>
      </c>
      <c r="C682" s="499">
        <v>500</v>
      </c>
      <c r="D682" s="500">
        <v>15.22</v>
      </c>
      <c r="E682" s="501">
        <v>0</v>
      </c>
      <c r="F682" s="501">
        <f t="shared" si="186"/>
        <v>7610</v>
      </c>
      <c r="G682" s="498">
        <v>42641</v>
      </c>
      <c r="H682" s="515">
        <v>300</v>
      </c>
      <c r="I682" s="500">
        <v>15.28</v>
      </c>
      <c r="J682" s="501">
        <v>0.1</v>
      </c>
      <c r="K682" s="501">
        <f t="shared" si="187"/>
        <v>4583.8999999999996</v>
      </c>
      <c r="L682" s="499"/>
      <c r="M682" s="501"/>
    </row>
    <row r="683" spans="1:13" ht="30" x14ac:dyDescent="0.25">
      <c r="A683" s="601" t="s">
        <v>278</v>
      </c>
      <c r="B683" s="547">
        <v>42626</v>
      </c>
      <c r="C683" s="499">
        <v>600</v>
      </c>
      <c r="D683" s="500">
        <v>14.91</v>
      </c>
      <c r="E683" s="501">
        <v>-3</v>
      </c>
      <c r="F683" s="501">
        <f t="shared" si="186"/>
        <v>8943</v>
      </c>
      <c r="G683" s="498">
        <v>42641</v>
      </c>
      <c r="H683" s="515">
        <v>400</v>
      </c>
      <c r="I683" s="500">
        <v>15.06</v>
      </c>
      <c r="J683" s="501">
        <v>0.13</v>
      </c>
      <c r="K683" s="501">
        <f t="shared" si="187"/>
        <v>6023.87</v>
      </c>
      <c r="L683" s="499"/>
      <c r="M683" s="501"/>
    </row>
    <row r="684" spans="1:13" x14ac:dyDescent="0.25">
      <c r="A684" s="601"/>
      <c r="B684" s="547">
        <v>42626</v>
      </c>
      <c r="C684" s="499">
        <v>400</v>
      </c>
      <c r="D684" s="500">
        <v>14.75</v>
      </c>
      <c r="E684" s="501">
        <v>0</v>
      </c>
      <c r="F684" s="501">
        <f t="shared" si="186"/>
        <v>5900</v>
      </c>
      <c r="G684" s="498">
        <v>42641</v>
      </c>
      <c r="H684" s="515">
        <v>322</v>
      </c>
      <c r="I684" s="500">
        <v>14.39</v>
      </c>
      <c r="J684" s="501">
        <v>0.1</v>
      </c>
      <c r="K684" s="501">
        <f t="shared" si="187"/>
        <v>4633.4799999999996</v>
      </c>
      <c r="L684" s="499"/>
      <c r="M684" s="501"/>
    </row>
    <row r="685" spans="1:13" x14ac:dyDescent="0.25">
      <c r="A685" s="601"/>
      <c r="B685" s="547">
        <v>42626</v>
      </c>
      <c r="C685" s="499">
        <v>300</v>
      </c>
      <c r="D685" s="500">
        <v>14.48</v>
      </c>
      <c r="E685" s="501">
        <v>0</v>
      </c>
      <c r="F685" s="501">
        <f t="shared" si="186"/>
        <v>4344</v>
      </c>
      <c r="G685" s="498">
        <v>42641</v>
      </c>
      <c r="H685" s="515">
        <v>500</v>
      </c>
      <c r="I685" s="500">
        <v>14.26</v>
      </c>
      <c r="J685" s="501">
        <v>0.16</v>
      </c>
      <c r="K685" s="501">
        <f t="shared" si="187"/>
        <v>7129.84</v>
      </c>
      <c r="L685" s="499"/>
      <c r="M685" s="501"/>
    </row>
    <row r="686" spans="1:13" x14ac:dyDescent="0.25">
      <c r="A686" s="601"/>
      <c r="B686" s="547">
        <v>42626</v>
      </c>
      <c r="C686" s="499">
        <v>300</v>
      </c>
      <c r="D686" s="500">
        <v>14.25</v>
      </c>
      <c r="E686" s="501">
        <v>0</v>
      </c>
      <c r="F686" s="501">
        <f t="shared" si="186"/>
        <v>4275</v>
      </c>
      <c r="G686" s="498">
        <v>42642</v>
      </c>
      <c r="H686" s="515">
        <v>300</v>
      </c>
      <c r="I686" s="500">
        <v>15.28</v>
      </c>
      <c r="J686" s="501">
        <v>0.1</v>
      </c>
      <c r="K686" s="501">
        <f t="shared" si="187"/>
        <v>4583.8999999999996</v>
      </c>
      <c r="L686" s="499"/>
      <c r="M686" s="501"/>
    </row>
    <row r="687" spans="1:13" x14ac:dyDescent="0.25">
      <c r="A687" s="601"/>
      <c r="B687" s="547">
        <v>42627</v>
      </c>
      <c r="C687" s="499">
        <v>200</v>
      </c>
      <c r="D687" s="500">
        <v>14.02</v>
      </c>
      <c r="E687" s="501">
        <v>-1</v>
      </c>
      <c r="F687" s="501">
        <f t="shared" si="186"/>
        <v>2803</v>
      </c>
      <c r="G687" s="498">
        <v>42642</v>
      </c>
      <c r="H687" s="515">
        <v>700</v>
      </c>
      <c r="I687" s="500">
        <v>15.78</v>
      </c>
      <c r="J687" s="501">
        <v>0.24</v>
      </c>
      <c r="K687" s="501">
        <f t="shared" si="187"/>
        <v>11045.76</v>
      </c>
      <c r="L687" s="499"/>
      <c r="M687" s="501"/>
    </row>
    <row r="688" spans="1:13" x14ac:dyDescent="0.25">
      <c r="A688" s="499"/>
      <c r="B688" s="547">
        <v>42628</v>
      </c>
      <c r="C688" s="499">
        <v>300</v>
      </c>
      <c r="D688" s="500">
        <v>14.3</v>
      </c>
      <c r="E688" s="501">
        <v>0</v>
      </c>
      <c r="F688" s="501">
        <f t="shared" si="186"/>
        <v>4290</v>
      </c>
      <c r="G688" s="498">
        <v>42642</v>
      </c>
      <c r="H688" s="515">
        <v>214</v>
      </c>
      <c r="I688" s="500">
        <v>15.98</v>
      </c>
      <c r="J688" s="501">
        <v>7.0000000000000007E-2</v>
      </c>
      <c r="K688" s="501">
        <f t="shared" si="187"/>
        <v>3419.65</v>
      </c>
      <c r="L688" s="499"/>
      <c r="M688" s="501"/>
    </row>
    <row r="689" spans="1:13" x14ac:dyDescent="0.25">
      <c r="A689" s="499"/>
      <c r="B689" s="547">
        <v>42632</v>
      </c>
      <c r="C689" s="499">
        <v>200</v>
      </c>
      <c r="D689" s="500">
        <v>14.06</v>
      </c>
      <c r="E689" s="501">
        <v>0</v>
      </c>
      <c r="F689" s="501">
        <f t="shared" si="186"/>
        <v>2812</v>
      </c>
      <c r="G689" s="498">
        <v>42648</v>
      </c>
      <c r="H689" s="515">
        <v>1000</v>
      </c>
      <c r="I689" s="500">
        <v>16.079999999999998</v>
      </c>
      <c r="J689" s="501">
        <v>0.35</v>
      </c>
      <c r="K689" s="501">
        <f t="shared" si="187"/>
        <v>16079.649999999998</v>
      </c>
      <c r="L689" s="499"/>
      <c r="M689" s="501"/>
    </row>
    <row r="690" spans="1:13" x14ac:dyDescent="0.25">
      <c r="A690" s="499"/>
      <c r="B690" s="547">
        <v>42633</v>
      </c>
      <c r="C690" s="499">
        <v>200</v>
      </c>
      <c r="D690" s="500">
        <v>14.11</v>
      </c>
      <c r="E690" s="501">
        <v>0</v>
      </c>
      <c r="F690" s="501">
        <f t="shared" si="186"/>
        <v>2822</v>
      </c>
      <c r="G690" s="498">
        <v>42648</v>
      </c>
      <c r="H690" s="515">
        <v>500</v>
      </c>
      <c r="I690" s="500">
        <v>16.38</v>
      </c>
      <c r="J690" s="501">
        <v>0.18</v>
      </c>
      <c r="K690" s="501">
        <f t="shared" si="187"/>
        <v>8189.8199999999988</v>
      </c>
      <c r="L690" s="499"/>
      <c r="M690" s="501"/>
    </row>
    <row r="691" spans="1:13" x14ac:dyDescent="0.25">
      <c r="A691" s="499"/>
      <c r="B691" s="547">
        <v>42633</v>
      </c>
      <c r="C691" s="499">
        <v>122</v>
      </c>
      <c r="D691" s="500">
        <v>14.1</v>
      </c>
      <c r="E691" s="501">
        <v>0</v>
      </c>
      <c r="F691" s="501">
        <f t="shared" si="186"/>
        <v>1720.2</v>
      </c>
      <c r="G691" s="498">
        <v>42649</v>
      </c>
      <c r="H691" s="515">
        <v>500</v>
      </c>
      <c r="I691" s="500">
        <v>16.16</v>
      </c>
      <c r="J691" s="501">
        <v>0.18</v>
      </c>
      <c r="K691" s="501">
        <f t="shared" si="187"/>
        <v>8079.82</v>
      </c>
      <c r="L691" s="499"/>
      <c r="M691" s="501"/>
    </row>
    <row r="692" spans="1:13" x14ac:dyDescent="0.25">
      <c r="A692" s="499"/>
      <c r="B692" s="547">
        <v>42636</v>
      </c>
      <c r="C692" s="499">
        <v>200</v>
      </c>
      <c r="D692" s="500">
        <v>14.38</v>
      </c>
      <c r="E692" s="501">
        <v>0</v>
      </c>
      <c r="F692" s="501">
        <f t="shared" si="186"/>
        <v>2876</v>
      </c>
      <c r="G692" s="498">
        <v>42671</v>
      </c>
      <c r="H692" s="515">
        <v>1000</v>
      </c>
      <c r="I692" s="500">
        <v>14.22</v>
      </c>
      <c r="J692" s="501">
        <v>0.31</v>
      </c>
      <c r="K692" s="501">
        <f t="shared" si="187"/>
        <v>14219.69</v>
      </c>
      <c r="L692" s="499"/>
      <c r="M692" s="501"/>
    </row>
    <row r="693" spans="1:13" x14ac:dyDescent="0.25">
      <c r="A693" s="499"/>
      <c r="B693" s="547">
        <v>42639</v>
      </c>
      <c r="C693" s="499">
        <v>200</v>
      </c>
      <c r="D693" s="500">
        <v>14.5</v>
      </c>
      <c r="E693" s="501">
        <v>0</v>
      </c>
      <c r="F693" s="501">
        <f t="shared" ref="F693:F707" si="188">C693*D693+E693</f>
        <v>2900</v>
      </c>
      <c r="G693" s="498">
        <v>42674</v>
      </c>
      <c r="H693" s="515">
        <v>300</v>
      </c>
      <c r="I693" s="500">
        <v>13.42</v>
      </c>
      <c r="J693" s="501">
        <v>0.09</v>
      </c>
      <c r="K693" s="501">
        <f t="shared" si="187"/>
        <v>4025.91</v>
      </c>
      <c r="L693" s="499"/>
      <c r="M693" s="501"/>
    </row>
    <row r="694" spans="1:13" x14ac:dyDescent="0.25">
      <c r="A694" s="499"/>
      <c r="B694" s="547">
        <v>42639</v>
      </c>
      <c r="C694" s="499">
        <v>200</v>
      </c>
      <c r="D694" s="500">
        <v>14.38</v>
      </c>
      <c r="E694" s="501">
        <v>0</v>
      </c>
      <c r="F694" s="501">
        <f t="shared" si="188"/>
        <v>2876</v>
      </c>
      <c r="G694" s="498">
        <v>42674</v>
      </c>
      <c r="H694" s="515">
        <v>200</v>
      </c>
      <c r="I694" s="500">
        <v>13.25</v>
      </c>
      <c r="J694" s="501">
        <v>-0.74</v>
      </c>
      <c r="K694" s="501">
        <f t="shared" si="187"/>
        <v>2650.74</v>
      </c>
      <c r="L694" s="499"/>
      <c r="M694" s="501"/>
    </row>
    <row r="695" spans="1:13" x14ac:dyDescent="0.25">
      <c r="A695" s="499"/>
      <c r="B695" s="547">
        <v>42640</v>
      </c>
      <c r="C695" s="499">
        <v>322</v>
      </c>
      <c r="D695" s="500">
        <v>13.97</v>
      </c>
      <c r="E695" s="501">
        <v>0</v>
      </c>
      <c r="F695" s="501">
        <f t="shared" si="188"/>
        <v>4498.34</v>
      </c>
      <c r="G695" s="498">
        <v>42676</v>
      </c>
      <c r="H695" s="515">
        <v>200</v>
      </c>
      <c r="I695" s="500">
        <v>13.05</v>
      </c>
      <c r="J695" s="501">
        <v>0.06</v>
      </c>
      <c r="K695" s="501">
        <f t="shared" si="187"/>
        <v>2609.94</v>
      </c>
      <c r="L695" s="499"/>
      <c r="M695" s="501"/>
    </row>
    <row r="696" spans="1:13" x14ac:dyDescent="0.25">
      <c r="A696" s="499"/>
      <c r="B696" s="547">
        <v>42641</v>
      </c>
      <c r="C696" s="499">
        <v>300</v>
      </c>
      <c r="D696" s="500">
        <v>14.02</v>
      </c>
      <c r="E696" s="501">
        <v>-1.26</v>
      </c>
      <c r="F696" s="501">
        <f t="shared" si="188"/>
        <v>4204.74</v>
      </c>
      <c r="G696" s="498">
        <v>42677</v>
      </c>
      <c r="H696" s="515">
        <v>500</v>
      </c>
      <c r="I696" s="500">
        <v>13.96</v>
      </c>
      <c r="J696" s="501">
        <v>0.15</v>
      </c>
      <c r="K696" s="501">
        <f t="shared" si="187"/>
        <v>6979.85</v>
      </c>
      <c r="L696" s="499"/>
      <c r="M696" s="501"/>
    </row>
    <row r="697" spans="1:13" x14ac:dyDescent="0.25">
      <c r="A697" s="499"/>
      <c r="B697" s="547">
        <v>42641</v>
      </c>
      <c r="C697" s="499">
        <v>200</v>
      </c>
      <c r="D697" s="500">
        <v>14.17</v>
      </c>
      <c r="E697" s="501">
        <v>0</v>
      </c>
      <c r="F697" s="501">
        <f t="shared" si="188"/>
        <v>2834</v>
      </c>
      <c r="G697" s="498">
        <v>42677</v>
      </c>
      <c r="H697" s="515">
        <v>2000</v>
      </c>
      <c r="I697" s="500">
        <v>14.5</v>
      </c>
      <c r="J697" s="501">
        <v>0.63</v>
      </c>
      <c r="K697" s="501">
        <f t="shared" si="187"/>
        <v>28999.37</v>
      </c>
      <c r="L697" s="499"/>
      <c r="M697" s="501"/>
    </row>
    <row r="698" spans="1:13" x14ac:dyDescent="0.25">
      <c r="A698" s="499"/>
      <c r="B698" s="547">
        <v>42642</v>
      </c>
      <c r="C698" s="499">
        <v>414</v>
      </c>
      <c r="D698" s="500">
        <v>15.66</v>
      </c>
      <c r="E698" s="501">
        <v>0</v>
      </c>
      <c r="F698" s="501">
        <f t="shared" si="188"/>
        <v>6483.24</v>
      </c>
      <c r="G698" s="498">
        <v>42682</v>
      </c>
      <c r="H698" s="515">
        <v>1000</v>
      </c>
      <c r="I698" s="500">
        <v>14.28</v>
      </c>
      <c r="J698" s="501">
        <v>0.31</v>
      </c>
      <c r="K698" s="501">
        <f t="shared" si="187"/>
        <v>14279.69</v>
      </c>
      <c r="L698" s="499"/>
      <c r="M698" s="501"/>
    </row>
    <row r="699" spans="1:13" ht="30" x14ac:dyDescent="0.25">
      <c r="A699" s="601" t="s">
        <v>293</v>
      </c>
      <c r="B699" s="547">
        <v>42647</v>
      </c>
      <c r="C699" s="499">
        <v>500</v>
      </c>
      <c r="D699" s="500">
        <v>15.86</v>
      </c>
      <c r="E699" s="501">
        <v>0</v>
      </c>
      <c r="F699" s="501">
        <f t="shared" si="188"/>
        <v>7930</v>
      </c>
      <c r="G699" s="498">
        <v>42685</v>
      </c>
      <c r="H699" s="515">
        <v>500</v>
      </c>
      <c r="I699" s="500">
        <v>15.88</v>
      </c>
      <c r="J699" s="501">
        <v>0.17</v>
      </c>
      <c r="K699" s="501">
        <f t="shared" si="187"/>
        <v>7939.83</v>
      </c>
      <c r="L699" s="499"/>
      <c r="M699" s="501"/>
    </row>
    <row r="700" spans="1:13" x14ac:dyDescent="0.25">
      <c r="A700" s="601"/>
      <c r="B700" s="547">
        <v>42647</v>
      </c>
      <c r="C700" s="499">
        <v>500</v>
      </c>
      <c r="D700" s="500">
        <v>15.62</v>
      </c>
      <c r="E700" s="501">
        <v>0</v>
      </c>
      <c r="F700" s="501">
        <f t="shared" si="188"/>
        <v>7810</v>
      </c>
      <c r="G700" s="498">
        <v>42695</v>
      </c>
      <c r="H700" s="515">
        <v>2272</v>
      </c>
      <c r="I700" s="500">
        <v>16.28</v>
      </c>
      <c r="J700" s="501">
        <v>0.81</v>
      </c>
      <c r="K700" s="501">
        <f t="shared" si="187"/>
        <v>36987.350000000006</v>
      </c>
      <c r="L700" s="499"/>
      <c r="M700" s="501"/>
    </row>
    <row r="701" spans="1:13" x14ac:dyDescent="0.25">
      <c r="A701" s="601"/>
      <c r="B701" s="547">
        <v>42649</v>
      </c>
      <c r="C701" s="499">
        <v>500</v>
      </c>
      <c r="D701" s="500">
        <v>15.97</v>
      </c>
      <c r="E701" s="501">
        <v>0</v>
      </c>
      <c r="F701" s="501">
        <f t="shared" si="188"/>
        <v>7985</v>
      </c>
      <c r="G701" s="498">
        <v>42695</v>
      </c>
      <c r="H701" s="515">
        <v>500</v>
      </c>
      <c r="I701" s="500">
        <v>16.45</v>
      </c>
      <c r="J701" s="501">
        <v>0.18</v>
      </c>
      <c r="K701" s="501">
        <f t="shared" si="187"/>
        <v>8224.82</v>
      </c>
      <c r="L701" s="499"/>
      <c r="M701" s="501"/>
    </row>
    <row r="702" spans="1:13" x14ac:dyDescent="0.25">
      <c r="A702" s="601"/>
      <c r="B702" s="547">
        <v>42649</v>
      </c>
      <c r="C702" s="499">
        <v>500</v>
      </c>
      <c r="D702" s="500">
        <v>15.84</v>
      </c>
      <c r="E702" s="501">
        <v>0</v>
      </c>
      <c r="F702" s="501">
        <f t="shared" si="188"/>
        <v>7920</v>
      </c>
      <c r="G702" s="498">
        <v>42696</v>
      </c>
      <c r="H702" s="515">
        <v>500</v>
      </c>
      <c r="I702" s="500">
        <v>16.54</v>
      </c>
      <c r="J702" s="501">
        <v>0.18</v>
      </c>
      <c r="K702" s="501">
        <f t="shared" si="187"/>
        <v>8269.82</v>
      </c>
      <c r="L702" s="499"/>
      <c r="M702" s="501"/>
    </row>
    <row r="703" spans="1:13" x14ac:dyDescent="0.25">
      <c r="A703" s="499"/>
      <c r="B703" s="547">
        <v>42649</v>
      </c>
      <c r="C703" s="499">
        <v>500</v>
      </c>
      <c r="D703" s="500">
        <v>16.079999999999998</v>
      </c>
      <c r="E703" s="501">
        <v>0</v>
      </c>
      <c r="F703" s="501">
        <f t="shared" si="188"/>
        <v>8039.9999999999991</v>
      </c>
      <c r="G703" s="498">
        <v>42697</v>
      </c>
      <c r="H703" s="515">
        <v>200</v>
      </c>
      <c r="I703" s="500">
        <v>16.79</v>
      </c>
      <c r="J703" s="501">
        <v>7.0000000000000007E-2</v>
      </c>
      <c r="K703" s="501">
        <f t="shared" si="187"/>
        <v>3357.93</v>
      </c>
      <c r="L703" s="499"/>
      <c r="M703" s="501"/>
    </row>
    <row r="704" spans="1:13" x14ac:dyDescent="0.25">
      <c r="A704" s="499"/>
      <c r="B704" s="547">
        <v>42650</v>
      </c>
      <c r="C704" s="499">
        <v>300</v>
      </c>
      <c r="D704" s="500">
        <v>15.75</v>
      </c>
      <c r="E704" s="501">
        <v>0</v>
      </c>
      <c r="F704" s="501">
        <f t="shared" si="188"/>
        <v>4725</v>
      </c>
      <c r="G704" s="498">
        <v>42697</v>
      </c>
      <c r="H704" s="515">
        <v>500</v>
      </c>
      <c r="I704" s="500">
        <v>16.59</v>
      </c>
      <c r="J704" s="501">
        <v>0.18</v>
      </c>
      <c r="K704" s="501">
        <f t="shared" si="187"/>
        <v>8294.82</v>
      </c>
      <c r="L704" s="499"/>
      <c r="M704" s="501"/>
    </row>
    <row r="705" spans="1:13" x14ac:dyDescent="0.25">
      <c r="A705" s="499"/>
      <c r="B705" s="547">
        <v>42650</v>
      </c>
      <c r="C705" s="499">
        <v>300</v>
      </c>
      <c r="D705" s="500">
        <v>15.58</v>
      </c>
      <c r="E705" s="501">
        <v>0</v>
      </c>
      <c r="F705" s="501">
        <f t="shared" si="188"/>
        <v>4674</v>
      </c>
      <c r="G705" s="498">
        <v>42704</v>
      </c>
      <c r="H705" s="515">
        <v>1000</v>
      </c>
      <c r="I705" s="500">
        <v>16.420000000000002</v>
      </c>
      <c r="J705" s="501">
        <v>0.36</v>
      </c>
      <c r="K705" s="501">
        <f t="shared" si="187"/>
        <v>16419.64</v>
      </c>
      <c r="L705" s="499"/>
      <c r="M705" s="501"/>
    </row>
    <row r="706" spans="1:13" x14ac:dyDescent="0.25">
      <c r="A706" s="499"/>
      <c r="B706" s="547">
        <v>42653</v>
      </c>
      <c r="C706" s="499">
        <v>394</v>
      </c>
      <c r="D706" s="500">
        <v>15.72</v>
      </c>
      <c r="E706" s="501">
        <v>0</v>
      </c>
      <c r="F706" s="501">
        <f t="shared" si="188"/>
        <v>6193.68</v>
      </c>
      <c r="G706" s="498">
        <v>42704</v>
      </c>
      <c r="H706" s="515">
        <v>300</v>
      </c>
      <c r="I706" s="500">
        <v>16.78</v>
      </c>
      <c r="J706" s="501">
        <v>1.61</v>
      </c>
      <c r="K706" s="501">
        <f t="shared" si="187"/>
        <v>5032.3900000000003</v>
      </c>
      <c r="L706" s="499"/>
      <c r="M706" s="501"/>
    </row>
    <row r="707" spans="1:13" x14ac:dyDescent="0.25">
      <c r="A707" s="499"/>
      <c r="B707" s="547">
        <v>42653</v>
      </c>
      <c r="C707" s="499">
        <v>6</v>
      </c>
      <c r="D707" s="500">
        <v>15.72</v>
      </c>
      <c r="E707" s="501">
        <v>0</v>
      </c>
      <c r="F707" s="501">
        <f t="shared" si="188"/>
        <v>94.320000000000007</v>
      </c>
      <c r="G707" s="498">
        <v>42704</v>
      </c>
      <c r="H707" s="515">
        <v>1000</v>
      </c>
      <c r="I707" s="500">
        <v>17.079999999999998</v>
      </c>
      <c r="J707" s="501">
        <v>0.37</v>
      </c>
      <c r="K707" s="501">
        <f t="shared" si="187"/>
        <v>17079.63</v>
      </c>
      <c r="L707" s="499"/>
      <c r="M707" s="501"/>
    </row>
    <row r="708" spans="1:13" x14ac:dyDescent="0.25">
      <c r="A708" s="499"/>
      <c r="B708" s="547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5">
        <v>1000</v>
      </c>
      <c r="I708" s="500">
        <v>17.32</v>
      </c>
      <c r="J708" s="501">
        <v>0.38</v>
      </c>
      <c r="K708" s="501">
        <f t="shared" si="187"/>
        <v>17319.62</v>
      </c>
      <c r="L708" s="499"/>
      <c r="M708" s="501"/>
    </row>
    <row r="709" spans="1:13" x14ac:dyDescent="0.25">
      <c r="A709" s="499"/>
      <c r="B709" s="547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5">
        <v>500</v>
      </c>
      <c r="I709" s="500">
        <v>17.64</v>
      </c>
      <c r="J709" s="501">
        <v>0.19</v>
      </c>
      <c r="K709" s="501">
        <f t="shared" si="187"/>
        <v>8819.81</v>
      </c>
      <c r="L709" s="499"/>
      <c r="M709" s="501"/>
    </row>
    <row r="710" spans="1:13" x14ac:dyDescent="0.25">
      <c r="A710" s="602"/>
      <c r="B710" s="547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9">C710*D710+E710</f>
        <v>7127.5</v>
      </c>
      <c r="G710" s="498">
        <v>42705</v>
      </c>
      <c r="H710" s="515">
        <v>528</v>
      </c>
      <c r="I710" s="500">
        <v>18.7</v>
      </c>
      <c r="J710" s="501">
        <v>0.22</v>
      </c>
      <c r="K710" s="501">
        <f t="shared" si="187"/>
        <v>9873.380000000001</v>
      </c>
      <c r="L710" s="499"/>
      <c r="M710" s="501"/>
    </row>
    <row r="711" spans="1:13" x14ac:dyDescent="0.25">
      <c r="A711" s="602"/>
      <c r="B711" s="547">
        <v>42668</v>
      </c>
      <c r="C711" s="499">
        <v>500</v>
      </c>
      <c r="D711" s="500">
        <v>14.16</v>
      </c>
      <c r="E711" s="501">
        <v>0</v>
      </c>
      <c r="F711" s="501">
        <f t="shared" si="189"/>
        <v>7080</v>
      </c>
      <c r="G711" s="498">
        <v>42711</v>
      </c>
      <c r="H711" s="515">
        <v>500</v>
      </c>
      <c r="I711" s="500">
        <v>18.329999999999998</v>
      </c>
      <c r="J711" s="501">
        <v>0.2</v>
      </c>
      <c r="K711" s="501">
        <f t="shared" si="187"/>
        <v>9164.7999999999993</v>
      </c>
      <c r="L711" s="499"/>
      <c r="M711" s="501"/>
    </row>
    <row r="712" spans="1:13" x14ac:dyDescent="0.25">
      <c r="A712" s="602"/>
      <c r="B712" s="547">
        <v>42670</v>
      </c>
      <c r="C712" s="499">
        <v>500</v>
      </c>
      <c r="D712" s="500">
        <v>14.18</v>
      </c>
      <c r="E712" s="501">
        <v>0</v>
      </c>
      <c r="F712" s="501">
        <f t="shared" si="189"/>
        <v>7090</v>
      </c>
      <c r="G712" s="498">
        <v>42713</v>
      </c>
      <c r="H712" s="515">
        <v>500</v>
      </c>
      <c r="I712" s="500">
        <v>18.28</v>
      </c>
      <c r="J712" s="501">
        <v>0.2</v>
      </c>
      <c r="K712" s="501">
        <f t="shared" si="187"/>
        <v>9139.7999999999993</v>
      </c>
      <c r="L712" s="499"/>
      <c r="M712" s="501"/>
    </row>
    <row r="713" spans="1:13" x14ac:dyDescent="0.25">
      <c r="A713" s="602"/>
      <c r="B713" s="547">
        <v>42670</v>
      </c>
      <c r="C713" s="499">
        <v>500</v>
      </c>
      <c r="D713" s="500">
        <v>14.05</v>
      </c>
      <c r="E713" s="501">
        <v>0</v>
      </c>
      <c r="F713" s="501">
        <f t="shared" si="189"/>
        <v>7025</v>
      </c>
      <c r="G713" s="498">
        <v>42718</v>
      </c>
      <c r="H713" s="515">
        <v>200</v>
      </c>
      <c r="I713" s="500">
        <v>18.78</v>
      </c>
      <c r="J713" s="501">
        <v>0.08</v>
      </c>
      <c r="K713" s="501">
        <f t="shared" si="187"/>
        <v>3755.92</v>
      </c>
      <c r="L713" s="499"/>
      <c r="M713" s="501"/>
    </row>
    <row r="714" spans="1:13" x14ac:dyDescent="0.25">
      <c r="A714" s="602"/>
      <c r="B714" s="547">
        <v>42670</v>
      </c>
      <c r="C714" s="499">
        <v>500</v>
      </c>
      <c r="D714" s="500">
        <v>13.88</v>
      </c>
      <c r="E714" s="501">
        <v>0</v>
      </c>
      <c r="F714" s="501">
        <f t="shared" si="189"/>
        <v>6940</v>
      </c>
      <c r="G714" s="498">
        <v>42734</v>
      </c>
      <c r="H714" s="515">
        <v>1000</v>
      </c>
      <c r="I714" s="500">
        <v>17.72</v>
      </c>
      <c r="J714" s="501">
        <v>0.39</v>
      </c>
      <c r="K714" s="501">
        <f t="shared" si="187"/>
        <v>17719.61</v>
      </c>
      <c r="L714" s="499"/>
      <c r="M714" s="501"/>
    </row>
    <row r="715" spans="1:13" x14ac:dyDescent="0.25">
      <c r="A715" s="499"/>
      <c r="B715" s="547">
        <v>42671</v>
      </c>
      <c r="C715" s="499">
        <v>1000</v>
      </c>
      <c r="D715" s="500">
        <v>14.15</v>
      </c>
      <c r="E715" s="501">
        <v>0</v>
      </c>
      <c r="F715" s="501">
        <f t="shared" si="189"/>
        <v>14150</v>
      </c>
      <c r="G715" s="498">
        <v>42739</v>
      </c>
      <c r="H715" s="515">
        <v>500</v>
      </c>
      <c r="I715" s="500">
        <v>18.079999999999998</v>
      </c>
      <c r="J715" s="501">
        <v>0.2</v>
      </c>
      <c r="K715" s="501">
        <f t="shared" si="187"/>
        <v>9039.7999999999993</v>
      </c>
      <c r="L715" s="499"/>
      <c r="M715" s="501"/>
    </row>
    <row r="716" spans="1:13" x14ac:dyDescent="0.25">
      <c r="A716" s="499"/>
      <c r="B716" s="547">
        <v>42674</v>
      </c>
      <c r="C716" s="499">
        <v>300</v>
      </c>
      <c r="D716" s="500">
        <v>13.28</v>
      </c>
      <c r="E716" s="501">
        <v>-1.5</v>
      </c>
      <c r="F716" s="501">
        <f t="shared" si="189"/>
        <v>3982.5</v>
      </c>
      <c r="G716" s="498">
        <v>42748</v>
      </c>
      <c r="H716" s="515">
        <v>500</v>
      </c>
      <c r="I716" s="500">
        <v>17.48</v>
      </c>
      <c r="J716" s="501">
        <v>0.19</v>
      </c>
      <c r="K716" s="501">
        <f t="shared" si="187"/>
        <v>8739.81</v>
      </c>
      <c r="L716" s="499"/>
      <c r="M716" s="501"/>
    </row>
    <row r="717" spans="1:13" x14ac:dyDescent="0.25">
      <c r="A717" s="499"/>
      <c r="B717" s="547">
        <v>42674</v>
      </c>
      <c r="C717" s="499">
        <v>200</v>
      </c>
      <c r="D717" s="500">
        <v>13.15</v>
      </c>
      <c r="E717" s="501">
        <v>0.02</v>
      </c>
      <c r="F717" s="501">
        <f t="shared" si="189"/>
        <v>2630.02</v>
      </c>
      <c r="G717" s="498">
        <v>42761</v>
      </c>
      <c r="H717" s="515">
        <v>1000</v>
      </c>
      <c r="I717" s="500">
        <v>17.899999999999999</v>
      </c>
      <c r="J717" s="501">
        <v>0.39</v>
      </c>
      <c r="K717" s="501">
        <f t="shared" si="187"/>
        <v>17899.61</v>
      </c>
      <c r="L717" s="499"/>
      <c r="M717" s="501"/>
    </row>
    <row r="718" spans="1:13" x14ac:dyDescent="0.25">
      <c r="A718" s="499"/>
      <c r="B718" s="547">
        <v>42676</v>
      </c>
      <c r="C718" s="499">
        <v>200</v>
      </c>
      <c r="D718" s="500">
        <v>12.89</v>
      </c>
      <c r="E718" s="501">
        <v>0</v>
      </c>
      <c r="F718" s="501">
        <f t="shared" si="189"/>
        <v>2578</v>
      </c>
      <c r="G718" s="498">
        <v>42766</v>
      </c>
      <c r="H718" s="515">
        <v>300</v>
      </c>
      <c r="I718" s="500">
        <v>16.649999999999999</v>
      </c>
      <c r="J718" s="501">
        <v>0.11</v>
      </c>
      <c r="K718" s="501">
        <f t="shared" si="187"/>
        <v>4994.8900000000003</v>
      </c>
      <c r="L718" s="499"/>
      <c r="M718" s="501"/>
    </row>
    <row r="719" spans="1:13" x14ac:dyDescent="0.25">
      <c r="A719" s="499"/>
      <c r="B719" s="547">
        <v>42678</v>
      </c>
      <c r="C719" s="499">
        <v>500</v>
      </c>
      <c r="D719" s="500">
        <v>13.69</v>
      </c>
      <c r="E719" s="501">
        <v>0</v>
      </c>
      <c r="F719" s="501">
        <f t="shared" si="189"/>
        <v>6845</v>
      </c>
      <c r="G719" s="498">
        <v>42767</v>
      </c>
      <c r="H719" s="515">
        <v>612</v>
      </c>
      <c r="I719" s="500">
        <v>17.03</v>
      </c>
      <c r="J719" s="501">
        <v>0.23</v>
      </c>
      <c r="K719" s="501">
        <f t="shared" si="187"/>
        <v>10422.130000000001</v>
      </c>
      <c r="L719" s="499"/>
      <c r="M719" s="501"/>
    </row>
    <row r="720" spans="1:13" x14ac:dyDescent="0.25">
      <c r="A720" s="499"/>
      <c r="B720" s="547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5">
        <v>288</v>
      </c>
      <c r="I720" s="500">
        <v>17.12</v>
      </c>
      <c r="J720" s="501">
        <v>0.11</v>
      </c>
      <c r="K720" s="501">
        <f t="shared" si="187"/>
        <v>4930.4500000000007</v>
      </c>
      <c r="L720" s="499"/>
      <c r="M720" s="501"/>
    </row>
    <row r="721" spans="1:13" x14ac:dyDescent="0.25">
      <c r="A721" s="499"/>
      <c r="B721" s="547">
        <v>42691</v>
      </c>
      <c r="C721" s="499">
        <v>150</v>
      </c>
      <c r="D721" s="500">
        <v>15.48</v>
      </c>
      <c r="E721" s="501">
        <v>0</v>
      </c>
      <c r="F721" s="501">
        <f t="shared" ref="F721:F737" si="190">C721*D721+E721</f>
        <v>2322</v>
      </c>
      <c r="G721" s="498">
        <v>42767</v>
      </c>
      <c r="H721" s="515">
        <v>700</v>
      </c>
      <c r="I721" s="500">
        <v>16.57</v>
      </c>
      <c r="J721" s="501">
        <v>0.25</v>
      </c>
      <c r="K721" s="501">
        <f t="shared" si="187"/>
        <v>11598.75</v>
      </c>
      <c r="L721" s="499"/>
      <c r="M721" s="501"/>
    </row>
    <row r="722" spans="1:13" x14ac:dyDescent="0.25">
      <c r="A722" s="499"/>
      <c r="B722" s="547">
        <v>42691</v>
      </c>
      <c r="C722" s="499">
        <v>300</v>
      </c>
      <c r="D722" s="500">
        <v>15.48</v>
      </c>
      <c r="E722" s="501">
        <v>0</v>
      </c>
      <c r="F722" s="501">
        <f t="shared" si="190"/>
        <v>4644</v>
      </c>
      <c r="G722" s="498">
        <v>42768</v>
      </c>
      <c r="H722" s="515">
        <v>200</v>
      </c>
      <c r="I722" s="500">
        <v>16.7</v>
      </c>
      <c r="J722" s="501">
        <v>7.0000000000000007E-2</v>
      </c>
      <c r="K722" s="501">
        <f t="shared" si="187"/>
        <v>3339.93</v>
      </c>
      <c r="L722" s="499"/>
      <c r="M722" s="501"/>
    </row>
    <row r="723" spans="1:13" x14ac:dyDescent="0.25">
      <c r="A723" s="499"/>
      <c r="B723" s="547">
        <v>42696</v>
      </c>
      <c r="C723" s="499">
        <v>1000</v>
      </c>
      <c r="D723" s="500">
        <v>16.12</v>
      </c>
      <c r="E723" s="501">
        <v>0</v>
      </c>
      <c r="F723" s="501">
        <f t="shared" si="190"/>
        <v>16120.000000000002</v>
      </c>
      <c r="G723" s="498">
        <v>42768</v>
      </c>
      <c r="H723" s="515">
        <v>500</v>
      </c>
      <c r="I723" s="500">
        <v>16.600000000000001</v>
      </c>
      <c r="J723" s="501">
        <v>-1.82</v>
      </c>
      <c r="K723" s="501">
        <f t="shared" si="187"/>
        <v>8301.82</v>
      </c>
      <c r="L723" s="499"/>
      <c r="M723" s="501"/>
    </row>
    <row r="724" spans="1:13" x14ac:dyDescent="0.25">
      <c r="A724" s="499"/>
      <c r="B724" s="547">
        <v>42699</v>
      </c>
      <c r="C724" s="499">
        <v>200</v>
      </c>
      <c r="D724" s="500">
        <v>16.28</v>
      </c>
      <c r="E724" s="501">
        <v>0</v>
      </c>
      <c r="F724" s="501">
        <f t="shared" si="190"/>
        <v>3256</v>
      </c>
      <c r="G724" s="498">
        <v>42768</v>
      </c>
      <c r="H724" s="515">
        <v>500</v>
      </c>
      <c r="I724" s="500">
        <v>16.75</v>
      </c>
      <c r="J724" s="501">
        <v>0.18</v>
      </c>
      <c r="K724" s="501">
        <f t="shared" si="187"/>
        <v>8374.82</v>
      </c>
      <c r="L724" s="499"/>
      <c r="M724" s="501"/>
    </row>
    <row r="725" spans="1:13" x14ac:dyDescent="0.25">
      <c r="A725" s="602"/>
      <c r="B725" s="547">
        <v>42699</v>
      </c>
      <c r="C725" s="499">
        <v>500</v>
      </c>
      <c r="D725" s="500">
        <v>16.16</v>
      </c>
      <c r="E725" s="501">
        <v>0</v>
      </c>
      <c r="F725" s="501">
        <f t="shared" si="190"/>
        <v>8080</v>
      </c>
      <c r="G725" s="498">
        <v>42769</v>
      </c>
      <c r="H725" s="603">
        <v>400</v>
      </c>
      <c r="I725" s="604">
        <v>16.95</v>
      </c>
      <c r="J725" s="605">
        <v>0.15</v>
      </c>
      <c r="K725" s="605">
        <f t="shared" si="187"/>
        <v>6779.85</v>
      </c>
      <c r="L725" s="499"/>
      <c r="M725" s="501"/>
    </row>
    <row r="726" spans="1:13" x14ac:dyDescent="0.25">
      <c r="A726" s="602"/>
      <c r="B726" s="547">
        <v>42702</v>
      </c>
      <c r="C726" s="499">
        <v>500</v>
      </c>
      <c r="D726" s="500">
        <v>16.059999999999999</v>
      </c>
      <c r="E726" s="501">
        <v>0</v>
      </c>
      <c r="F726" s="501">
        <f t="shared" si="190"/>
        <v>8029.9999999999991</v>
      </c>
      <c r="G726" s="498">
        <v>42769</v>
      </c>
      <c r="H726" s="603">
        <v>300</v>
      </c>
      <c r="I726" s="604">
        <v>17.32</v>
      </c>
      <c r="J726" s="605">
        <v>0.11</v>
      </c>
      <c r="K726" s="605">
        <f t="shared" si="187"/>
        <v>5195.8900000000003</v>
      </c>
      <c r="L726" s="499"/>
      <c r="M726" s="501"/>
    </row>
    <row r="727" spans="1:13" x14ac:dyDescent="0.25">
      <c r="A727" s="602"/>
      <c r="B727" s="547">
        <v>42702</v>
      </c>
      <c r="C727" s="499">
        <v>200</v>
      </c>
      <c r="D727" s="500">
        <v>15.8</v>
      </c>
      <c r="E727" s="501">
        <v>0</v>
      </c>
      <c r="F727" s="501">
        <f t="shared" si="190"/>
        <v>3160</v>
      </c>
      <c r="G727" s="498">
        <v>42781</v>
      </c>
      <c r="H727" s="515">
        <v>600</v>
      </c>
      <c r="I727" s="500">
        <v>16.52</v>
      </c>
      <c r="J727" s="501">
        <v>0.22</v>
      </c>
      <c r="K727" s="501">
        <f t="shared" si="187"/>
        <v>9911.7800000000007</v>
      </c>
      <c r="L727" s="499"/>
      <c r="M727" s="501"/>
    </row>
    <row r="728" spans="1:13" x14ac:dyDescent="0.25">
      <c r="A728" s="602"/>
      <c r="B728" s="547">
        <v>42702</v>
      </c>
      <c r="C728" s="499">
        <v>300</v>
      </c>
      <c r="D728" s="500">
        <v>15.65</v>
      </c>
      <c r="E728" s="501">
        <v>0</v>
      </c>
      <c r="F728" s="501">
        <f t="shared" si="190"/>
        <v>4695</v>
      </c>
      <c r="G728" s="498">
        <v>42781</v>
      </c>
      <c r="H728" s="515">
        <v>300</v>
      </c>
      <c r="I728" s="500">
        <v>16.440000000000001</v>
      </c>
      <c r="J728" s="501">
        <v>0.11</v>
      </c>
      <c r="K728" s="501">
        <f t="shared" si="187"/>
        <v>4931.8900000000003</v>
      </c>
      <c r="L728" s="499"/>
      <c r="M728" s="501"/>
    </row>
    <row r="729" spans="1:13" x14ac:dyDescent="0.25">
      <c r="A729" s="499"/>
      <c r="B729" s="547">
        <v>42703</v>
      </c>
      <c r="C729" s="499">
        <v>300</v>
      </c>
      <c r="D729" s="500">
        <v>14.78</v>
      </c>
      <c r="E729" s="501">
        <v>0</v>
      </c>
      <c r="F729" s="501">
        <f t="shared" si="190"/>
        <v>4434</v>
      </c>
      <c r="G729" s="498">
        <v>42782</v>
      </c>
      <c r="H729" s="515">
        <v>300</v>
      </c>
      <c r="I729" s="500">
        <v>17</v>
      </c>
      <c r="J729" s="501">
        <v>0.11</v>
      </c>
      <c r="K729" s="501">
        <f t="shared" si="187"/>
        <v>5099.8900000000003</v>
      </c>
      <c r="L729" s="499"/>
      <c r="M729" s="501"/>
    </row>
    <row r="730" spans="1:13" x14ac:dyDescent="0.25">
      <c r="A730" s="499"/>
      <c r="B730" s="547">
        <v>42705</v>
      </c>
      <c r="C730" s="499">
        <v>350</v>
      </c>
      <c r="D730" s="500">
        <v>17.600000000000001</v>
      </c>
      <c r="E730" s="501">
        <v>0</v>
      </c>
      <c r="F730" s="501">
        <f t="shared" si="190"/>
        <v>6160.0000000000009</v>
      </c>
      <c r="G730" s="499"/>
      <c r="H730" s="515"/>
      <c r="I730" s="500"/>
      <c r="J730" s="501"/>
      <c r="K730" s="501"/>
      <c r="L730" s="499"/>
      <c r="M730" s="501"/>
    </row>
    <row r="731" spans="1:13" x14ac:dyDescent="0.25">
      <c r="A731" s="499"/>
      <c r="B731" s="547">
        <v>42711</v>
      </c>
      <c r="C731" s="499">
        <v>500</v>
      </c>
      <c r="D731" s="500">
        <v>18.12</v>
      </c>
      <c r="E731" s="501">
        <v>0</v>
      </c>
      <c r="F731" s="501">
        <f t="shared" si="190"/>
        <v>9060</v>
      </c>
      <c r="G731" s="499"/>
      <c r="H731" s="515"/>
      <c r="I731" s="500"/>
      <c r="J731" s="501"/>
      <c r="K731" s="501"/>
      <c r="L731" s="499"/>
      <c r="M731" s="501"/>
    </row>
    <row r="732" spans="1:13" x14ac:dyDescent="0.25">
      <c r="A732" s="499"/>
      <c r="B732" s="547">
        <v>42713</v>
      </c>
      <c r="C732" s="499">
        <v>500</v>
      </c>
      <c r="D732" s="500">
        <v>18.12</v>
      </c>
      <c r="E732" s="501">
        <v>0</v>
      </c>
      <c r="F732" s="501">
        <f t="shared" si="190"/>
        <v>9060</v>
      </c>
      <c r="G732" s="499"/>
      <c r="H732" s="515"/>
      <c r="I732" s="500"/>
      <c r="J732" s="501"/>
      <c r="K732" s="501"/>
      <c r="L732" s="499"/>
      <c r="M732" s="501"/>
    </row>
    <row r="733" spans="1:13" x14ac:dyDescent="0.25">
      <c r="A733" s="499"/>
      <c r="B733" s="547">
        <v>42718</v>
      </c>
      <c r="C733" s="499">
        <v>200</v>
      </c>
      <c r="D733" s="500">
        <v>18.73</v>
      </c>
      <c r="E733" s="501">
        <v>-1</v>
      </c>
      <c r="F733" s="501">
        <f t="shared" si="190"/>
        <v>3745</v>
      </c>
      <c r="G733" s="499"/>
      <c r="H733" s="515"/>
      <c r="I733" s="500"/>
      <c r="J733" s="501"/>
      <c r="K733" s="501"/>
      <c r="L733" s="499"/>
      <c r="M733" s="501"/>
    </row>
    <row r="734" spans="1:13" x14ac:dyDescent="0.25">
      <c r="A734" s="499"/>
      <c r="B734" s="547">
        <v>42733</v>
      </c>
      <c r="C734" s="499">
        <v>1000</v>
      </c>
      <c r="D734" s="500">
        <v>17.64</v>
      </c>
      <c r="E734" s="501">
        <v>-1.5</v>
      </c>
      <c r="F734" s="501">
        <f t="shared" si="190"/>
        <v>17638.5</v>
      </c>
      <c r="G734" s="499"/>
      <c r="H734" s="515"/>
      <c r="I734" s="500"/>
      <c r="J734" s="501"/>
      <c r="K734" s="501"/>
      <c r="L734" s="499"/>
      <c r="M734" s="501"/>
    </row>
    <row r="735" spans="1:13" x14ac:dyDescent="0.25">
      <c r="A735" s="499"/>
      <c r="B735" s="547">
        <v>42734</v>
      </c>
      <c r="C735" s="499">
        <v>1000</v>
      </c>
      <c r="D735" s="500">
        <v>17.329999999999998</v>
      </c>
      <c r="E735" s="501">
        <v>0</v>
      </c>
      <c r="F735" s="501">
        <f t="shared" si="190"/>
        <v>17330</v>
      </c>
      <c r="G735" s="499"/>
      <c r="H735" s="515"/>
      <c r="I735" s="500"/>
      <c r="J735" s="501"/>
      <c r="K735" s="501"/>
      <c r="L735" s="499"/>
      <c r="M735" s="501"/>
    </row>
    <row r="736" spans="1:13" x14ac:dyDescent="0.25">
      <c r="A736" s="499"/>
      <c r="B736" s="547">
        <v>42741</v>
      </c>
      <c r="C736" s="499">
        <v>500</v>
      </c>
      <c r="D736" s="500">
        <v>17.88</v>
      </c>
      <c r="E736" s="501">
        <v>0</v>
      </c>
      <c r="F736" s="501">
        <f t="shared" si="190"/>
        <v>8940</v>
      </c>
      <c r="G736" s="499"/>
      <c r="H736" s="515"/>
      <c r="I736" s="500"/>
      <c r="J736" s="501"/>
      <c r="K736" s="501"/>
      <c r="L736" s="499"/>
      <c r="M736" s="501"/>
    </row>
    <row r="737" spans="1:13" x14ac:dyDescent="0.25">
      <c r="A737" s="499"/>
      <c r="B737" s="547">
        <v>42748</v>
      </c>
      <c r="C737" s="499">
        <v>500</v>
      </c>
      <c r="D737" s="500">
        <v>17.260000000000002</v>
      </c>
      <c r="E737" s="501">
        <v>0</v>
      </c>
      <c r="F737" s="501">
        <f t="shared" si="190"/>
        <v>8630</v>
      </c>
      <c r="G737" s="499"/>
      <c r="H737" s="515"/>
      <c r="I737" s="500"/>
      <c r="J737" s="501"/>
      <c r="K737" s="501"/>
      <c r="L737" s="499"/>
      <c r="M737" s="501"/>
    </row>
    <row r="738" spans="1:13" x14ac:dyDescent="0.25">
      <c r="A738" s="499"/>
      <c r="B738" s="547"/>
      <c r="C738" s="499"/>
      <c r="D738" s="500"/>
      <c r="E738" s="501"/>
      <c r="F738" s="501"/>
      <c r="G738" s="499"/>
      <c r="H738" s="515"/>
      <c r="I738" s="500"/>
      <c r="J738" s="501"/>
      <c r="K738" s="501"/>
      <c r="L738" s="499"/>
      <c r="M738" s="501"/>
    </row>
    <row r="739" spans="1:13" x14ac:dyDescent="0.25">
      <c r="A739" s="499"/>
      <c r="B739" s="547"/>
      <c r="C739" s="499"/>
      <c r="D739" s="500"/>
      <c r="E739" s="501"/>
      <c r="F739" s="501"/>
      <c r="G739" s="499"/>
      <c r="H739" s="515"/>
      <c r="I739" s="500"/>
      <c r="J739" s="501"/>
      <c r="K739" s="501"/>
      <c r="L739" s="499"/>
      <c r="M739" s="501"/>
    </row>
    <row r="740" spans="1:13" x14ac:dyDescent="0.25">
      <c r="A740" s="601"/>
      <c r="B740" s="547"/>
      <c r="C740" s="499"/>
      <c r="D740" s="500"/>
      <c r="E740" s="501"/>
      <c r="F740" s="501"/>
      <c r="G740" s="499"/>
      <c r="H740" s="515"/>
      <c r="I740" s="500"/>
      <c r="J740" s="501"/>
      <c r="K740" s="501"/>
      <c r="L740" s="499"/>
      <c r="M740" s="501"/>
    </row>
    <row r="741" spans="1:13" x14ac:dyDescent="0.25">
      <c r="A741" s="601"/>
      <c r="B741" s="547"/>
      <c r="C741" s="499"/>
      <c r="D741" s="500"/>
      <c r="E741" s="501"/>
      <c r="F741" s="501"/>
      <c r="G741" s="499"/>
      <c r="H741" s="515"/>
      <c r="I741" s="500"/>
      <c r="J741" s="501"/>
      <c r="K741" s="501"/>
      <c r="L741" s="499"/>
      <c r="M741" s="501"/>
    </row>
    <row r="742" spans="1:13" x14ac:dyDescent="0.25">
      <c r="A742" s="601"/>
      <c r="B742" s="547"/>
      <c r="C742" s="499"/>
      <c r="D742" s="500"/>
      <c r="E742" s="501"/>
      <c r="F742" s="501"/>
      <c r="G742" s="499"/>
      <c r="H742" s="515"/>
      <c r="I742" s="500"/>
      <c r="J742" s="501"/>
      <c r="K742" s="501"/>
      <c r="L742" s="499"/>
      <c r="M742" s="501"/>
    </row>
    <row r="743" spans="1:13" x14ac:dyDescent="0.25">
      <c r="A743" s="601"/>
      <c r="B743" s="547"/>
      <c r="C743" s="499"/>
      <c r="D743" s="500"/>
      <c r="E743" s="501"/>
      <c r="F743" s="501"/>
      <c r="G743" s="499"/>
      <c r="H743" s="515"/>
      <c r="I743" s="500"/>
      <c r="J743" s="501"/>
      <c r="K743" s="501"/>
      <c r="L743" s="499"/>
      <c r="M743" s="501"/>
    </row>
    <row r="744" spans="1:13" x14ac:dyDescent="0.25">
      <c r="A744" s="499"/>
      <c r="B744" s="547"/>
      <c r="C744" s="499"/>
      <c r="D744" s="500"/>
      <c r="E744" s="501"/>
      <c r="F744" s="501"/>
      <c r="G744" s="499"/>
      <c r="H744" s="515"/>
      <c r="I744" s="500"/>
      <c r="J744" s="501"/>
      <c r="K744" s="501"/>
      <c r="L744" s="499"/>
      <c r="M744" s="501"/>
    </row>
    <row r="745" spans="1:13" x14ac:dyDescent="0.25">
      <c r="A745" s="499"/>
      <c r="B745" s="547"/>
      <c r="C745" s="499"/>
      <c r="D745" s="500"/>
      <c r="E745" s="501"/>
      <c r="F745" s="501"/>
      <c r="G745" s="499"/>
      <c r="H745" s="515"/>
      <c r="I745" s="500"/>
      <c r="J745" s="501"/>
      <c r="K745" s="501"/>
      <c r="L745" s="499"/>
      <c r="M745" s="501"/>
    </row>
    <row r="746" spans="1:13" x14ac:dyDescent="0.25">
      <c r="A746" s="499"/>
      <c r="B746" s="547"/>
      <c r="C746" s="499"/>
      <c r="D746" s="500"/>
      <c r="E746" s="501"/>
      <c r="F746" s="501"/>
      <c r="G746" s="499"/>
      <c r="H746" s="515"/>
      <c r="I746" s="500"/>
      <c r="J746" s="501"/>
      <c r="K746" s="501"/>
      <c r="L746" s="499"/>
      <c r="M746" s="501"/>
    </row>
    <row r="747" spans="1:13" x14ac:dyDescent="0.25">
      <c r="A747" s="499"/>
      <c r="B747" s="547"/>
      <c r="C747" s="499"/>
      <c r="D747" s="500"/>
      <c r="E747" s="501"/>
      <c r="F747" s="501"/>
      <c r="G747" s="499"/>
      <c r="H747" s="515"/>
      <c r="I747" s="500"/>
      <c r="J747" s="501"/>
      <c r="K747" s="501"/>
      <c r="L747" s="499"/>
      <c r="M747" s="501"/>
    </row>
    <row r="748" spans="1:13" x14ac:dyDescent="0.25">
      <c r="A748" s="499"/>
      <c r="B748" s="547"/>
      <c r="C748" s="499"/>
      <c r="D748" s="500"/>
      <c r="E748" s="501"/>
      <c r="F748" s="501"/>
      <c r="G748" s="499"/>
      <c r="H748" s="515"/>
      <c r="I748" s="500"/>
      <c r="J748" s="501"/>
      <c r="K748" s="501"/>
      <c r="L748" s="499"/>
      <c r="M748" s="501"/>
    </row>
    <row r="749" spans="1:13" x14ac:dyDescent="0.25">
      <c r="A749" s="499"/>
      <c r="B749" s="547"/>
      <c r="C749" s="499"/>
      <c r="D749" s="500"/>
      <c r="E749" s="501"/>
      <c r="F749" s="501"/>
      <c r="G749" s="499"/>
      <c r="H749" s="515"/>
      <c r="I749" s="500"/>
      <c r="J749" s="501"/>
      <c r="K749" s="501"/>
      <c r="L749" s="499"/>
      <c r="M749" s="501"/>
    </row>
    <row r="750" spans="1:13" x14ac:dyDescent="0.25">
      <c r="A750" s="499"/>
      <c r="B750" s="547"/>
      <c r="C750" s="499"/>
      <c r="D750" s="500"/>
      <c r="E750" s="501"/>
      <c r="F750" s="501"/>
      <c r="G750" s="499"/>
      <c r="H750" s="515"/>
      <c r="I750" s="500"/>
      <c r="J750" s="501"/>
      <c r="K750" s="501"/>
      <c r="L750" s="499"/>
      <c r="M750" s="501"/>
    </row>
    <row r="751" spans="1:13" x14ac:dyDescent="0.25">
      <c r="A751" s="499"/>
      <c r="B751" s="547"/>
      <c r="C751" s="499"/>
      <c r="D751" s="500"/>
      <c r="E751" s="501"/>
      <c r="F751" s="501"/>
      <c r="G751" s="499"/>
      <c r="H751" s="515"/>
      <c r="I751" s="500"/>
      <c r="J751" s="501"/>
      <c r="K751" s="501"/>
      <c r="L751" s="499"/>
      <c r="M751" s="501"/>
    </row>
    <row r="752" spans="1:13" x14ac:dyDescent="0.25">
      <c r="A752" s="499"/>
      <c r="B752" s="547"/>
      <c r="C752" s="499"/>
      <c r="D752" s="500"/>
      <c r="E752" s="501"/>
      <c r="F752" s="501"/>
      <c r="G752" s="499"/>
      <c r="H752" s="515"/>
      <c r="I752" s="500"/>
      <c r="J752" s="501"/>
      <c r="K752" s="501"/>
      <c r="L752" s="499"/>
      <c r="M752" s="501"/>
    </row>
    <row r="753" spans="1:13" x14ac:dyDescent="0.25">
      <c r="A753" s="499"/>
      <c r="B753" s="547"/>
      <c r="C753" s="499"/>
      <c r="D753" s="500"/>
      <c r="E753" s="501"/>
      <c r="F753" s="501"/>
      <c r="G753" s="499"/>
      <c r="H753" s="515"/>
      <c r="I753" s="500"/>
      <c r="J753" s="501"/>
      <c r="K753" s="501"/>
      <c r="L753" s="499"/>
      <c r="M753" s="501"/>
    </row>
    <row r="754" spans="1:13" x14ac:dyDescent="0.25">
      <c r="A754" s="499"/>
      <c r="B754" s="547"/>
      <c r="C754" s="499"/>
      <c r="D754" s="500"/>
      <c r="E754" s="501"/>
      <c r="F754" s="501"/>
      <c r="G754" s="499"/>
      <c r="H754" s="515"/>
      <c r="I754" s="500"/>
      <c r="J754" s="501"/>
      <c r="K754" s="501"/>
      <c r="L754" s="499"/>
      <c r="M754" s="501"/>
    </row>
    <row r="755" spans="1:13" x14ac:dyDescent="0.25">
      <c r="A755" s="499"/>
      <c r="B755" s="547"/>
      <c r="C755" s="499"/>
      <c r="D755" s="500"/>
      <c r="E755" s="501"/>
      <c r="F755" s="501"/>
      <c r="G755" s="499"/>
      <c r="H755" s="515"/>
      <c r="I755" s="500"/>
      <c r="J755" s="501"/>
      <c r="K755" s="501"/>
      <c r="L755" s="499"/>
      <c r="M755" s="501"/>
    </row>
    <row r="756" spans="1:13" x14ac:dyDescent="0.25">
      <c r="A756" s="499"/>
      <c r="B756" s="547"/>
      <c r="C756" s="499"/>
      <c r="D756" s="500"/>
      <c r="E756" s="501"/>
      <c r="F756" s="501"/>
      <c r="G756" s="499"/>
      <c r="H756" s="515"/>
      <c r="I756" s="500"/>
      <c r="J756" s="501"/>
      <c r="K756" s="501"/>
      <c r="L756" s="499"/>
      <c r="M756" s="501"/>
    </row>
    <row r="757" spans="1:13" x14ac:dyDescent="0.25">
      <c r="A757" s="499"/>
      <c r="B757" s="547"/>
      <c r="C757" s="499"/>
      <c r="D757" s="500"/>
      <c r="E757" s="501"/>
      <c r="F757" s="501"/>
      <c r="G757" s="499"/>
      <c r="H757" s="515"/>
      <c r="I757" s="500"/>
      <c r="J757" s="501"/>
      <c r="K757" s="501"/>
      <c r="L757" s="499"/>
      <c r="M757" s="501"/>
    </row>
    <row r="758" spans="1:13" x14ac:dyDescent="0.25">
      <c r="A758" s="499"/>
      <c r="B758" s="547"/>
      <c r="C758" s="499"/>
      <c r="D758" s="500"/>
      <c r="E758" s="501"/>
      <c r="F758" s="501"/>
      <c r="G758" s="499"/>
      <c r="H758" s="515"/>
      <c r="I758" s="500"/>
      <c r="J758" s="501"/>
      <c r="K758" s="501"/>
      <c r="L758" s="499"/>
      <c r="M758" s="501"/>
    </row>
    <row r="759" spans="1:13" x14ac:dyDescent="0.25">
      <c r="A759" s="499"/>
      <c r="B759" s="547"/>
      <c r="C759" s="499"/>
      <c r="D759" s="500"/>
      <c r="E759" s="501"/>
      <c r="F759" s="501"/>
      <c r="G759" s="499"/>
      <c r="H759" s="515"/>
      <c r="I759" s="500"/>
      <c r="J759" s="501"/>
      <c r="K759" s="501"/>
      <c r="L759" s="499"/>
      <c r="M759" s="501"/>
    </row>
    <row r="760" spans="1:13" x14ac:dyDescent="0.25">
      <c r="A760" s="499"/>
      <c r="B760" s="547"/>
      <c r="C760" s="499"/>
      <c r="D760" s="500"/>
      <c r="E760" s="501"/>
      <c r="F760" s="501"/>
      <c r="G760" s="499"/>
      <c r="H760" s="515"/>
      <c r="I760" s="500"/>
      <c r="J760" s="501"/>
      <c r="K760" s="501"/>
      <c r="L760" s="499"/>
      <c r="M760" s="501"/>
    </row>
    <row r="761" spans="1:13" x14ac:dyDescent="0.25">
      <c r="A761" s="517" t="s">
        <v>81</v>
      </c>
      <c r="B761" s="606"/>
      <c r="C761" s="540">
        <f>SUM(C500:C760)</f>
        <v>133812</v>
      </c>
      <c r="D761" s="519"/>
      <c r="E761" s="519"/>
      <c r="F761" s="519">
        <f>SUM(F500:F760)</f>
        <v>1899450.8389999999</v>
      </c>
      <c r="G761" s="518"/>
      <c r="H761" s="540">
        <f>SUM(H500:H760)</f>
        <v>133812</v>
      </c>
      <c r="I761" s="607"/>
      <c r="J761" s="519"/>
      <c r="K761" s="519">
        <f>SUM(K500:K760)</f>
        <v>1911314.2100000016</v>
      </c>
      <c r="L761" s="518"/>
      <c r="M761" s="519">
        <f>SUM(M500:M510)</f>
        <v>2752.2000000000003</v>
      </c>
    </row>
    <row r="762" spans="1:13" ht="15.75" thickBot="1" x14ac:dyDescent="0.3">
      <c r="A762" s="520" t="s">
        <v>193</v>
      </c>
      <c r="B762" s="608"/>
      <c r="C762" s="522">
        <f>SumByColor($A$91, C500:C760)</f>
        <v>0</v>
      </c>
      <c r="D762" s="522"/>
      <c r="E762" s="522"/>
      <c r="F762" s="523">
        <f>SumByColor($A$91, F500:F760)</f>
        <v>0</v>
      </c>
      <c r="G762" s="522"/>
      <c r="H762" s="522">
        <f>SumByColor($A$91, H500:H760)</f>
        <v>0</v>
      </c>
      <c r="I762" s="522"/>
      <c r="J762" s="523"/>
      <c r="K762" s="523">
        <f>SumByColor($A$91, K500:K760)</f>
        <v>0</v>
      </c>
      <c r="L762" s="522"/>
      <c r="M762" s="523">
        <f>SumByColor($A$91, M500:M760)</f>
        <v>0</v>
      </c>
    </row>
    <row r="763" spans="1:13" x14ac:dyDescent="0.25">
      <c r="A763" s="499"/>
      <c r="B763" s="547"/>
      <c r="C763" s="499"/>
      <c r="D763" s="500"/>
      <c r="E763" s="501"/>
      <c r="F763" s="501"/>
      <c r="G763" s="499"/>
      <c r="H763" s="515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60" priority="141">
      <formula>F103&gt;0</formula>
    </cfRule>
    <cfRule type="expression" dxfId="2059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8" priority="134">
      <formula>F239&gt;0</formula>
    </cfRule>
    <cfRule type="expression" dxfId="2057" priority="135">
      <formula>F239&lt;0</formula>
    </cfRule>
  </conditionalFormatting>
  <conditionalFormatting sqref="H239:H245">
    <cfRule type="expression" dxfId="2056" priority="130">
      <formula>H239&gt;0</formula>
    </cfRule>
    <cfRule type="expression" dxfId="2055" priority="131">
      <formula>H239&lt;0</formula>
    </cfRule>
  </conditionalFormatting>
  <conditionalFormatting sqref="Q8">
    <cfRule type="expression" dxfId="2054" priority="116">
      <formula>Q8&gt;0</formula>
    </cfRule>
    <cfRule type="expression" dxfId="2053" priority="117">
      <formula>Q8&lt;0</formula>
    </cfRule>
  </conditionalFormatting>
  <conditionalFormatting sqref="Q7">
    <cfRule type="expression" dxfId="2052" priority="118">
      <formula>Q7&gt;0</formula>
    </cfRule>
    <cfRule type="expression" dxfId="2051" priority="119">
      <formula>Q7&lt;0</formula>
    </cfRule>
  </conditionalFormatting>
  <conditionalFormatting sqref="F347:F353">
    <cfRule type="expression" dxfId="2050" priority="90">
      <formula>F347&gt;0</formula>
    </cfRule>
    <cfRule type="expression" dxfId="2049" priority="91">
      <formula>F347&lt;0</formula>
    </cfRule>
  </conditionalFormatting>
  <conditionalFormatting sqref="F272:F290 H272:H290">
    <cfRule type="expression" dxfId="2048" priority="112">
      <formula>F272&gt;0</formula>
    </cfRule>
    <cfRule type="expression" dxfId="2047" priority="113">
      <formula>F272&lt;0</formula>
    </cfRule>
  </conditionalFormatting>
  <conditionalFormatting sqref="F265:F271">
    <cfRule type="expression" dxfId="2046" priority="110">
      <formula>F265&gt;0</formula>
    </cfRule>
    <cfRule type="expression" dxfId="2045" priority="111">
      <formula>F265&lt;0</formula>
    </cfRule>
  </conditionalFormatting>
  <conditionalFormatting sqref="H265:H271">
    <cfRule type="expression" dxfId="2044" priority="108">
      <formula>H265&gt;0</formula>
    </cfRule>
    <cfRule type="expression" dxfId="2043" priority="109">
      <formula>H265&lt;0</formula>
    </cfRule>
  </conditionalFormatting>
  <conditionalFormatting sqref="F298:F316 H298:H316">
    <cfRule type="expression" dxfId="2042" priority="106">
      <formula>F298&gt;0</formula>
    </cfRule>
    <cfRule type="expression" dxfId="2041" priority="107">
      <formula>F298&lt;0</formula>
    </cfRule>
  </conditionalFormatting>
  <conditionalFormatting sqref="F291:F297">
    <cfRule type="expression" dxfId="2040" priority="104">
      <formula>F291&gt;0</formula>
    </cfRule>
    <cfRule type="expression" dxfId="2039" priority="105">
      <formula>F291&lt;0</formula>
    </cfRule>
  </conditionalFormatting>
  <conditionalFormatting sqref="H291:H297">
    <cfRule type="expression" dxfId="2038" priority="102">
      <formula>H291&gt;0</formula>
    </cfRule>
    <cfRule type="expression" dxfId="2037" priority="103">
      <formula>H291&lt;0</formula>
    </cfRule>
  </conditionalFormatting>
  <conditionalFormatting sqref="F324:F341 H324:H341">
    <cfRule type="expression" dxfId="2036" priority="100">
      <formula>F324&gt;0</formula>
    </cfRule>
    <cfRule type="expression" dxfId="2035" priority="101">
      <formula>F324&lt;0</formula>
    </cfRule>
  </conditionalFormatting>
  <conditionalFormatting sqref="F317:F323">
    <cfRule type="expression" dxfId="2034" priority="98">
      <formula>F317&gt;0</formula>
    </cfRule>
    <cfRule type="expression" dxfId="2033" priority="99">
      <formula>F317&lt;0</formula>
    </cfRule>
  </conditionalFormatting>
  <conditionalFormatting sqref="H317:H323">
    <cfRule type="expression" dxfId="2032" priority="96">
      <formula>H317&gt;0</formula>
    </cfRule>
    <cfRule type="expression" dxfId="2031" priority="97">
      <formula>H317&lt;0</formula>
    </cfRule>
  </conditionalFormatting>
  <conditionalFormatting sqref="F342:F346 H342:H346">
    <cfRule type="expression" dxfId="2030" priority="94">
      <formula>F342&gt;0</formula>
    </cfRule>
    <cfRule type="expression" dxfId="2029" priority="95">
      <formula>F342&lt;0</formula>
    </cfRule>
  </conditionalFormatting>
  <conditionalFormatting sqref="F354:F369 H354:H369">
    <cfRule type="expression" dxfId="2028" priority="92">
      <formula>F354&gt;0</formula>
    </cfRule>
    <cfRule type="expression" dxfId="2027" priority="93">
      <formula>F354&lt;0</formula>
    </cfRule>
  </conditionalFormatting>
  <conditionalFormatting sqref="H347:H353">
    <cfRule type="expression" dxfId="2026" priority="88">
      <formula>H347&gt;0</formula>
    </cfRule>
    <cfRule type="expression" dxfId="2025" priority="89">
      <formula>H347&lt;0</formula>
    </cfRule>
  </conditionalFormatting>
  <conditionalFormatting sqref="F370 H370">
    <cfRule type="expression" dxfId="2024" priority="86">
      <formula>F370&gt;0</formula>
    </cfRule>
    <cfRule type="expression" dxfId="2023" priority="87">
      <formula>F370&lt;0</formula>
    </cfRule>
  </conditionalFormatting>
  <conditionalFormatting sqref="F371:F375 H371:H375">
    <cfRule type="expression" dxfId="2022" priority="84">
      <formula>F371&gt;0</formula>
    </cfRule>
    <cfRule type="expression" dxfId="2021" priority="85">
      <formula>F371&lt;0</formula>
    </cfRule>
  </conditionalFormatting>
  <conditionalFormatting sqref="F383:F398 H383:H398">
    <cfRule type="expression" dxfId="2020" priority="82">
      <formula>F383&gt;0</formula>
    </cfRule>
    <cfRule type="expression" dxfId="2019" priority="83">
      <formula>F383&lt;0</formula>
    </cfRule>
  </conditionalFormatting>
  <conditionalFormatting sqref="F376:F382">
    <cfRule type="expression" dxfId="2018" priority="80">
      <formula>F376&gt;0</formula>
    </cfRule>
    <cfRule type="expression" dxfId="2017" priority="81">
      <formula>F376&lt;0</formula>
    </cfRule>
  </conditionalFormatting>
  <conditionalFormatting sqref="H376:H382">
    <cfRule type="expression" dxfId="2016" priority="78">
      <formula>H376&gt;0</formula>
    </cfRule>
    <cfRule type="expression" dxfId="2015" priority="79">
      <formula>H376&lt;0</formula>
    </cfRule>
  </conditionalFormatting>
  <conditionalFormatting sqref="F400:F405 H400:H405">
    <cfRule type="expression" dxfId="2014" priority="76">
      <formula>F400&gt;0</formula>
    </cfRule>
    <cfRule type="expression" dxfId="2013" priority="77">
      <formula>F400&lt;0</formula>
    </cfRule>
  </conditionalFormatting>
  <conditionalFormatting sqref="F406 H406">
    <cfRule type="expression" dxfId="2012" priority="74">
      <formula>F406&gt;0</formula>
    </cfRule>
    <cfRule type="expression" dxfId="2011" priority="75">
      <formula>F406&lt;0</formula>
    </cfRule>
  </conditionalFormatting>
  <conditionalFormatting sqref="F407:F411 H407:H411">
    <cfRule type="expression" dxfId="2010" priority="72">
      <formula>F407&gt;0</formula>
    </cfRule>
    <cfRule type="expression" dxfId="2009" priority="73">
      <formula>F407&lt;0</formula>
    </cfRule>
  </conditionalFormatting>
  <conditionalFormatting sqref="F419:F434 H419:H434">
    <cfRule type="expression" dxfId="2008" priority="70">
      <formula>F419&gt;0</formula>
    </cfRule>
    <cfRule type="expression" dxfId="2007" priority="71">
      <formula>F419&lt;0</formula>
    </cfRule>
  </conditionalFormatting>
  <conditionalFormatting sqref="F412:F418">
    <cfRule type="expression" dxfId="2006" priority="68">
      <formula>F412&gt;0</formula>
    </cfRule>
    <cfRule type="expression" dxfId="2005" priority="69">
      <formula>F412&lt;0</formula>
    </cfRule>
  </conditionalFormatting>
  <conditionalFormatting sqref="H412:H418">
    <cfRule type="expression" dxfId="2004" priority="66">
      <formula>H412&gt;0</formula>
    </cfRule>
    <cfRule type="expression" dxfId="2003" priority="67">
      <formula>H412&lt;0</formula>
    </cfRule>
  </conditionalFormatting>
  <conditionalFormatting sqref="F435:F440 H435:H440">
    <cfRule type="expression" dxfId="2002" priority="64">
      <formula>F435&gt;0</formula>
    </cfRule>
    <cfRule type="expression" dxfId="2001" priority="65">
      <formula>F435&lt;0</formula>
    </cfRule>
  </conditionalFormatting>
  <conditionalFormatting sqref="F441 H441">
    <cfRule type="expression" dxfId="2000" priority="62">
      <formula>F441&gt;0</formula>
    </cfRule>
    <cfRule type="expression" dxfId="1999" priority="63">
      <formula>F441&lt;0</formula>
    </cfRule>
  </conditionalFormatting>
  <conditionalFormatting sqref="F442:F446 H442:H446">
    <cfRule type="expression" dxfId="1998" priority="60">
      <formula>F442&gt;0</formula>
    </cfRule>
    <cfRule type="expression" dxfId="1997" priority="61">
      <formula>F442&lt;0</formula>
    </cfRule>
  </conditionalFormatting>
  <conditionalFormatting sqref="F454:F469 H454:H469">
    <cfRule type="expression" dxfId="1996" priority="58">
      <formula>F454&gt;0</formula>
    </cfRule>
    <cfRule type="expression" dxfId="1995" priority="59">
      <formula>F454&lt;0</formula>
    </cfRule>
  </conditionalFormatting>
  <conditionalFormatting sqref="F447:F453">
    <cfRule type="expression" dxfId="1994" priority="56">
      <formula>F447&gt;0</formula>
    </cfRule>
    <cfRule type="expression" dxfId="1993" priority="57">
      <formula>F447&lt;0</formula>
    </cfRule>
  </conditionalFormatting>
  <conditionalFormatting sqref="H447:H453">
    <cfRule type="expression" dxfId="1992" priority="54">
      <formula>H447&gt;0</formula>
    </cfRule>
    <cfRule type="expression" dxfId="1991" priority="55">
      <formula>H447&lt;0</formula>
    </cfRule>
  </conditionalFormatting>
  <conditionalFormatting sqref="M498">
    <cfRule type="expression" dxfId="1990" priority="52">
      <formula>M498&gt;0</formula>
    </cfRule>
    <cfRule type="expression" dxfId="1989" priority="53">
      <formula>M498&lt;0</formula>
    </cfRule>
  </conditionalFormatting>
  <conditionalFormatting sqref="F101:F112">
    <cfRule type="expression" dxfId="1988" priority="48">
      <formula>F101&gt;0</formula>
    </cfRule>
    <cfRule type="expression" dxfId="1987" priority="49">
      <formula>F101&lt;0</formula>
    </cfRule>
  </conditionalFormatting>
  <conditionalFormatting sqref="H101:H112">
    <cfRule type="expression" dxfId="1986" priority="46">
      <formula>H101&gt;0</formula>
    </cfRule>
    <cfRule type="expression" dxfId="1985" priority="47">
      <formula>H101&lt;0</formula>
    </cfRule>
  </conditionalFormatting>
  <conditionalFormatting sqref="F95:F100 H95:H100">
    <cfRule type="expression" dxfId="1984" priority="44">
      <formula>F95&gt;0</formula>
    </cfRule>
    <cfRule type="expression" dxfId="1983" priority="45">
      <formula>F95&lt;0</formula>
    </cfRule>
  </conditionalFormatting>
  <conditionalFormatting sqref="J97:K97">
    <cfRule type="expression" dxfId="1982" priority="42">
      <formula>J97&gt;0</formula>
    </cfRule>
    <cfRule type="expression" dxfId="1981" priority="43">
      <formula>J97&lt;0</formula>
    </cfRule>
  </conditionalFormatting>
  <conditionalFormatting sqref="J98:K104">
    <cfRule type="expression" dxfId="1980" priority="40">
      <formula>J98&gt;0</formula>
    </cfRule>
    <cfRule type="expression" dxfId="1979" priority="41">
      <formula>J98&lt;0</formula>
    </cfRule>
  </conditionalFormatting>
  <conditionalFormatting sqref="L97:L179 L186 L188">
    <cfRule type="expression" dxfId="1978" priority="36">
      <formula>L97&gt;0</formula>
    </cfRule>
    <cfRule type="expression" dxfId="1977" priority="37">
      <formula>L97&lt;0</formula>
    </cfRule>
  </conditionalFormatting>
  <conditionalFormatting sqref="Q10">
    <cfRule type="expression" dxfId="1976" priority="34">
      <formula>Q10&gt;0</formula>
    </cfRule>
    <cfRule type="expression" dxfId="1975" priority="35">
      <formula>Q10&lt;0</formula>
    </cfRule>
  </conditionalFormatting>
  <conditionalFormatting sqref="K208:K209 H208:H210 F208:F210">
    <cfRule type="expression" dxfId="1974" priority="31">
      <formula>F208&gt;0</formula>
    </cfRule>
    <cfRule type="expression" dxfId="1973" priority="32">
      <formula>F208&lt;0</formula>
    </cfRule>
  </conditionalFormatting>
  <conditionalFormatting sqref="K204:K206 H204:H206 F204:F206">
    <cfRule type="expression" dxfId="1972" priority="29">
      <formula>F204&gt;0</formula>
    </cfRule>
    <cfRule type="expression" dxfId="1971" priority="30">
      <formula>F204&lt;0</formula>
    </cfRule>
  </conditionalFormatting>
  <conditionalFormatting sqref="K202:K203 H203 F203">
    <cfRule type="expression" dxfId="1970" priority="27">
      <formula>F202&gt;0</formula>
    </cfRule>
    <cfRule type="expression" dxfId="1969" priority="28">
      <formula>F202&lt;0</formula>
    </cfRule>
  </conditionalFormatting>
  <conditionalFormatting sqref="K207 H207 F207">
    <cfRule type="expression" dxfId="1968" priority="25">
      <formula>F207&gt;0</formula>
    </cfRule>
    <cfRule type="expression" dxfId="1967" priority="26">
      <formula>F207&lt;0</formula>
    </cfRule>
  </conditionalFormatting>
  <conditionalFormatting sqref="K215:K216">
    <cfRule type="expression" dxfId="1966" priority="23">
      <formula>K215&gt;0</formula>
    </cfRule>
    <cfRule type="expression" dxfId="1965" priority="24">
      <formula>K215&lt;0</formula>
    </cfRule>
  </conditionalFormatting>
  <conditionalFormatting sqref="K213:K214 H213:H216 F213:F216">
    <cfRule type="expression" dxfId="1964" priority="21">
      <formula>F213&gt;0</formula>
    </cfRule>
    <cfRule type="expression" dxfId="1963" priority="22">
      <formula>F213&lt;0</formula>
    </cfRule>
  </conditionalFormatting>
  <conditionalFormatting sqref="H211:H212 F211:F212 K211:K212">
    <cfRule type="expression" dxfId="1962" priority="19">
      <formula>F211&gt;0</formula>
    </cfRule>
    <cfRule type="expression" dxfId="1961" priority="20">
      <formula>F211&lt;0</formula>
    </cfRule>
  </conditionalFormatting>
  <conditionalFormatting sqref="K233:K234 H233:H234 F233:F234">
    <cfRule type="expression" dxfId="1960" priority="17">
      <formula>F233&gt;0</formula>
    </cfRule>
    <cfRule type="expression" dxfId="1959" priority="18">
      <formula>F233&lt;0</formula>
    </cfRule>
  </conditionalFormatting>
  <conditionalFormatting sqref="K219:K220 H219:H221 F219:F221">
    <cfRule type="expression" dxfId="1958" priority="15">
      <formula>F219&gt;0</formula>
    </cfRule>
    <cfRule type="expression" dxfId="1957" priority="16">
      <formula>F219&lt;0</formula>
    </cfRule>
  </conditionalFormatting>
  <conditionalFormatting sqref="K217:K218 H217:H218 F217:F218">
    <cfRule type="expression" dxfId="1956" priority="13">
      <formula>F217&gt;0</formula>
    </cfRule>
    <cfRule type="expression" dxfId="1955" priority="14">
      <formula>F217&lt;0</formula>
    </cfRule>
  </conditionalFormatting>
  <conditionalFormatting sqref="K231:K232 H231:H232 F231:F232">
    <cfRule type="expression" dxfId="1954" priority="11">
      <formula>F231&gt;0</formula>
    </cfRule>
    <cfRule type="expression" dxfId="1953" priority="12">
      <formula>F231&lt;0</formula>
    </cfRule>
  </conditionalFormatting>
  <conditionalFormatting sqref="K229:K230 H229:H230 F229:F230">
    <cfRule type="expression" dxfId="1952" priority="9">
      <formula>F229&gt;0</formula>
    </cfRule>
    <cfRule type="expression" dxfId="1951" priority="10">
      <formula>F229&lt;0</formula>
    </cfRule>
  </conditionalFormatting>
  <conditionalFormatting sqref="K227:K228 H227:H228 F227:F228">
    <cfRule type="expression" dxfId="1950" priority="7">
      <formula>F227&gt;0</formula>
    </cfRule>
    <cfRule type="expression" dxfId="1949" priority="8">
      <formula>F227&lt;0</formula>
    </cfRule>
  </conditionalFormatting>
  <conditionalFormatting sqref="K225:K226 H225:H226 F225:F226">
    <cfRule type="expression" dxfId="1948" priority="5">
      <formula>F225&gt;0</formula>
    </cfRule>
    <cfRule type="expression" dxfId="1947" priority="6">
      <formula>F225&lt;0</formula>
    </cfRule>
  </conditionalFormatting>
  <conditionalFormatting sqref="K223:K224 H223:H224 F223:F224">
    <cfRule type="expression" dxfId="1946" priority="3">
      <formula>F223&gt;0</formula>
    </cfRule>
    <cfRule type="expression" dxfId="1945" priority="4">
      <formula>F223&lt;0</formula>
    </cfRule>
  </conditionalFormatting>
  <conditionalFormatting sqref="K221:K222 H222 F222">
    <cfRule type="expression" dxfId="1944" priority="1">
      <formula>F221&gt;0</formula>
    </cfRule>
    <cfRule type="expression" dxfId="1943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790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150</v>
      </c>
      <c r="T2" s="1">
        <v>43103</v>
      </c>
      <c r="U2" t="s">
        <v>852</v>
      </c>
      <c r="W2" s="134"/>
    </row>
    <row r="3" spans="1:23" x14ac:dyDescent="0.25">
      <c r="A3" s="22" t="s">
        <v>71</v>
      </c>
      <c r="B3" s="436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6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3">
        <f>IF(Q2=0, Q4, (F18-K18-M18)/Q2)</f>
        <v>16.953866666666666</v>
      </c>
      <c r="T3" s="1"/>
      <c r="U3" t="s">
        <v>853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15.0299</v>
      </c>
      <c r="R4" s="497">
        <v>0</v>
      </c>
      <c r="T4" s="158"/>
      <c r="U4" s="1" t="s">
        <v>901</v>
      </c>
      <c r="W4" s="134"/>
    </row>
    <row r="5" spans="1:23" x14ac:dyDescent="0.25">
      <c r="B5" s="436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2254.4850000000001</v>
      </c>
      <c r="T5" s="1">
        <v>43112</v>
      </c>
      <c r="U5" t="s">
        <v>899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2543.08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-288.5949999999998</v>
      </c>
      <c r="R7">
        <v>150</v>
      </c>
      <c r="T7" s="1">
        <v>43117</v>
      </c>
      <c r="U7" t="s">
        <v>906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-288.5949999999998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-0.11348247007565622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3.1936340228477904E-2</v>
      </c>
      <c r="R11">
        <f>0.12</f>
        <v>0.12</v>
      </c>
      <c r="T11" s="826">
        <v>43124</v>
      </c>
      <c r="U11" t="s">
        <v>900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986</v>
      </c>
      <c r="Q13">
        <f>Q4/0.95</f>
        <v>15.820947368421052</v>
      </c>
      <c r="T13" s="1">
        <v>43210</v>
      </c>
      <c r="U13" t="s">
        <v>1023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3678</v>
      </c>
      <c r="G19" s="345"/>
      <c r="H19" s="345">
        <f>SumByColor($A$19,H2:H17)</f>
        <v>150</v>
      </c>
      <c r="I19" s="345"/>
      <c r="J19" s="345"/>
      <c r="K19" s="346">
        <f>SumByColor($A$19,K3:K17)</f>
        <v>1509</v>
      </c>
      <c r="L19" s="345"/>
      <c r="M19" s="346">
        <f>SumByColor($A$19,M2:M17)</f>
        <v>24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16.532890000000002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16.382591000000001</v>
      </c>
      <c r="W22" s="134"/>
    </row>
    <row r="23" spans="1:23" x14ac:dyDescent="0.25">
      <c r="O23" s="81">
        <v>1.08</v>
      </c>
      <c r="P23" s="81">
        <f t="shared" si="0"/>
        <v>16.232292000000001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1.07</v>
      </c>
      <c r="P24" s="81">
        <f t="shared" si="0"/>
        <v>16.081993000000001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15.931694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15.781395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15.631095999999999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15.480797000000001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15.330498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15.180199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15.0299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14.879600999999999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5" si="19">C33*(E33-D33)</f>
        <v>-920.00000000000023</v>
      </c>
      <c r="G33" s="39">
        <f t="shared" ref="G33:G35" si="20">D33*C33</f>
        <v>6296</v>
      </c>
      <c r="H33" s="224">
        <f t="shared" ref="H33:H35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14.729301999999999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14.579002999999998</v>
      </c>
      <c r="W34" s="134"/>
    </row>
    <row r="35" spans="1:23" x14ac:dyDescent="0.25">
      <c r="A35">
        <v>150</v>
      </c>
      <c r="B35" s="186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4">
        <f t="shared" si="21"/>
        <v>-0.11347831472404588</v>
      </c>
      <c r="I35" s="39"/>
      <c r="J35" s="39"/>
      <c r="K35" s="39"/>
      <c r="L35" s="729">
        <v>15.82</v>
      </c>
      <c r="O35" s="81">
        <v>0.96</v>
      </c>
      <c r="P35" s="81">
        <f t="shared" si="0"/>
        <v>14.428704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14.278404999999999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14.128105999999999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13.977807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13.827508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13.677209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13.526909999999999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 t="s">
        <v>790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</row>
    <row r="69" spans="1:1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2" priority="25">
      <formula>F47&gt;0</formula>
    </cfRule>
    <cfRule type="expression" dxfId="1941" priority="26">
      <formula>F47&lt;0</formula>
    </cfRule>
  </conditionalFormatting>
  <conditionalFormatting sqref="Q7">
    <cfRule type="expression" dxfId="1940" priority="23">
      <formula>Q7&gt;0</formula>
    </cfRule>
    <cfRule type="expression" dxfId="1939" priority="24">
      <formula>Q7&lt;0</formula>
    </cfRule>
  </conditionalFormatting>
  <conditionalFormatting sqref="Q8">
    <cfRule type="expression" dxfId="1938" priority="21">
      <formula>Q8&gt;0</formula>
    </cfRule>
    <cfRule type="expression" dxfId="1937" priority="22">
      <formula>Q8&lt;0</formula>
    </cfRule>
  </conditionalFormatting>
  <conditionalFormatting sqref="F25:F30 F34:F46">
    <cfRule type="expression" dxfId="1936" priority="19">
      <formula>F25&gt;0</formula>
    </cfRule>
    <cfRule type="expression" dxfId="1935" priority="20">
      <formula>F25&lt;0</formula>
    </cfRule>
  </conditionalFormatting>
  <conditionalFormatting sqref="H25:H30 H34:H46">
    <cfRule type="expression" dxfId="1934" priority="17">
      <formula>H25&gt;0</formula>
    </cfRule>
    <cfRule type="expression" dxfId="1933" priority="18">
      <formula>H25&lt;0</formula>
    </cfRule>
  </conditionalFormatting>
  <conditionalFormatting sqref="F89:F110">
    <cfRule type="expression" dxfId="1932" priority="15">
      <formula>F89&gt;0</formula>
    </cfRule>
    <cfRule type="expression" dxfId="1931" priority="16">
      <formula>F89&lt;0</formula>
    </cfRule>
  </conditionalFormatting>
  <conditionalFormatting sqref="H89:H110">
    <cfRule type="expression" dxfId="1930" priority="13">
      <formula>H89&gt;0</formula>
    </cfRule>
    <cfRule type="expression" dxfId="1929" priority="14">
      <formula>H89&lt;0</formula>
    </cfRule>
  </conditionalFormatting>
  <conditionalFormatting sqref="Q10">
    <cfRule type="expression" dxfId="1928" priority="11">
      <formula>Q10&gt;0</formula>
    </cfRule>
    <cfRule type="expression" dxfId="1927" priority="12">
      <formula>Q10&lt;0</formula>
    </cfRule>
  </conditionalFormatting>
  <conditionalFormatting sqref="J25:J38">
    <cfRule type="expression" dxfId="1926" priority="9">
      <formula>J25&gt;0</formula>
    </cfRule>
    <cfRule type="expression" dxfId="1925" priority="10">
      <formula>J25&lt;0</formula>
    </cfRule>
  </conditionalFormatting>
  <conditionalFormatting sqref="K25:K38">
    <cfRule type="expression" dxfId="1924" priority="7">
      <formula>K25&gt;0</formula>
    </cfRule>
    <cfRule type="expression" dxfId="1923" priority="8">
      <formula>K25&lt;0</formula>
    </cfRule>
  </conditionalFormatting>
  <conditionalFormatting sqref="L25:L38">
    <cfRule type="expression" dxfId="1922" priority="5">
      <formula>L25&gt;0</formula>
    </cfRule>
    <cfRule type="expression" dxfId="192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0" priority="3">
      <formula>F31&gt;0</formula>
    </cfRule>
    <cfRule type="expression" dxfId="1919" priority="4">
      <formula>F31&lt;0</formula>
    </cfRule>
  </conditionalFormatting>
  <conditionalFormatting sqref="H31:H33">
    <cfRule type="expression" dxfId="1918" priority="1">
      <formula>H31&gt;0</formula>
    </cfRule>
    <cfRule type="expression" dxfId="191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1007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47.95</v>
      </c>
      <c r="R4" s="497">
        <v>1.2999999999999999E-3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9590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1082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-289.25</v>
      </c>
      <c r="R7">
        <v>100</v>
      </c>
      <c r="U7" t="s">
        <v>1088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-289.25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-2.9278538350583295E-2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986</v>
      </c>
      <c r="Q13">
        <f>Q4/2.6</f>
        <v>18.442307692307693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52.745000000000005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986</v>
      </c>
      <c r="L24" s="222"/>
      <c r="O24" s="81">
        <v>1.0900000000000001</v>
      </c>
      <c r="P24" s="81">
        <f t="shared" ref="P24:P43" si="1">O24*$Q$4</f>
        <v>52.26550000000001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51.786000000000008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51.306500000000007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50.827000000000005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50.347500000000004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49.868000000000002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4">
        <f t="shared" ref="H30:H33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49.388500000000008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48.909000000000006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48.429500000000004</v>
      </c>
      <c r="Q32" s="2"/>
    </row>
    <row r="33" spans="1:17" x14ac:dyDescent="0.25">
      <c r="A33">
        <v>100</v>
      </c>
      <c r="B33" s="186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4">
        <f t="shared" si="16"/>
        <v>-3.8259109311740903E-2</v>
      </c>
      <c r="I33" s="39"/>
      <c r="J33" s="39"/>
      <c r="K33" s="39">
        <v>18.27</v>
      </c>
      <c r="L33" s="157"/>
      <c r="O33" s="81">
        <v>1</v>
      </c>
      <c r="P33" s="81">
        <f t="shared" si="1"/>
        <v>47.95</v>
      </c>
      <c r="Q33" s="2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47.470500000000001</v>
      </c>
      <c r="Q34" s="2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46.991</v>
      </c>
      <c r="Q35" s="2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46.511499999999998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46.032000000000004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45.552500000000002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45.073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44.593500000000006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44.114000000000004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43.634500000000003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43.155000000000001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6" priority="31">
      <formula>F47&gt;0</formula>
    </cfRule>
    <cfRule type="expression" dxfId="1915" priority="32">
      <formula>F47&lt;0</formula>
    </cfRule>
  </conditionalFormatting>
  <conditionalFormatting sqref="Q7">
    <cfRule type="expression" dxfId="1914" priority="29">
      <formula>Q7&gt;0</formula>
    </cfRule>
    <cfRule type="expression" dxfId="1913" priority="30">
      <formula>Q7&lt;0</formula>
    </cfRule>
  </conditionalFormatting>
  <conditionalFormatting sqref="Q8">
    <cfRule type="expression" dxfId="1912" priority="27">
      <formula>Q8&gt;0</formula>
    </cfRule>
    <cfRule type="expression" dxfId="1911" priority="28">
      <formula>Q8&lt;0</formula>
    </cfRule>
  </conditionalFormatting>
  <conditionalFormatting sqref="F31:F46">
    <cfRule type="expression" dxfId="1910" priority="25">
      <formula>F31&gt;0</formula>
    </cfRule>
    <cfRule type="expression" dxfId="1909" priority="26">
      <formula>F31&lt;0</formula>
    </cfRule>
  </conditionalFormatting>
  <conditionalFormatting sqref="H31:H46">
    <cfRule type="expression" dxfId="1908" priority="23">
      <formula>H31&gt;0</formula>
    </cfRule>
    <cfRule type="expression" dxfId="1907" priority="24">
      <formula>H31&lt;0</formula>
    </cfRule>
  </conditionalFormatting>
  <conditionalFormatting sqref="Q10">
    <cfRule type="expression" dxfId="1906" priority="21">
      <formula>Q10&gt;0</formula>
    </cfRule>
    <cfRule type="expression" dxfId="1905" priority="22">
      <formula>Q10&lt;0</formula>
    </cfRule>
  </conditionalFormatting>
  <conditionalFormatting sqref="J25:J38">
    <cfRule type="expression" dxfId="1904" priority="19">
      <formula>J25&gt;0</formula>
    </cfRule>
    <cfRule type="expression" dxfId="1903" priority="20">
      <formula>J25&lt;0</formula>
    </cfRule>
  </conditionalFormatting>
  <conditionalFormatting sqref="K35:K38">
    <cfRule type="expression" dxfId="1902" priority="17">
      <formula>K35&gt;0</formula>
    </cfRule>
    <cfRule type="expression" dxfId="1901" priority="18">
      <formula>K35&lt;0</formula>
    </cfRule>
  </conditionalFormatting>
  <conditionalFormatting sqref="L25:L38">
    <cfRule type="expression" dxfId="1900" priority="15">
      <formula>L25&gt;0</formula>
    </cfRule>
    <cfRule type="expression" dxfId="1899" priority="16">
      <formula>L25&lt;0</formula>
    </cfRule>
  </conditionalFormatting>
  <conditionalFormatting sqref="F89:F110">
    <cfRule type="expression" dxfId="1898" priority="13">
      <formula>F89&gt;0</formula>
    </cfRule>
    <cfRule type="expression" dxfId="1897" priority="14">
      <formula>F89&lt;0</formula>
    </cfRule>
  </conditionalFormatting>
  <conditionalFormatting sqref="H89:H110">
    <cfRule type="expression" dxfId="1896" priority="11">
      <formula>H89&gt;0</formula>
    </cfRule>
    <cfRule type="expression" dxfId="1895" priority="12">
      <formula>H89&lt;0</formula>
    </cfRule>
  </conditionalFormatting>
  <conditionalFormatting sqref="J89:J102">
    <cfRule type="expression" dxfId="1894" priority="9">
      <formula>J89&gt;0</formula>
    </cfRule>
    <cfRule type="expression" dxfId="1893" priority="10">
      <formula>J89&lt;0</formula>
    </cfRule>
  </conditionalFormatting>
  <conditionalFormatting sqref="K89:K102">
    <cfRule type="expression" dxfId="1892" priority="7">
      <formula>K89&gt;0</formula>
    </cfRule>
    <cfRule type="expression" dxfId="1891" priority="8">
      <formula>K89&lt;0</formula>
    </cfRule>
  </conditionalFormatting>
  <conditionalFormatting sqref="L89:L102">
    <cfRule type="expression" dxfId="1890" priority="5">
      <formula>L89&gt;0</formula>
    </cfRule>
    <cfRule type="expression" dxfId="1889" priority="6">
      <formula>L89&lt;0</formula>
    </cfRule>
  </conditionalFormatting>
  <conditionalFormatting sqref="F25:F30">
    <cfRule type="expression" dxfId="1888" priority="3">
      <formula>F25&gt;0</formula>
    </cfRule>
    <cfRule type="expression" dxfId="1887" priority="4">
      <formula>F25&lt;0</formula>
    </cfRule>
  </conditionalFormatting>
  <conditionalFormatting sqref="H25:H30">
    <cfRule type="expression" dxfId="1886" priority="1">
      <formula>H25&gt;0</formula>
    </cfRule>
    <cfRule type="expression" dxfId="18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B1" workbookViewId="0">
      <pane ySplit="1" topLeftCell="A2" activePane="bottomLeft" state="frozen"/>
      <selection activeCell="A2" sqref="A2"/>
      <selection pane="bottomLeft" activeCell="T8" sqref="T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1061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  <c r="U3" s="22" t="s">
        <v>1097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49.85</v>
      </c>
      <c r="R4" s="497">
        <v>3.3999999999999998E-3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7477.5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100.5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100.5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1.3623424156161041E-2</v>
      </c>
      <c r="T9" s="158"/>
      <c r="U9" t="s">
        <v>1096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3.0090270812437311E-2</v>
      </c>
      <c r="R11">
        <v>1.5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54.835000000000008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54.336500000000008</v>
      </c>
    </row>
    <row r="19" spans="1:2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53.838000000000008</v>
      </c>
    </row>
    <row r="20" spans="1:21" x14ac:dyDescent="0.25">
      <c r="O20" s="81">
        <v>1.07</v>
      </c>
      <c r="P20" s="81">
        <f t="shared" si="1"/>
        <v>53.339500000000008</v>
      </c>
    </row>
    <row r="21" spans="1:21" x14ac:dyDescent="0.25">
      <c r="O21" s="81">
        <v>1.06</v>
      </c>
      <c r="P21" s="81">
        <f t="shared" si="1"/>
        <v>52.841000000000001</v>
      </c>
    </row>
    <row r="22" spans="1:21" x14ac:dyDescent="0.25">
      <c r="O22" s="81">
        <v>1.05</v>
      </c>
      <c r="P22" s="81">
        <f t="shared" si="1"/>
        <v>52.342500000000001</v>
      </c>
    </row>
    <row r="23" spans="1:21" x14ac:dyDescent="0.25">
      <c r="O23" s="81">
        <v>1.04</v>
      </c>
      <c r="P23" s="81">
        <f t="shared" si="1"/>
        <v>51.844000000000001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51.345500000000001</v>
      </c>
    </row>
    <row r="25" spans="1:21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50.847000000000001</v>
      </c>
    </row>
    <row r="26" spans="1:21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50.348500000000001</v>
      </c>
    </row>
    <row r="27" spans="1:2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49.85</v>
      </c>
    </row>
    <row r="28" spans="1:2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49.351500000000001</v>
      </c>
      <c r="U28" t="s">
        <v>1095</v>
      </c>
    </row>
    <row r="29" spans="1:2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48.853000000000002</v>
      </c>
    </row>
    <row r="30" spans="1:2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48.354500000000002</v>
      </c>
    </row>
    <row r="31" spans="1:2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47.856000000000002</v>
      </c>
    </row>
    <row r="32" spans="1:2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47.357500000000002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46.859000000000002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46.360500000000002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45.862000000000002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45.363500000000002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44.865000000000002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4" priority="35">
      <formula>F47&gt;0</formula>
    </cfRule>
    <cfRule type="expression" dxfId="1883" priority="36">
      <formula>F47&lt;0</formula>
    </cfRule>
  </conditionalFormatting>
  <conditionalFormatting sqref="Q7">
    <cfRule type="expression" dxfId="1882" priority="33">
      <formula>Q7&gt;0</formula>
    </cfRule>
    <cfRule type="expression" dxfId="1881" priority="34">
      <formula>Q7&lt;0</formula>
    </cfRule>
  </conditionalFormatting>
  <conditionalFormatting sqref="Q8">
    <cfRule type="expression" dxfId="1880" priority="31">
      <formula>Q8&gt;0</formula>
    </cfRule>
    <cfRule type="expression" dxfId="1879" priority="32">
      <formula>Q8&lt;0</formula>
    </cfRule>
  </conditionalFormatting>
  <conditionalFormatting sqref="F30:F46">
    <cfRule type="expression" dxfId="1878" priority="29">
      <formula>F30&gt;0</formula>
    </cfRule>
    <cfRule type="expression" dxfId="1877" priority="30">
      <formula>F30&lt;0</formula>
    </cfRule>
  </conditionalFormatting>
  <conditionalFormatting sqref="H30:H46">
    <cfRule type="expression" dxfId="1876" priority="27">
      <formula>H30&gt;0</formula>
    </cfRule>
    <cfRule type="expression" dxfId="1875" priority="28">
      <formula>H30&lt;0</formula>
    </cfRule>
  </conditionalFormatting>
  <conditionalFormatting sqref="Q10">
    <cfRule type="expression" dxfId="1874" priority="25">
      <formula>Q10&gt;0</formula>
    </cfRule>
    <cfRule type="expression" dxfId="1873" priority="26">
      <formula>Q10&lt;0</formula>
    </cfRule>
  </conditionalFormatting>
  <conditionalFormatting sqref="J25:J38">
    <cfRule type="expression" dxfId="1872" priority="23">
      <formula>J25&gt;0</formula>
    </cfRule>
    <cfRule type="expression" dxfId="1871" priority="24">
      <formula>J25&lt;0</formula>
    </cfRule>
  </conditionalFormatting>
  <conditionalFormatting sqref="K25:K38">
    <cfRule type="expression" dxfId="1870" priority="21">
      <formula>K25&gt;0</formula>
    </cfRule>
    <cfRule type="expression" dxfId="1869" priority="22">
      <formula>K25&lt;0</formula>
    </cfRule>
  </conditionalFormatting>
  <conditionalFormatting sqref="L25 L38">
    <cfRule type="expression" dxfId="1868" priority="19">
      <formula>L25&gt;0</formula>
    </cfRule>
    <cfRule type="expression" dxfId="1867" priority="20">
      <formula>L25&lt;0</formula>
    </cfRule>
  </conditionalFormatting>
  <conditionalFormatting sqref="F89:F110">
    <cfRule type="expression" dxfId="1866" priority="17">
      <formula>F89&gt;0</formula>
    </cfRule>
    <cfRule type="expression" dxfId="1865" priority="18">
      <formula>F89&lt;0</formula>
    </cfRule>
  </conditionalFormatting>
  <conditionalFormatting sqref="H89:H110">
    <cfRule type="expression" dxfId="1864" priority="15">
      <formula>H89&gt;0</formula>
    </cfRule>
    <cfRule type="expression" dxfId="1863" priority="16">
      <formula>H89&lt;0</formula>
    </cfRule>
  </conditionalFormatting>
  <conditionalFormatting sqref="J89:J102">
    <cfRule type="expression" dxfId="1862" priority="13">
      <formula>J89&gt;0</formula>
    </cfRule>
    <cfRule type="expression" dxfId="1861" priority="14">
      <formula>J89&lt;0</formula>
    </cfRule>
  </conditionalFormatting>
  <conditionalFormatting sqref="K89:K102">
    <cfRule type="expression" dxfId="1860" priority="11">
      <formula>K89&gt;0</formula>
    </cfRule>
    <cfRule type="expression" dxfId="1859" priority="12">
      <formula>K89&lt;0</formula>
    </cfRule>
  </conditionalFormatting>
  <conditionalFormatting sqref="L89:L102">
    <cfRule type="expression" dxfId="1858" priority="9">
      <formula>L89&gt;0</formula>
    </cfRule>
    <cfRule type="expression" dxfId="1857" priority="10">
      <formula>L89&lt;0</formula>
    </cfRule>
  </conditionalFormatting>
  <conditionalFormatting sqref="F25 F29">
    <cfRule type="expression" dxfId="1856" priority="7">
      <formula>F25&gt;0</formula>
    </cfRule>
    <cfRule type="expression" dxfId="1855" priority="8">
      <formula>F25&lt;0</formula>
    </cfRule>
  </conditionalFormatting>
  <conditionalFormatting sqref="H25 H29">
    <cfRule type="expression" dxfId="1854" priority="5">
      <formula>H25&gt;0</formula>
    </cfRule>
    <cfRule type="expression" dxfId="1853" priority="6">
      <formula>H25&lt;0</formula>
    </cfRule>
  </conditionalFormatting>
  <conditionalFormatting sqref="F26:F28">
    <cfRule type="expression" dxfId="1852" priority="3">
      <formula>F26&gt;0</formula>
    </cfRule>
    <cfRule type="expression" dxfId="1851" priority="4">
      <formula>F26&lt;0</formula>
    </cfRule>
  </conditionalFormatting>
  <conditionalFormatting sqref="H26:H28">
    <cfRule type="expression" dxfId="1850" priority="1">
      <formula>H26&gt;0</formula>
    </cfRule>
    <cfRule type="expression" dxfId="1849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8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4" t="s">
        <v>70</v>
      </c>
      <c r="Y1" s="34"/>
    </row>
    <row r="2" spans="1:28" x14ac:dyDescent="0.25">
      <c r="A2" s="6" t="s">
        <v>195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35" t="s">
        <v>350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27.991975000000004</v>
      </c>
      <c r="T3" s="818" t="s">
        <v>464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25.3</v>
      </c>
      <c r="R4" s="224">
        <v>1.44E-2</v>
      </c>
      <c r="T4" s="34" t="s">
        <v>680</v>
      </c>
      <c r="U4" s="22" t="s">
        <v>679</v>
      </c>
      <c r="Y4" s="817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50600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55983.950000000004</v>
      </c>
      <c r="T6" s="818" t="s">
        <v>1028</v>
      </c>
      <c r="U6" t="s">
        <v>1030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-3635.9800000000178</v>
      </c>
      <c r="R7">
        <v>200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-5383.9500000000116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4">
        <f>IF(Q2=0, 0, Q8/Q6)</f>
        <v>-9.6169527159123483E-2</v>
      </c>
      <c r="T9" s="818" t="s">
        <v>522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1.9762845849802372E-2</v>
      </c>
      <c r="R11">
        <f>0.125</f>
        <v>0.125</v>
      </c>
      <c r="T11" s="818">
        <v>43095</v>
      </c>
      <c r="U11" t="s">
        <v>793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958</v>
      </c>
      <c r="Q12" s="1" t="s">
        <v>1018</v>
      </c>
      <c r="U12" t="s">
        <v>799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1029</v>
      </c>
      <c r="Q13" s="2">
        <f>Q4/(1.95+2.15)*2</f>
        <v>12.341463414634148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1056</v>
      </c>
      <c r="Q14" s="29">
        <v>43226</v>
      </c>
      <c r="T14" s="818">
        <v>43102</v>
      </c>
      <c r="U14" t="s">
        <v>857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6"/>
      <c r="U15" t="s">
        <v>844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6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6"/>
      <c r="T17" s="818">
        <v>43104</v>
      </c>
      <c r="U17" t="s">
        <v>855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6"/>
      <c r="U18" t="s">
        <v>856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6"/>
      <c r="T19" s="818">
        <v>43105</v>
      </c>
      <c r="U19" t="s">
        <v>861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6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8">
        <v>43112</v>
      </c>
      <c r="U21" t="s">
        <v>869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870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27.830000000000002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27.577000000000002</v>
      </c>
      <c r="Q24" s="2"/>
      <c r="T24" s="818">
        <v>43126</v>
      </c>
      <c r="U24" t="s">
        <v>922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27.324000000000002</v>
      </c>
      <c r="Q25" s="2"/>
      <c r="U25" t="s">
        <v>923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27.071000000000002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8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26.818000000000001</v>
      </c>
      <c r="Q27" s="2"/>
      <c r="T27" s="819">
        <v>43153</v>
      </c>
      <c r="U27" t="s">
        <v>962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26.565000000000001</v>
      </c>
      <c r="Q28" s="2"/>
      <c r="T28" s="819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26.312000000000001</v>
      </c>
      <c r="Q29" s="2"/>
      <c r="T29" s="819">
        <v>43161</v>
      </c>
      <c r="U29" t="s">
        <v>961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26.059000000000001</v>
      </c>
      <c r="Q30" s="2"/>
      <c r="T30" s="819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25.806000000000001</v>
      </c>
      <c r="Q31" s="2"/>
      <c r="T31" s="819">
        <v>43167</v>
      </c>
      <c r="U31" t="s">
        <v>989</v>
      </c>
      <c r="W31" s="134"/>
    </row>
    <row r="32" spans="2:23" x14ac:dyDescent="0.25">
      <c r="B32" s="479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25.553000000000001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25.3</v>
      </c>
      <c r="Q33" s="2"/>
      <c r="T33" s="818">
        <v>43196</v>
      </c>
      <c r="U33" t="s">
        <v>982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25.047000000000001</v>
      </c>
      <c r="Q34" s="2"/>
      <c r="U34" t="s">
        <v>1004</v>
      </c>
      <c r="W34" s="134"/>
    </row>
    <row r="35" spans="2:23" x14ac:dyDescent="0.25">
      <c r="B35" s="478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24.794</v>
      </c>
      <c r="Q35" s="2"/>
      <c r="T35" s="818">
        <v>43200</v>
      </c>
      <c r="U35" t="s">
        <v>1020</v>
      </c>
      <c r="W35" s="134"/>
    </row>
    <row r="36" spans="2:23" x14ac:dyDescent="0.25">
      <c r="B36" s="73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24.541</v>
      </c>
      <c r="T36" s="818">
        <v>43203</v>
      </c>
      <c r="U36" t="s">
        <v>1019</v>
      </c>
      <c r="W36" s="134"/>
    </row>
    <row r="37" spans="2:23" x14ac:dyDescent="0.25">
      <c r="B37" s="73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24.288</v>
      </c>
      <c r="W37" s="134"/>
    </row>
    <row r="38" spans="2:23" x14ac:dyDescent="0.25">
      <c r="B38" s="737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24.035</v>
      </c>
      <c r="T38" s="818">
        <v>43210</v>
      </c>
      <c r="U38" t="s">
        <v>1025</v>
      </c>
      <c r="W38" s="134"/>
    </row>
    <row r="39" spans="2:23" x14ac:dyDescent="0.25">
      <c r="B39" s="737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23.782</v>
      </c>
      <c r="U39" t="s">
        <v>1026</v>
      </c>
      <c r="W39" s="134"/>
    </row>
    <row r="40" spans="2:23" x14ac:dyDescent="0.25">
      <c r="B40" s="737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23.529000000000003</v>
      </c>
      <c r="W40" s="134"/>
    </row>
    <row r="41" spans="2:23" x14ac:dyDescent="0.25">
      <c r="B41" s="737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9"/>
      <c r="O41" s="81">
        <v>0.92</v>
      </c>
      <c r="P41" s="81">
        <f t="shared" si="2"/>
        <v>23.276000000000003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23.023</v>
      </c>
      <c r="T42" s="818">
        <v>43214</v>
      </c>
      <c r="U42" t="s">
        <v>1031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22.77</v>
      </c>
      <c r="T43" s="818">
        <v>43221</v>
      </c>
      <c r="U43" t="s">
        <v>1075</v>
      </c>
      <c r="W43" s="134"/>
    </row>
    <row r="44" spans="2:23" x14ac:dyDescent="0.25">
      <c r="B44" s="29"/>
      <c r="D44" s="78"/>
      <c r="G44" s="29"/>
      <c r="T44" s="819">
        <v>43223</v>
      </c>
      <c r="U44" t="s">
        <v>1073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8">
        <v>43224</v>
      </c>
      <c r="U46" s="477" t="s">
        <v>1074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8">
        <v>43236</v>
      </c>
      <c r="U48" t="s">
        <v>1100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4">
        <v>43237</v>
      </c>
      <c r="U49" t="s">
        <v>1027</v>
      </c>
      <c r="W49" s="134"/>
    </row>
    <row r="50" spans="1:23" x14ac:dyDescent="0.25">
      <c r="B50" s="29"/>
      <c r="D50" s="78"/>
      <c r="G50" s="29"/>
      <c r="U50" t="s">
        <v>1102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1104</v>
      </c>
      <c r="W51" s="134"/>
    </row>
    <row r="52" spans="1:23" x14ac:dyDescent="0.25">
      <c r="B52" s="29"/>
      <c r="D52" s="78"/>
      <c r="G52" s="29"/>
      <c r="T52" s="836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9600</v>
      </c>
      <c r="D57" s="18"/>
      <c r="E57" s="18"/>
      <c r="F57" s="18">
        <f>SUM(F2:F56)</f>
        <v>250262.06999999998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3" t="s">
        <v>193</v>
      </c>
      <c r="B58" s="344"/>
      <c r="C58" s="345">
        <f>SumByColor($A$58,C2:C56)</f>
        <v>7900</v>
      </c>
      <c r="D58" s="345"/>
      <c r="E58" s="345"/>
      <c r="F58" s="346">
        <f>SumByColor($A$58,F2:F56)</f>
        <v>192470</v>
      </c>
      <c r="G58" s="346"/>
      <c r="H58" s="749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503</v>
      </c>
      <c r="K63" s="222" t="s">
        <v>150</v>
      </c>
      <c r="L63" s="222" t="s">
        <v>737</v>
      </c>
    </row>
    <row r="64" spans="1:23" x14ac:dyDescent="0.25">
      <c r="A64" t="s">
        <v>338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395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411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435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443</v>
      </c>
      <c r="J70" s="39"/>
      <c r="K70" s="39"/>
      <c r="L70" s="39"/>
    </row>
    <row r="71" spans="1:12" x14ac:dyDescent="0.25">
      <c r="A71" t="s">
        <v>339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467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472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783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858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931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6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4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6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4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4">C155*(E155-D155)</f>
        <v>-33.800000000000097</v>
      </c>
      <c r="G155" s="365">
        <f t="shared" ref="G155:G168" si="215">D155*C155</f>
        <v>3591.7999999999997</v>
      </c>
      <c r="H155" s="366">
        <f t="shared" ref="H155:H168" si="216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4"/>
        <v>85.200000000000387</v>
      </c>
      <c r="G156" s="365">
        <f t="shared" si="215"/>
        <v>3591.7999999999997</v>
      </c>
      <c r="H156" s="366">
        <f t="shared" si="216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4"/>
        <v>-136.80000000000021</v>
      </c>
      <c r="G157" s="365">
        <f t="shared" si="215"/>
        <v>3591.7999999999997</v>
      </c>
      <c r="H157" s="366">
        <f t="shared" si="216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4"/>
        <v>-147.56000000000029</v>
      </c>
      <c r="G158" s="365">
        <f t="shared" si="215"/>
        <v>4959.3599999999997</v>
      </c>
      <c r="H158" s="366">
        <f t="shared" si="216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4"/>
        <v>-49.199999999999591</v>
      </c>
      <c r="G159" s="365">
        <f t="shared" si="215"/>
        <v>8408.4</v>
      </c>
      <c r="H159" s="366">
        <f t="shared" si="216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4"/>
        <v>109.60000000000036</v>
      </c>
      <c r="G160" s="365">
        <f t="shared" si="215"/>
        <v>6994.4000000000005</v>
      </c>
      <c r="H160" s="366">
        <f t="shared" si="216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4"/>
        <v>-6.4000000000007162</v>
      </c>
      <c r="G161" s="365">
        <f t="shared" si="215"/>
        <v>6994.4000000000005</v>
      </c>
      <c r="H161" s="366">
        <f t="shared" si="216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4"/>
        <v>166.71999999999912</v>
      </c>
      <c r="G162" s="365">
        <f t="shared" si="215"/>
        <v>5554.880000000001</v>
      </c>
      <c r="H162" s="366">
        <f t="shared" si="216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4"/>
        <v>218.88000000000034</v>
      </c>
      <c r="G163" s="365">
        <f t="shared" si="215"/>
        <v>5544.32</v>
      </c>
      <c r="H163" s="366">
        <f t="shared" si="216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4"/>
        <v>298.88000000000034</v>
      </c>
      <c r="G164" s="365">
        <f t="shared" si="215"/>
        <v>5544.32</v>
      </c>
      <c r="H164" s="366">
        <f t="shared" si="216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4"/>
        <v>363.18000000000006</v>
      </c>
      <c r="G165" s="365">
        <f t="shared" si="215"/>
        <v>1845.42</v>
      </c>
      <c r="H165" s="366">
        <f t="shared" si="216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4"/>
        <v>329.12000000000035</v>
      </c>
      <c r="G166" s="365">
        <f t="shared" si="215"/>
        <v>5384.48</v>
      </c>
      <c r="H166" s="366">
        <f t="shared" si="216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4"/>
        <v>169.60000000000036</v>
      </c>
      <c r="G167" s="365">
        <f t="shared" si="215"/>
        <v>5384</v>
      </c>
      <c r="H167" s="366">
        <f t="shared" si="216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4"/>
        <v>474.7199999999998</v>
      </c>
      <c r="G168" s="365">
        <f t="shared" si="215"/>
        <v>5384.48</v>
      </c>
      <c r="H168" s="366">
        <f t="shared" si="216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7">C169*(E169-D169)</f>
        <v>588.31999999999994</v>
      </c>
      <c r="G169" s="365">
        <f t="shared" ref="G169:G182" si="218">D169*C169</f>
        <v>5384.48</v>
      </c>
      <c r="H169" s="366">
        <f t="shared" ref="H169:H211" si="219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7"/>
        <v>673.12000000000012</v>
      </c>
      <c r="G170" s="365">
        <f t="shared" si="218"/>
        <v>5384.48</v>
      </c>
      <c r="H170" s="366">
        <f t="shared" si="219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7"/>
        <v>597.9200000000003</v>
      </c>
      <c r="G171" s="365">
        <f t="shared" si="218"/>
        <v>5384.48</v>
      </c>
      <c r="H171" s="366">
        <f t="shared" si="219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7"/>
        <v>489.12000000000035</v>
      </c>
      <c r="G172" s="365">
        <f t="shared" si="218"/>
        <v>5384.48</v>
      </c>
      <c r="H172" s="366">
        <f t="shared" si="219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7"/>
        <v>409.12000000000035</v>
      </c>
      <c r="G173" s="365">
        <f t="shared" si="218"/>
        <v>5384.48</v>
      </c>
      <c r="H173" s="366">
        <f t="shared" si="219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7"/>
        <v>439.52</v>
      </c>
      <c r="G174" s="365">
        <f t="shared" si="218"/>
        <v>5384.48</v>
      </c>
      <c r="H174" s="366">
        <f t="shared" si="219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7"/>
        <v>369.12000000000035</v>
      </c>
      <c r="G175" s="365">
        <f t="shared" si="218"/>
        <v>5384.48</v>
      </c>
      <c r="H175" s="366">
        <f t="shared" si="219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7"/>
        <v>341.92000000000007</v>
      </c>
      <c r="G176" s="365">
        <f t="shared" si="218"/>
        <v>5384.48</v>
      </c>
      <c r="H176" s="366">
        <f t="shared" si="219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7"/>
        <v>442.72000000000048</v>
      </c>
      <c r="G177" s="365">
        <f t="shared" si="218"/>
        <v>5384.48</v>
      </c>
      <c r="H177" s="366">
        <f t="shared" si="219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7"/>
        <v>90.619999999999621</v>
      </c>
      <c r="G178" s="365">
        <f t="shared" si="218"/>
        <v>7821.38</v>
      </c>
      <c r="H178" s="366">
        <f t="shared" si="219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7"/>
        <v>51.480000000000103</v>
      </c>
      <c r="G179" s="365">
        <f t="shared" si="218"/>
        <v>8837.92</v>
      </c>
      <c r="H179" s="366">
        <f t="shared" si="219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7"/>
        <v>-376.80000000000007</v>
      </c>
      <c r="G180" s="365">
        <f t="shared" si="218"/>
        <v>10159.799999999999</v>
      </c>
      <c r="H180" s="366">
        <f t="shared" si="219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7"/>
        <v>-388.00000000000239</v>
      </c>
      <c r="G181" s="365">
        <f t="shared" si="218"/>
        <v>13408.000000000002</v>
      </c>
      <c r="H181" s="366">
        <f t="shared" si="219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7"/>
        <v>-262.9400000000004</v>
      </c>
      <c r="G182" s="365">
        <f t="shared" si="218"/>
        <v>13354.939999999999</v>
      </c>
      <c r="H182" s="366">
        <f t="shared" si="219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7"/>
        <v>-514.93999999999858</v>
      </c>
      <c r="G183" s="365">
        <f t="shared" ref="G183:G188" si="220">D183*C183</f>
        <v>13354.939999999999</v>
      </c>
      <c r="H183" s="366">
        <f t="shared" si="219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7"/>
        <v>-582.93999999999892</v>
      </c>
      <c r="G184" s="365">
        <f t="shared" si="220"/>
        <v>16522.939999999999</v>
      </c>
      <c r="H184" s="366">
        <f t="shared" si="219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7"/>
        <v>-292.93999999999801</v>
      </c>
      <c r="G185" s="365">
        <f t="shared" si="220"/>
        <v>16522.939999999999</v>
      </c>
      <c r="H185" s="366">
        <f t="shared" si="219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7"/>
        <v>-217.93999999999869</v>
      </c>
      <c r="G186" s="365">
        <f t="shared" si="220"/>
        <v>16522.939999999999</v>
      </c>
      <c r="H186" s="366">
        <f t="shared" si="219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7"/>
        <v>-92.93999999999869</v>
      </c>
      <c r="G187" s="365">
        <f t="shared" si="220"/>
        <v>16522.939999999999</v>
      </c>
      <c r="H187" s="366">
        <f t="shared" si="219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7"/>
        <v>-397.93999999999841</v>
      </c>
      <c r="G188" s="365">
        <f t="shared" si="220"/>
        <v>16522.939999999999</v>
      </c>
      <c r="H188" s="366">
        <f t="shared" si="219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7"/>
        <v>-27.939999999997411</v>
      </c>
      <c r="G189" s="365">
        <f t="shared" ref="G189:G211" si="221">D189*C189</f>
        <v>16522.939999999999</v>
      </c>
      <c r="H189" s="366">
        <f t="shared" si="219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7"/>
        <v>-142.9399999999994</v>
      </c>
      <c r="G190" s="365">
        <f t="shared" si="221"/>
        <v>16522.939999999999</v>
      </c>
      <c r="H190" s="366">
        <f t="shared" si="219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7"/>
        <v>-357.93999999999926</v>
      </c>
      <c r="G191" s="365">
        <f t="shared" si="221"/>
        <v>16522.939999999999</v>
      </c>
      <c r="H191" s="366">
        <f t="shared" si="219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7"/>
        <v>-442.94000000000011</v>
      </c>
      <c r="G192" s="365">
        <f t="shared" si="221"/>
        <v>16522.939999999999</v>
      </c>
      <c r="H192" s="366">
        <f t="shared" si="219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7"/>
        <v>-542.93999999999801</v>
      </c>
      <c r="G193" s="365">
        <f t="shared" si="221"/>
        <v>16522.939999999999</v>
      </c>
      <c r="H193" s="366">
        <f t="shared" si="219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7"/>
        <v>-224.94000000000014</v>
      </c>
      <c r="G194" s="365">
        <f t="shared" si="221"/>
        <v>16474.939999999999</v>
      </c>
      <c r="H194" s="366">
        <f t="shared" si="219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7"/>
        <v>-139.93999999999929</v>
      </c>
      <c r="G195" s="365">
        <f t="shared" si="221"/>
        <v>16474.939999999999</v>
      </c>
      <c r="H195" s="366">
        <f t="shared" si="219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7"/>
        <v>-847.93799999999919</v>
      </c>
      <c r="G196" s="365">
        <f t="shared" si="221"/>
        <v>19639.937999999998</v>
      </c>
      <c r="H196" s="366">
        <f t="shared" si="219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7"/>
        <v>-833.93799999999771</v>
      </c>
      <c r="G197" s="365">
        <f t="shared" si="221"/>
        <v>22757.937999999998</v>
      </c>
      <c r="H197" s="366">
        <f t="shared" si="219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7"/>
        <v>-840.93799999999885</v>
      </c>
      <c r="G198" s="365">
        <f t="shared" si="221"/>
        <v>22757.937999999998</v>
      </c>
      <c r="H198" s="366">
        <f t="shared" si="219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7"/>
        <v>-700.9379999999968</v>
      </c>
      <c r="G199" s="365">
        <f t="shared" si="221"/>
        <v>22757.937999999998</v>
      </c>
      <c r="H199" s="366">
        <f t="shared" si="219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7"/>
        <v>-1125.9439999999984</v>
      </c>
      <c r="G200" s="365">
        <f t="shared" si="221"/>
        <v>25837.944</v>
      </c>
      <c r="H200" s="366">
        <f t="shared" si="219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7"/>
        <v>-1205.9439999999995</v>
      </c>
      <c r="G201" s="365">
        <f t="shared" si="221"/>
        <v>25837.944</v>
      </c>
      <c r="H201" s="366">
        <f t="shared" si="219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7"/>
        <v>-965.94399999999894</v>
      </c>
      <c r="G202" s="365">
        <f t="shared" si="221"/>
        <v>25837.944</v>
      </c>
      <c r="H202" s="366">
        <f t="shared" si="219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7"/>
        <v>-1477.9439999999995</v>
      </c>
      <c r="G203" s="365">
        <f t="shared" si="221"/>
        <v>25837.944</v>
      </c>
      <c r="H203" s="366">
        <f t="shared" si="219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7"/>
        <v>-1773.936000000002</v>
      </c>
      <c r="G204" s="365">
        <f t="shared" si="221"/>
        <v>28845.936000000002</v>
      </c>
      <c r="H204" s="366">
        <f t="shared" si="219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7"/>
        <v>-1935.9360000000017</v>
      </c>
      <c r="G205" s="365">
        <f t="shared" si="221"/>
        <v>28845.936000000002</v>
      </c>
      <c r="H205" s="366">
        <f t="shared" si="219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7"/>
        <v>-1989.9360000000006</v>
      </c>
      <c r="G206" s="365">
        <f t="shared" si="221"/>
        <v>28845.936000000002</v>
      </c>
      <c r="H206" s="366">
        <f t="shared" si="219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7"/>
        <v>-2133.9360000000006</v>
      </c>
      <c r="G207" s="365">
        <f t="shared" si="221"/>
        <v>28845.936000000002</v>
      </c>
      <c r="H207" s="366">
        <f t="shared" si="219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7"/>
        <v>-2505.9399999999991</v>
      </c>
      <c r="G208" s="365">
        <f t="shared" si="221"/>
        <v>31785.94</v>
      </c>
      <c r="H208" s="366">
        <f t="shared" si="219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7"/>
        <v>-2945.94</v>
      </c>
      <c r="G209" s="365">
        <f t="shared" si="221"/>
        <v>31785.94</v>
      </c>
      <c r="H209" s="366">
        <f t="shared" si="219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7"/>
        <v>-2415.9399999999991</v>
      </c>
      <c r="G210" s="365">
        <f t="shared" si="221"/>
        <v>31785.94</v>
      </c>
      <c r="H210" s="366">
        <f t="shared" si="219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7"/>
        <v>-2785.94</v>
      </c>
      <c r="G211" s="365">
        <f t="shared" si="221"/>
        <v>31785.94</v>
      </c>
      <c r="H211" s="366">
        <f t="shared" si="219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22">C212*(E212-D212)</f>
        <v>-1145.9399999999996</v>
      </c>
      <c r="G212" s="365">
        <f t="shared" ref="G212:G217" si="223">D212*C212</f>
        <v>31785.94</v>
      </c>
      <c r="H212" s="366">
        <f t="shared" ref="H212:H217" si="224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22"/>
        <v>-520.01099999999701</v>
      </c>
      <c r="G213" s="365">
        <f t="shared" si="223"/>
        <v>28654.010999999999</v>
      </c>
      <c r="H213" s="366">
        <f t="shared" si="224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22"/>
        <v>-783.99999999999886</v>
      </c>
      <c r="G214" s="365">
        <f t="shared" si="223"/>
        <v>31764</v>
      </c>
      <c r="H214" s="366">
        <f t="shared" si="224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22"/>
        <v>350.64000000000027</v>
      </c>
      <c r="G215" s="365">
        <f t="shared" si="223"/>
        <v>15759.359999999999</v>
      </c>
      <c r="H215" s="366">
        <f t="shared" si="224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22"/>
        <v>-398.86400000000037</v>
      </c>
      <c r="G216" s="365">
        <f t="shared" si="223"/>
        <v>25214.864000000001</v>
      </c>
      <c r="H216" s="366">
        <f t="shared" si="224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22"/>
        <v>1280.8600000000013</v>
      </c>
      <c r="G217" s="365">
        <f t="shared" si="223"/>
        <v>12271.14</v>
      </c>
      <c r="H217" s="366">
        <f t="shared" si="224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5">C218*(E218-D218)</f>
        <v>648.8599999999991</v>
      </c>
      <c r="G218" s="365">
        <f t="shared" ref="G218:G224" si="226">D218*C218</f>
        <v>12271.14</v>
      </c>
      <c r="H218" s="366">
        <f t="shared" ref="H218:H224" si="227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5"/>
        <v>1108.8599999999985</v>
      </c>
      <c r="G219" s="365">
        <f t="shared" si="226"/>
        <v>12211.14</v>
      </c>
      <c r="H219" s="366">
        <f t="shared" si="227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5"/>
        <v>1467.7889999999991</v>
      </c>
      <c r="G220" s="365">
        <f t="shared" si="226"/>
        <v>8789.2109999999993</v>
      </c>
      <c r="H220" s="366">
        <f t="shared" si="227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5"/>
        <v>1645.7100000000005</v>
      </c>
      <c r="G221" s="365">
        <f t="shared" si="226"/>
        <v>5310.29</v>
      </c>
      <c r="H221" s="366">
        <f t="shared" si="227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5"/>
        <v>1537.7099999999996</v>
      </c>
      <c r="G222" s="365">
        <f t="shared" si="226"/>
        <v>8728.2900000000009</v>
      </c>
      <c r="H222" s="366">
        <f t="shared" si="227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5"/>
        <v>1754.0499999999997</v>
      </c>
      <c r="G223" s="365">
        <f t="shared" si="226"/>
        <v>1717.95</v>
      </c>
      <c r="H223" s="366">
        <f t="shared" si="227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5"/>
        <v>1742.0399999999997</v>
      </c>
      <c r="G224" s="365">
        <f t="shared" si="226"/>
        <v>8673.9599999999991</v>
      </c>
      <c r="H224" s="366">
        <f t="shared" si="227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195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8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8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8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9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8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9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8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9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8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9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8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9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8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9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8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9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8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9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8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9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8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9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8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9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8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9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8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9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8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9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8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9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8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9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8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8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8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8" priority="93">
      <formula>F94&gt;0</formula>
    </cfRule>
    <cfRule type="expression" dxfId="1847" priority="94">
      <formula>F94&lt;0</formula>
    </cfRule>
  </conditionalFormatting>
  <conditionalFormatting sqref="F164:F177 F180:F224 F227:F228">
    <cfRule type="expression" dxfId="1846" priority="89">
      <formula>F164&gt;0</formula>
    </cfRule>
    <cfRule type="expression" dxfId="1845" priority="90">
      <formula>F164&lt;0</formula>
    </cfRule>
  </conditionalFormatting>
  <conditionalFormatting sqref="F164:F177 F180:F224 F227:F228">
    <cfRule type="expression" dxfId="1844" priority="91">
      <formula>F164&gt;0</formula>
    </cfRule>
    <cfRule type="expression" dxfId="1843" priority="92">
      <formula>F164&lt;0</formula>
    </cfRule>
  </conditionalFormatting>
  <conditionalFormatting sqref="H159:H177 H180:H224 H227:H228">
    <cfRule type="expression" dxfId="1842" priority="87">
      <formula>H159&gt;0</formula>
    </cfRule>
    <cfRule type="expression" dxfId="1841" priority="88">
      <formula>H159&lt;0</formula>
    </cfRule>
  </conditionalFormatting>
  <conditionalFormatting sqref="F155:F158">
    <cfRule type="expression" dxfId="1840" priority="81">
      <formula>F155&gt;0</formula>
    </cfRule>
    <cfRule type="expression" dxfId="1839" priority="82">
      <formula>F155&lt;0</formula>
    </cfRule>
  </conditionalFormatting>
  <conditionalFormatting sqref="H155:H158">
    <cfRule type="expression" dxfId="1838" priority="79">
      <formula>H155&gt;0</formula>
    </cfRule>
    <cfRule type="expression" dxfId="1837" priority="80">
      <formula>H155&lt;0</formula>
    </cfRule>
  </conditionalFormatting>
  <conditionalFormatting sqref="Q8">
    <cfRule type="expression" dxfId="1836" priority="75">
      <formula>Q8&gt;0</formula>
    </cfRule>
    <cfRule type="expression" dxfId="1835" priority="76">
      <formula>Q8&lt;0</formula>
    </cfRule>
  </conditionalFormatting>
  <conditionalFormatting sqref="Q7">
    <cfRule type="expression" dxfId="1834" priority="77">
      <formula>Q7&gt;0</formula>
    </cfRule>
    <cfRule type="expression" dxfId="1833" priority="78">
      <formula>Q7&lt;0</formula>
    </cfRule>
  </conditionalFormatting>
  <conditionalFormatting sqref="F178">
    <cfRule type="expression" dxfId="1832" priority="71">
      <formula>F178&gt;0</formula>
    </cfRule>
    <cfRule type="expression" dxfId="1831" priority="72">
      <formula>F178&lt;0</formula>
    </cfRule>
  </conditionalFormatting>
  <conditionalFormatting sqref="F178">
    <cfRule type="expression" dxfId="1830" priority="73">
      <formula>F178&gt;0</formula>
    </cfRule>
    <cfRule type="expression" dxfId="1829" priority="74">
      <formula>F178&lt;0</formula>
    </cfRule>
  </conditionalFormatting>
  <conditionalFormatting sqref="H178">
    <cfRule type="expression" dxfId="1828" priority="69">
      <formula>H178&gt;0</formula>
    </cfRule>
    <cfRule type="expression" dxfId="1827" priority="70">
      <formula>H178&lt;0</formula>
    </cfRule>
  </conditionalFormatting>
  <conditionalFormatting sqref="F179">
    <cfRule type="expression" dxfId="1826" priority="65">
      <formula>F179&gt;0</formula>
    </cfRule>
    <cfRule type="expression" dxfId="1825" priority="66">
      <formula>F179&lt;0</formula>
    </cfRule>
  </conditionalFormatting>
  <conditionalFormatting sqref="F179">
    <cfRule type="expression" dxfId="1824" priority="67">
      <formula>F179&gt;0</formula>
    </cfRule>
    <cfRule type="expression" dxfId="1823" priority="68">
      <formula>F179&lt;0</formula>
    </cfRule>
  </conditionalFormatting>
  <conditionalFormatting sqref="H179">
    <cfRule type="expression" dxfId="1822" priority="63">
      <formula>H179&gt;0</formula>
    </cfRule>
    <cfRule type="expression" dxfId="1821" priority="64">
      <formula>H179&lt;0</formula>
    </cfRule>
  </conditionalFormatting>
  <conditionalFormatting sqref="F225:F226">
    <cfRule type="expression" dxfId="1820" priority="59">
      <formula>F225&gt;0</formula>
    </cfRule>
    <cfRule type="expression" dxfId="1819" priority="60">
      <formula>F225&lt;0</formula>
    </cfRule>
  </conditionalFormatting>
  <conditionalFormatting sqref="F225:F226">
    <cfRule type="expression" dxfId="1818" priority="61">
      <formula>F225&gt;0</formula>
    </cfRule>
    <cfRule type="expression" dxfId="1817" priority="62">
      <formula>F225&lt;0</formula>
    </cfRule>
  </conditionalFormatting>
  <conditionalFormatting sqref="H225:H226">
    <cfRule type="expression" dxfId="1816" priority="57">
      <formula>H225&gt;0</formula>
    </cfRule>
    <cfRule type="expression" dxfId="1815" priority="58">
      <formula>H225&lt;0</formula>
    </cfRule>
  </conditionalFormatting>
  <conditionalFormatting sqref="F64:F79">
    <cfRule type="expression" dxfId="1814" priority="55">
      <formula>F64&gt;0</formula>
    </cfRule>
    <cfRule type="expression" dxfId="1813" priority="56">
      <formula>F64&lt;0</formula>
    </cfRule>
  </conditionalFormatting>
  <conditionalFormatting sqref="H64:H79">
    <cfRule type="expression" dxfId="1812" priority="53">
      <formula>H64&gt;0</formula>
    </cfRule>
    <cfRule type="expression" dxfId="1811" priority="54">
      <formula>H64&lt;0</formula>
    </cfRule>
  </conditionalFormatting>
  <conditionalFormatting sqref="Q10">
    <cfRule type="expression" dxfId="1810" priority="51">
      <formula>Q10&gt;0</formula>
    </cfRule>
    <cfRule type="expression" dxfId="1809" priority="52">
      <formula>Q10&lt;0</formula>
    </cfRule>
  </conditionalFormatting>
  <conditionalFormatting sqref="J74:K74">
    <cfRule type="expression" dxfId="1808" priority="49">
      <formula>J74&gt;0</formula>
    </cfRule>
    <cfRule type="expression" dxfId="1807" priority="50">
      <formula>J74&lt;0</formula>
    </cfRule>
  </conditionalFormatting>
  <conditionalFormatting sqref="K75">
    <cfRule type="expression" dxfId="1806" priority="47">
      <formula>K75&gt;0</formula>
    </cfRule>
    <cfRule type="expression" dxfId="1805" priority="48">
      <formula>K75&lt;0</formula>
    </cfRule>
  </conditionalFormatting>
  <conditionalFormatting sqref="K76:K89">
    <cfRule type="expression" dxfId="1804" priority="45">
      <formula>K76&gt;0</formula>
    </cfRule>
    <cfRule type="expression" dxfId="1803" priority="46">
      <formula>K76&lt;0</formula>
    </cfRule>
  </conditionalFormatting>
  <conditionalFormatting sqref="F81:F89">
    <cfRule type="expression" dxfId="1802" priority="43">
      <formula>F81&gt;0</formula>
    </cfRule>
    <cfRule type="expression" dxfId="1801" priority="44">
      <formula>F81&lt;0</formula>
    </cfRule>
  </conditionalFormatting>
  <conditionalFormatting sqref="H81:H89">
    <cfRule type="expression" dxfId="1800" priority="41">
      <formula>H81&gt;0</formula>
    </cfRule>
    <cfRule type="expression" dxfId="1799" priority="42">
      <formula>H81&lt;0</formula>
    </cfRule>
  </conditionalFormatting>
  <conditionalFormatting sqref="R4">
    <cfRule type="expression" dxfId="1798" priority="39">
      <formula>R4&gt;0</formula>
    </cfRule>
    <cfRule type="expression" dxfId="1797" priority="40">
      <formula>R4&lt;0</formula>
    </cfRule>
  </conditionalFormatting>
  <conditionalFormatting sqref="Q9">
    <cfRule type="expression" dxfId="1796" priority="37">
      <formula>Q9&gt;0</formula>
    </cfRule>
    <cfRule type="expression" dxfId="1795" priority="38">
      <formula>Q9&lt;0</formula>
    </cfRule>
  </conditionalFormatting>
  <conditionalFormatting sqref="K90:K93">
    <cfRule type="expression" dxfId="1794" priority="35">
      <formula>K90&gt;0</formula>
    </cfRule>
    <cfRule type="expression" dxfId="1793" priority="36">
      <formula>K90&lt;0</formula>
    </cfRule>
  </conditionalFormatting>
  <conditionalFormatting sqref="F90:F113">
    <cfRule type="expression" dxfId="1792" priority="33">
      <formula>F90&gt;0</formula>
    </cfRule>
    <cfRule type="expression" dxfId="1791" priority="34">
      <formula>F90&lt;0</formula>
    </cfRule>
  </conditionalFormatting>
  <conditionalFormatting sqref="H90:H113">
    <cfRule type="expression" dxfId="1790" priority="31">
      <formula>H90&gt;0</formula>
    </cfRule>
    <cfRule type="expression" dxfId="1789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8" priority="27">
      <formula>F114&gt;0</formula>
    </cfRule>
    <cfRule type="expression" dxfId="1787" priority="28">
      <formula>F114&lt;0</formula>
    </cfRule>
  </conditionalFormatting>
  <conditionalFormatting sqref="H114:H138">
    <cfRule type="expression" dxfId="1786" priority="25">
      <formula>H114&gt;0</formula>
    </cfRule>
    <cfRule type="expression" dxfId="1785" priority="26">
      <formula>H114&lt;0</formula>
    </cfRule>
  </conditionalFormatting>
  <conditionalFormatting sqref="K129:K131">
    <cfRule type="expression" dxfId="1784" priority="23">
      <formula>K129&gt;0</formula>
    </cfRule>
    <cfRule type="expression" dxfId="1783" priority="24">
      <formula>K129&lt;0</formula>
    </cfRule>
  </conditionalFormatting>
  <conditionalFormatting sqref="K133:K135">
    <cfRule type="expression" dxfId="1782" priority="21">
      <formula>K133&gt;0</formula>
    </cfRule>
    <cfRule type="expression" dxfId="1781" priority="22">
      <formula>K133&lt;0</formula>
    </cfRule>
  </conditionalFormatting>
  <conditionalFormatting sqref="K140">
    <cfRule type="expression" dxfId="1780" priority="17">
      <formula>K140&gt;0</formula>
    </cfRule>
    <cfRule type="expression" dxfId="1779" priority="18">
      <formula>K140&lt;0</formula>
    </cfRule>
  </conditionalFormatting>
  <conditionalFormatting sqref="K136:K138">
    <cfRule type="expression" dxfId="1778" priority="15">
      <formula>K136&gt;0</formula>
    </cfRule>
    <cfRule type="expression" dxfId="1777" priority="16">
      <formula>K136&lt;0</formula>
    </cfRule>
  </conditionalFormatting>
  <conditionalFormatting sqref="K139">
    <cfRule type="expression" dxfId="1776" priority="9">
      <formula>K139&gt;0</formula>
    </cfRule>
    <cfRule type="expression" dxfId="1775" priority="10">
      <formula>K139&lt;0</formula>
    </cfRule>
  </conditionalFormatting>
  <conditionalFormatting sqref="H146:H149 F146:F149 K146:K149">
    <cfRule type="expression" dxfId="1774" priority="7">
      <formula>F146&gt;0</formula>
    </cfRule>
    <cfRule type="expression" dxfId="1773" priority="8">
      <formula>F146&lt;0</formula>
    </cfRule>
  </conditionalFormatting>
  <conditionalFormatting sqref="H143:H145 F143:F145 K143:K145">
    <cfRule type="expression" dxfId="1772" priority="5">
      <formula>F143&gt;0</formula>
    </cfRule>
    <cfRule type="expression" dxfId="1771" priority="6">
      <formula>F143&lt;0</formula>
    </cfRule>
  </conditionalFormatting>
  <conditionalFormatting sqref="F80">
    <cfRule type="expression" dxfId="1770" priority="3">
      <formula>F80&gt;0</formula>
    </cfRule>
    <cfRule type="expression" dxfId="1769" priority="4">
      <formula>F80&lt;0</formula>
    </cfRule>
  </conditionalFormatting>
  <conditionalFormatting sqref="H80">
    <cfRule type="expression" dxfId="1768" priority="1">
      <formula>H80&gt;0</formula>
    </cfRule>
    <cfRule type="expression" dxfId="1767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11.46</v>
      </c>
      <c r="R4" s="477">
        <v>5.3E-3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2" t="s">
        <v>1</v>
      </c>
      <c r="B33" s="512" t="s">
        <v>2</v>
      </c>
      <c r="C33" s="512" t="s">
        <v>4</v>
      </c>
      <c r="D33" s="513" t="s">
        <v>5</v>
      </c>
      <c r="E33" s="513" t="s">
        <v>94</v>
      </c>
      <c r="F33" s="513" t="s">
        <v>60</v>
      </c>
      <c r="G33" s="512" t="s">
        <v>3</v>
      </c>
      <c r="H33" s="512" t="s">
        <v>6</v>
      </c>
      <c r="I33" s="513" t="s">
        <v>7</v>
      </c>
      <c r="J33" s="513" t="s">
        <v>95</v>
      </c>
      <c r="K33" s="513" t="s">
        <v>61</v>
      </c>
      <c r="L33" s="512" t="s">
        <v>37</v>
      </c>
      <c r="M33" s="51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4" t="s">
        <v>196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6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5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5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5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5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5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5"/>
      <c r="I40" s="501"/>
      <c r="J40" s="501"/>
      <c r="K40" s="501"/>
      <c r="L40" s="499"/>
      <c r="M40" s="49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5"/>
      <c r="I41" s="501"/>
      <c r="J41" s="501"/>
      <c r="K41" s="501"/>
      <c r="L41" s="499"/>
      <c r="M41" s="499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5"/>
      <c r="I43" s="501"/>
      <c r="J43" s="501"/>
      <c r="K43" s="501"/>
      <c r="L43" s="499"/>
      <c r="M43" s="499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5"/>
      <c r="I44" s="501"/>
      <c r="J44" s="501"/>
      <c r="K44" s="501"/>
      <c r="L44" s="499"/>
      <c r="M44" s="499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5"/>
      <c r="I45" s="501"/>
      <c r="J45" s="501"/>
      <c r="K45" s="501"/>
      <c r="L45" s="499"/>
      <c r="M45" s="499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5"/>
      <c r="I46" s="501"/>
      <c r="J46" s="501"/>
      <c r="K46" s="501"/>
      <c r="L46" s="499"/>
      <c r="M46" s="499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5"/>
      <c r="I47" s="501"/>
      <c r="J47" s="501"/>
      <c r="K47" s="501"/>
      <c r="L47" s="499"/>
      <c r="M47" s="499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5"/>
      <c r="I48" s="501"/>
      <c r="J48" s="501"/>
      <c r="K48" s="501"/>
      <c r="L48" s="499"/>
      <c r="M48" s="499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5"/>
      <c r="I49" s="501"/>
      <c r="J49" s="501"/>
      <c r="K49" s="501"/>
      <c r="L49" s="499"/>
      <c r="M49" s="499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7" t="s">
        <v>81</v>
      </c>
      <c r="B50" s="518"/>
      <c r="C50" s="518">
        <f>SUM(C34:C40)</f>
        <v>800</v>
      </c>
      <c r="D50" s="519"/>
      <c r="E50" s="519"/>
      <c r="F50" s="519">
        <f>SUM(F34:F49)</f>
        <v>12073.5</v>
      </c>
      <c r="G50" s="518"/>
      <c r="H50" s="518">
        <f>SUM(H34:H49)</f>
        <v>1000</v>
      </c>
      <c r="I50" s="519"/>
      <c r="J50" s="519"/>
      <c r="K50" s="519">
        <f>SUM(K34:K49)</f>
        <v>12486.21</v>
      </c>
      <c r="L50" s="518"/>
      <c r="M50" s="519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0" t="s">
        <v>193</v>
      </c>
      <c r="B51" s="521"/>
      <c r="C51" s="522">
        <f>SumByColor($A$19,C34:C49)</f>
        <v>0</v>
      </c>
      <c r="D51" s="522"/>
      <c r="E51" s="522"/>
      <c r="F51" s="523">
        <f>SumByColor($A$19,F34:F49)</f>
        <v>0</v>
      </c>
      <c r="G51" s="522"/>
      <c r="H51" s="522">
        <f>SumByColor($A$19,H34:H49)</f>
        <v>0</v>
      </c>
      <c r="I51" s="522"/>
      <c r="J51" s="522"/>
      <c r="K51" s="523">
        <f>SumByColor($A$19,K34:K49)</f>
        <v>0</v>
      </c>
      <c r="L51" s="522"/>
      <c r="M51" s="523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10.657800000000002</v>
      </c>
      <c r="T58" s="91" t="s">
        <v>108</v>
      </c>
      <c r="U58" s="86" t="s">
        <v>538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2" t="s">
        <v>253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263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276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6" priority="31">
      <formula>Q7&gt;0</formula>
    </cfRule>
    <cfRule type="expression" dxfId="1765" priority="32">
      <formula>Q7&lt;0</formula>
    </cfRule>
  </conditionalFormatting>
  <conditionalFormatting sqref="Q8">
    <cfRule type="expression" dxfId="1764" priority="29">
      <formula>Q8&gt;0</formula>
    </cfRule>
    <cfRule type="expression" dxfId="1763" priority="30">
      <formula>Q8&lt;0</formula>
    </cfRule>
  </conditionalFormatting>
  <conditionalFormatting sqref="F62:F65">
    <cfRule type="expression" dxfId="1762" priority="21">
      <formula>F62&gt;0</formula>
    </cfRule>
    <cfRule type="expression" dxfId="1761" priority="22">
      <formula>F62&lt;0</formula>
    </cfRule>
  </conditionalFormatting>
  <conditionalFormatting sqref="F66:F74 F78:F98 F102:F106">
    <cfRule type="expression" dxfId="1760" priority="17">
      <formula>F66&gt;0</formula>
    </cfRule>
    <cfRule type="expression" dxfId="1759" priority="18">
      <formula>F66&lt;0</formula>
    </cfRule>
  </conditionalFormatting>
  <conditionalFormatting sqref="F66:F74 F78:F98 F102:F106">
    <cfRule type="expression" dxfId="1758" priority="19">
      <formula>F66&gt;0</formula>
    </cfRule>
    <cfRule type="expression" dxfId="1757" priority="20">
      <formula>F66&lt;0</formula>
    </cfRule>
  </conditionalFormatting>
  <conditionalFormatting sqref="H62:H74 H78:H98 H102:H106">
    <cfRule type="expression" dxfId="1756" priority="15">
      <formula>H62&gt;0</formula>
    </cfRule>
    <cfRule type="expression" dxfId="1755" priority="16">
      <formula>H62&lt;0</formula>
    </cfRule>
  </conditionalFormatting>
  <conditionalFormatting sqref="F57:F61">
    <cfRule type="expression" dxfId="1754" priority="13">
      <formula>F57&gt;0</formula>
    </cfRule>
    <cfRule type="expression" dxfId="1753" priority="14">
      <formula>F57&lt;0</formula>
    </cfRule>
  </conditionalFormatting>
  <conditionalFormatting sqref="H57:H61">
    <cfRule type="expression" dxfId="1752" priority="11">
      <formula>H57&gt;0</formula>
    </cfRule>
    <cfRule type="expression" dxfId="1751" priority="12">
      <formula>H57&lt;0</formula>
    </cfRule>
  </conditionalFormatting>
  <conditionalFormatting sqref="F75:F77">
    <cfRule type="expression" dxfId="1750" priority="7">
      <formula>F75&gt;0</formula>
    </cfRule>
    <cfRule type="expression" dxfId="1749" priority="8">
      <formula>F75&lt;0</formula>
    </cfRule>
  </conditionalFormatting>
  <conditionalFormatting sqref="F75:F77">
    <cfRule type="expression" dxfId="1748" priority="9">
      <formula>F75&gt;0</formula>
    </cfRule>
    <cfRule type="expression" dxfId="1747" priority="10">
      <formula>F75&lt;0</formula>
    </cfRule>
  </conditionalFormatting>
  <conditionalFormatting sqref="H75:H77">
    <cfRule type="expression" dxfId="1746" priority="5">
      <formula>H75&gt;0</formula>
    </cfRule>
    <cfRule type="expression" dxfId="1745" priority="6">
      <formula>H75&lt;0</formula>
    </cfRule>
  </conditionalFormatting>
  <conditionalFormatting sqref="F22:F30">
    <cfRule type="expression" dxfId="1744" priority="3">
      <formula>F22&gt;0</formula>
    </cfRule>
    <cfRule type="expression" dxfId="1743" priority="4">
      <formula>F22&lt;0</formula>
    </cfRule>
  </conditionalFormatting>
  <conditionalFormatting sqref="F99:F101">
    <cfRule type="expression" dxfId="1742" priority="1">
      <formula>F99&gt;0</formula>
    </cfRule>
    <cfRule type="expression" dxfId="174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123.85</v>
      </c>
      <c r="T3" s="1" t="s">
        <v>239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123.85</v>
      </c>
      <c r="R4" s="477">
        <v>-1.1900000000000001E-2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598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599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600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545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113.94199999999999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112.70350000000001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111.465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7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270</v>
      </c>
      <c r="B76" s="622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2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2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2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2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2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2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2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2"/>
      <c r="C80" s="364"/>
      <c r="D80" s="365"/>
      <c r="E80" s="365"/>
      <c r="F80" s="365"/>
      <c r="G80" s="622"/>
      <c r="H80" s="368"/>
      <c r="I80" s="365"/>
      <c r="J80" s="365"/>
      <c r="K80" s="365"/>
      <c r="L80" s="364"/>
      <c r="M80" s="364"/>
    </row>
    <row r="81" spans="1:13" x14ac:dyDescent="0.25">
      <c r="A81" s="364"/>
      <c r="B81" s="622"/>
      <c r="C81" s="364"/>
      <c r="D81" s="365"/>
      <c r="E81" s="365"/>
      <c r="F81" s="365"/>
      <c r="G81" s="622"/>
      <c r="H81" s="368"/>
      <c r="I81" s="365"/>
      <c r="J81" s="365"/>
      <c r="K81" s="365"/>
      <c r="L81" s="364"/>
      <c r="M81" s="364"/>
    </row>
    <row r="82" spans="1:13" x14ac:dyDescent="0.25">
      <c r="A82" s="364"/>
      <c r="B82" s="622"/>
      <c r="C82" s="364"/>
      <c r="D82" s="365"/>
      <c r="E82" s="365"/>
      <c r="F82" s="365"/>
      <c r="G82" s="622"/>
      <c r="H82" s="368"/>
      <c r="I82" s="365"/>
      <c r="J82" s="365"/>
      <c r="K82" s="365"/>
      <c r="L82" s="364"/>
      <c r="M82" s="364"/>
    </row>
    <row r="83" spans="1:13" x14ac:dyDescent="0.25">
      <c r="A83" s="364"/>
      <c r="B83" s="622"/>
      <c r="C83" s="364"/>
      <c r="D83" s="365"/>
      <c r="E83" s="365"/>
      <c r="F83" s="365"/>
      <c r="G83" s="622"/>
      <c r="H83" s="368"/>
      <c r="I83" s="365"/>
      <c r="J83" s="365"/>
      <c r="K83" s="365"/>
      <c r="L83" s="364"/>
      <c r="M83" s="364"/>
    </row>
    <row r="84" spans="1:13" x14ac:dyDescent="0.25">
      <c r="A84" s="364"/>
      <c r="B84" s="622"/>
      <c r="C84" s="364"/>
      <c r="D84" s="365"/>
      <c r="E84" s="365"/>
      <c r="F84" s="365"/>
      <c r="G84" s="622"/>
      <c r="H84" s="368"/>
      <c r="I84" s="365"/>
      <c r="J84" s="365"/>
      <c r="K84" s="365"/>
      <c r="L84" s="364"/>
      <c r="M84" s="364"/>
    </row>
    <row r="85" spans="1:13" x14ac:dyDescent="0.25">
      <c r="A85" s="364"/>
      <c r="B85" s="622"/>
      <c r="C85" s="364"/>
      <c r="D85" s="365"/>
      <c r="E85" s="365"/>
      <c r="F85" s="365"/>
      <c r="G85" s="622"/>
      <c r="H85" s="368"/>
      <c r="I85" s="365"/>
      <c r="J85" s="365"/>
      <c r="K85" s="365"/>
      <c r="L85" s="364"/>
      <c r="M85" s="364"/>
    </row>
    <row r="86" spans="1:13" x14ac:dyDescent="0.25">
      <c r="A86" s="364"/>
      <c r="B86" s="622"/>
      <c r="C86" s="364"/>
      <c r="D86" s="365"/>
      <c r="E86" s="365"/>
      <c r="F86" s="365"/>
      <c r="G86" s="622"/>
      <c r="H86" s="368"/>
      <c r="I86" s="365"/>
      <c r="J86" s="365"/>
      <c r="K86" s="365"/>
      <c r="L86" s="364"/>
      <c r="M86" s="364"/>
    </row>
    <row r="87" spans="1:13" x14ac:dyDescent="0.25">
      <c r="A87" s="364"/>
      <c r="B87" s="622"/>
      <c r="C87" s="364"/>
      <c r="D87" s="365"/>
      <c r="E87" s="365"/>
      <c r="F87" s="365"/>
      <c r="G87" s="622"/>
      <c r="H87" s="368"/>
      <c r="I87" s="365"/>
      <c r="J87" s="365"/>
      <c r="K87" s="365"/>
      <c r="L87" s="364"/>
      <c r="M87" s="364"/>
    </row>
    <row r="88" spans="1:13" x14ac:dyDescent="0.25">
      <c r="A88" s="364"/>
      <c r="B88" s="622"/>
      <c r="C88" s="364"/>
      <c r="D88" s="365"/>
      <c r="E88" s="365"/>
      <c r="F88" s="365"/>
      <c r="G88" s="622"/>
      <c r="H88" s="368"/>
      <c r="I88" s="365"/>
      <c r="J88" s="365"/>
      <c r="K88" s="365"/>
      <c r="L88" s="364"/>
      <c r="M88" s="364"/>
    </row>
    <row r="89" spans="1:13" x14ac:dyDescent="0.25">
      <c r="A89" s="364"/>
      <c r="B89" s="622"/>
      <c r="C89" s="364"/>
      <c r="D89" s="365"/>
      <c r="E89" s="365"/>
      <c r="F89" s="365"/>
      <c r="G89" s="622"/>
      <c r="H89" s="368"/>
      <c r="I89" s="365"/>
      <c r="J89" s="365"/>
      <c r="K89" s="365"/>
      <c r="L89" s="364"/>
      <c r="M89" s="364"/>
    </row>
    <row r="90" spans="1:13" x14ac:dyDescent="0.25">
      <c r="A90" s="364"/>
      <c r="B90" s="622"/>
      <c r="C90" s="364"/>
      <c r="D90" s="365"/>
      <c r="E90" s="365"/>
      <c r="F90" s="365"/>
      <c r="G90" s="622"/>
      <c r="H90" s="368"/>
      <c r="I90" s="365"/>
      <c r="J90" s="365"/>
      <c r="K90" s="365"/>
      <c r="L90" s="364"/>
      <c r="M90" s="364"/>
    </row>
    <row r="91" spans="1:13" x14ac:dyDescent="0.25">
      <c r="A91" s="364"/>
      <c r="B91" s="622"/>
      <c r="C91" s="364"/>
      <c r="D91" s="365"/>
      <c r="E91" s="365"/>
      <c r="F91" s="365"/>
      <c r="G91" s="622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193</v>
      </c>
      <c r="B93" s="629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2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2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0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2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2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2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2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2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2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2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2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2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2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362</v>
      </c>
      <c r="B115" s="622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402</v>
      </c>
      <c r="B116" s="622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419</v>
      </c>
      <c r="B117" s="622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2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2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2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2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2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2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2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2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2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2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2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2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2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2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2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2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2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2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2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2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2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2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2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2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2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2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2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2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2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2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2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2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2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2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0" priority="19">
      <formula>F25&gt;0</formula>
    </cfRule>
    <cfRule type="expression" dxfId="1739" priority="20">
      <formula>F25&lt;0</formula>
    </cfRule>
  </conditionalFormatting>
  <conditionalFormatting sqref="Q7">
    <cfRule type="expression" dxfId="1738" priority="17">
      <formula>Q7&gt;0</formula>
    </cfRule>
    <cfRule type="expression" dxfId="1737" priority="18">
      <formula>Q7&lt;0</formula>
    </cfRule>
  </conditionalFormatting>
  <conditionalFormatting sqref="Q8">
    <cfRule type="expression" dxfId="1736" priority="15">
      <formula>Q8&gt;0</formula>
    </cfRule>
    <cfRule type="expression" dxfId="1735" priority="16">
      <formula>Q8&lt;0</formula>
    </cfRule>
  </conditionalFormatting>
  <conditionalFormatting sqref="M74">
    <cfRule type="expression" dxfId="1734" priority="9">
      <formula>M74&gt;0</formula>
    </cfRule>
    <cfRule type="expression" dxfId="1733" priority="10">
      <formula>M74&lt;0</formula>
    </cfRule>
  </conditionalFormatting>
  <conditionalFormatting sqref="F113:F149 H113:H149">
    <cfRule type="expression" dxfId="1732" priority="7">
      <formula>F113&gt;0</formula>
    </cfRule>
    <cfRule type="expression" dxfId="1731" priority="8">
      <formula>F113&lt;0</formula>
    </cfRule>
  </conditionalFormatting>
  <conditionalFormatting sqref="F105:F112">
    <cfRule type="expression" dxfId="1730" priority="5">
      <formula>F105&gt;0</formula>
    </cfRule>
    <cfRule type="expression" dxfId="1729" priority="6">
      <formula>F105&lt;0</formula>
    </cfRule>
  </conditionalFormatting>
  <conditionalFormatting sqref="H105:H112">
    <cfRule type="expression" dxfId="1728" priority="3">
      <formula>H105&gt;0</formula>
    </cfRule>
    <cfRule type="expression" dxfId="1727" priority="4">
      <formula>H105&lt;0</formula>
    </cfRule>
  </conditionalFormatting>
  <conditionalFormatting sqref="Q10">
    <cfRule type="expression" dxfId="1726" priority="1">
      <formula>Q10&gt;0</formula>
    </cfRule>
    <cfRule type="expression" dxfId="172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826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257.60000000000002</v>
      </c>
      <c r="R4" s="497">
        <v>2.2100000000000002E-2</v>
      </c>
      <c r="T4" s="774">
        <v>43103</v>
      </c>
      <c r="U4" s="30" t="s">
        <v>1054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11592.000000000002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939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4655.8699999999935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4431.0999999999931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0.61879093410046049</v>
      </c>
      <c r="T9" s="774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995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958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986</v>
      </c>
      <c r="Q13">
        <f>Q4/(8.16*1.2)</f>
        <v>26.307189542483663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981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981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283.36000000000007</v>
      </c>
      <c r="T17" s="1">
        <v>43257</v>
      </c>
      <c r="U17" t="s">
        <v>1053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280.78400000000005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278.20800000000003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275.63200000000006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273.05600000000004</v>
      </c>
    </row>
    <row r="22" spans="1:21" x14ac:dyDescent="0.25">
      <c r="O22" s="81">
        <v>1.05</v>
      </c>
      <c r="P22" s="81">
        <f t="shared" si="4"/>
        <v>270.48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267.90400000000005</v>
      </c>
    </row>
    <row r="24" spans="1:21" ht="15.75" thickBot="1" x14ac:dyDescent="0.3">
      <c r="A24" s="343" t="s">
        <v>193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265.32800000000003</v>
      </c>
    </row>
    <row r="25" spans="1:21" x14ac:dyDescent="0.25">
      <c r="O25" s="81">
        <v>1.02</v>
      </c>
      <c r="P25" s="81">
        <f t="shared" si="4"/>
        <v>262.75200000000001</v>
      </c>
    </row>
    <row r="26" spans="1:21" x14ac:dyDescent="0.25">
      <c r="O26" s="81">
        <v>1.01</v>
      </c>
      <c r="P26" s="81">
        <f t="shared" si="4"/>
        <v>260.17600000000004</v>
      </c>
    </row>
    <row r="27" spans="1:21" x14ac:dyDescent="0.25">
      <c r="O27" s="81">
        <v>1</v>
      </c>
      <c r="P27" s="81">
        <f t="shared" si="4"/>
        <v>257.60000000000002</v>
      </c>
    </row>
    <row r="28" spans="1:21" x14ac:dyDescent="0.25">
      <c r="O28" s="81">
        <v>0.99</v>
      </c>
      <c r="P28" s="81">
        <f t="shared" si="4"/>
        <v>255.02400000000003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503</v>
      </c>
      <c r="L29" s="222" t="s">
        <v>986</v>
      </c>
      <c r="O29" s="81">
        <v>0.98</v>
      </c>
      <c r="P29" s="81">
        <f t="shared" si="4"/>
        <v>252.44800000000001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249.87200000000001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247.29600000000002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244.72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242.14400000000001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239.56800000000004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236.99200000000002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234.41600000000003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231.84000000000003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5"/>
      <c r="B71" s="565"/>
      <c r="C71" s="565"/>
      <c r="D71" s="566"/>
      <c r="E71" s="566"/>
      <c r="F71" s="566"/>
      <c r="G71" s="565"/>
      <c r="H71" s="565"/>
      <c r="I71" s="566"/>
      <c r="J71" s="566"/>
      <c r="K71" s="566"/>
      <c r="L71" s="565" t="s">
        <v>65</v>
      </c>
      <c r="M71" s="566">
        <f>M89+K89-F89</f>
        <v>224.77000000000044</v>
      </c>
    </row>
    <row r="72" spans="1:13" x14ac:dyDescent="0.25">
      <c r="A72" s="687" t="s">
        <v>1</v>
      </c>
      <c r="B72" s="687" t="s">
        <v>2</v>
      </c>
      <c r="C72" s="687" t="s">
        <v>4</v>
      </c>
      <c r="D72" s="688" t="s">
        <v>5</v>
      </c>
      <c r="E72" s="688" t="s">
        <v>94</v>
      </c>
      <c r="F72" s="688" t="s">
        <v>60</v>
      </c>
      <c r="G72" s="687" t="s">
        <v>3</v>
      </c>
      <c r="H72" s="687" t="s">
        <v>6</v>
      </c>
      <c r="I72" s="688" t="s">
        <v>7</v>
      </c>
      <c r="J72" s="688" t="s">
        <v>95</v>
      </c>
      <c r="K72" s="688" t="s">
        <v>61</v>
      </c>
      <c r="L72" s="687" t="s">
        <v>37</v>
      </c>
      <c r="M72" s="687" t="s">
        <v>38</v>
      </c>
    </row>
    <row r="73" spans="1:13" x14ac:dyDescent="0.25">
      <c r="A73" s="689" t="s">
        <v>703</v>
      </c>
      <c r="B73" s="568">
        <v>42972</v>
      </c>
      <c r="C73" s="565">
        <v>15</v>
      </c>
      <c r="D73" s="566">
        <v>210.01</v>
      </c>
      <c r="E73" s="566">
        <v>0</v>
      </c>
      <c r="F73" s="566">
        <f>C73*D73+E73</f>
        <v>3150.1499999999996</v>
      </c>
      <c r="G73" s="568">
        <v>43005</v>
      </c>
      <c r="H73" s="565">
        <v>15</v>
      </c>
      <c r="I73" s="566">
        <v>225</v>
      </c>
      <c r="J73" s="566">
        <v>0.08</v>
      </c>
      <c r="K73" s="566">
        <f>H73*I73-J73</f>
        <v>3374.92</v>
      </c>
      <c r="L73" s="568"/>
      <c r="M73" s="566"/>
    </row>
    <row r="74" spans="1:13" x14ac:dyDescent="0.25">
      <c r="A74" s="690"/>
      <c r="B74" s="568"/>
      <c r="C74" s="565"/>
      <c r="D74" s="566"/>
      <c r="E74" s="566"/>
      <c r="F74" s="566"/>
      <c r="G74" s="568"/>
      <c r="H74" s="567"/>
      <c r="I74" s="566"/>
      <c r="J74" s="566"/>
      <c r="K74" s="566"/>
      <c r="L74" s="565"/>
      <c r="M74" s="565"/>
    </row>
    <row r="75" spans="1:13" x14ac:dyDescent="0.25">
      <c r="A75" s="565"/>
      <c r="B75" s="568"/>
      <c r="C75" s="565"/>
      <c r="D75" s="566"/>
      <c r="E75" s="566"/>
      <c r="F75" s="566"/>
      <c r="G75" s="568"/>
      <c r="H75" s="567"/>
      <c r="I75" s="566"/>
      <c r="J75" s="566"/>
      <c r="K75" s="566"/>
      <c r="L75" s="565"/>
      <c r="M75" s="565"/>
    </row>
    <row r="76" spans="1:13" x14ac:dyDescent="0.25">
      <c r="A76" s="565"/>
      <c r="B76" s="568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8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7"/>
      <c r="I83" s="566"/>
      <c r="J83" s="566"/>
      <c r="K83" s="566"/>
      <c r="L83" s="565"/>
      <c r="M83" s="565"/>
    </row>
    <row r="84" spans="1:13" x14ac:dyDescent="0.25">
      <c r="A84" s="565"/>
      <c r="B84" s="565"/>
      <c r="C84" s="565"/>
      <c r="D84" s="566"/>
      <c r="E84" s="566"/>
      <c r="F84" s="566"/>
      <c r="G84" s="565"/>
      <c r="H84" s="567"/>
      <c r="I84" s="566"/>
      <c r="J84" s="566"/>
      <c r="K84" s="566"/>
      <c r="L84" s="565"/>
      <c r="M84" s="565"/>
    </row>
    <row r="85" spans="1:13" x14ac:dyDescent="0.25">
      <c r="A85" s="565"/>
      <c r="B85" s="565"/>
      <c r="C85" s="565"/>
      <c r="D85" s="566"/>
      <c r="E85" s="566"/>
      <c r="F85" s="566"/>
      <c r="G85" s="565"/>
      <c r="H85" s="567"/>
      <c r="I85" s="566"/>
      <c r="J85" s="566"/>
      <c r="K85" s="566"/>
      <c r="L85" s="565"/>
      <c r="M85" s="565"/>
    </row>
    <row r="86" spans="1:13" x14ac:dyDescent="0.25">
      <c r="A86" s="565"/>
      <c r="B86" s="565"/>
      <c r="C86" s="565"/>
      <c r="D86" s="566"/>
      <c r="E86" s="566"/>
      <c r="F86" s="566"/>
      <c r="G86" s="565"/>
      <c r="H86" s="567"/>
      <c r="I86" s="566"/>
      <c r="J86" s="566"/>
      <c r="K86" s="566"/>
      <c r="L86" s="565"/>
      <c r="M86" s="565"/>
    </row>
    <row r="87" spans="1:13" x14ac:dyDescent="0.25">
      <c r="A87" s="565"/>
      <c r="B87" s="565"/>
      <c r="C87" s="565"/>
      <c r="D87" s="566"/>
      <c r="E87" s="566"/>
      <c r="F87" s="566"/>
      <c r="G87" s="565"/>
      <c r="H87" s="567"/>
      <c r="I87" s="566"/>
      <c r="J87" s="566"/>
      <c r="K87" s="566"/>
      <c r="L87" s="565"/>
      <c r="M87" s="565"/>
    </row>
    <row r="88" spans="1:13" x14ac:dyDescent="0.25">
      <c r="A88" s="565"/>
      <c r="B88" s="565"/>
      <c r="C88" s="565"/>
      <c r="D88" s="566"/>
      <c r="E88" s="566"/>
      <c r="F88" s="566"/>
      <c r="G88" s="565"/>
      <c r="H88" s="565"/>
      <c r="I88" s="566"/>
      <c r="J88" s="566"/>
      <c r="K88" s="566"/>
      <c r="L88" s="565"/>
      <c r="M88" s="565"/>
    </row>
    <row r="89" spans="1:13" x14ac:dyDescent="0.25">
      <c r="A89" s="691" t="s">
        <v>81</v>
      </c>
      <c r="B89" s="692"/>
      <c r="C89" s="692">
        <f>SUM(C73:C77)</f>
        <v>15</v>
      </c>
      <c r="D89" s="693"/>
      <c r="E89" s="693"/>
      <c r="F89" s="693">
        <f>SUM(F73:F77)</f>
        <v>3150.1499999999996</v>
      </c>
      <c r="G89" s="692"/>
      <c r="H89" s="694">
        <f>SUM(H73:H76)</f>
        <v>15</v>
      </c>
      <c r="I89" s="693"/>
      <c r="J89" s="693"/>
      <c r="K89" s="693">
        <f>SUM(K73:K76)</f>
        <v>3374.92</v>
      </c>
      <c r="L89" s="692"/>
      <c r="M89" s="693">
        <f>SUM(M73:M81)</f>
        <v>0</v>
      </c>
    </row>
    <row r="90" spans="1:13" ht="15.75" thickBot="1" x14ac:dyDescent="0.3">
      <c r="A90" s="695" t="s">
        <v>193</v>
      </c>
      <c r="B90" s="727"/>
      <c r="C90" s="696">
        <f>SumByColor($A$24,C73:C88)</f>
        <v>0</v>
      </c>
      <c r="D90" s="696"/>
      <c r="E90" s="696"/>
      <c r="F90" s="697">
        <f>SumByColor($A$24,F73:F88)</f>
        <v>0</v>
      </c>
      <c r="G90" s="696"/>
      <c r="H90" s="696">
        <f>SumByColor($A$24,H73:H88)</f>
        <v>0</v>
      </c>
      <c r="I90" s="696"/>
      <c r="J90" s="696"/>
      <c r="K90" s="697">
        <f>SumByColor($A$24,K74:K88)</f>
        <v>0</v>
      </c>
      <c r="L90" s="696"/>
      <c r="M90" s="697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678</v>
      </c>
      <c r="L93" s="222" t="s">
        <v>684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4" priority="39">
      <formula>Q7&gt;0</formula>
    </cfRule>
    <cfRule type="expression" dxfId="1723" priority="40">
      <formula>Q7&lt;0</formula>
    </cfRule>
  </conditionalFormatting>
  <conditionalFormatting sqref="Q8">
    <cfRule type="expression" dxfId="1722" priority="37">
      <formula>Q8&gt;0</formula>
    </cfRule>
    <cfRule type="expression" dxfId="1721" priority="38">
      <formula>Q8&lt;0</formula>
    </cfRule>
  </conditionalFormatting>
  <conditionalFormatting sqref="F35:F54 F57:F69">
    <cfRule type="expression" dxfId="1720" priority="35">
      <formula>F35&gt;0</formula>
    </cfRule>
    <cfRule type="expression" dxfId="1719" priority="36">
      <formula>F35&lt;0</formula>
    </cfRule>
  </conditionalFormatting>
  <conditionalFormatting sqref="H35:H54 H57:H69">
    <cfRule type="expression" dxfId="1718" priority="33">
      <formula>H35&gt;0</formula>
    </cfRule>
    <cfRule type="expression" dxfId="1717" priority="34">
      <formula>H35&lt;0</formula>
    </cfRule>
  </conditionalFormatting>
  <conditionalFormatting sqref="Q10">
    <cfRule type="expression" dxfId="1716" priority="27">
      <formula>Q10&gt;0</formula>
    </cfRule>
    <cfRule type="expression" dxfId="1715" priority="28">
      <formula>Q10&lt;0</formula>
    </cfRule>
  </conditionalFormatting>
  <conditionalFormatting sqref="J30:J54 J57:J69">
    <cfRule type="expression" dxfId="1714" priority="25">
      <formula>J30&gt;0</formula>
    </cfRule>
    <cfRule type="expression" dxfId="1713" priority="26">
      <formula>J30&lt;0</formula>
    </cfRule>
  </conditionalFormatting>
  <conditionalFormatting sqref="K30:K43">
    <cfRule type="expression" dxfId="1712" priority="23">
      <formula>K30&gt;0</formula>
    </cfRule>
    <cfRule type="expression" dxfId="1711" priority="24">
      <formula>K30&lt;0</formula>
    </cfRule>
  </conditionalFormatting>
  <conditionalFormatting sqref="L30:L43">
    <cfRule type="expression" dxfId="1710" priority="21">
      <formula>L30&gt;0</formula>
    </cfRule>
    <cfRule type="expression" dxfId="1709" priority="22">
      <formula>L30&lt;0</formula>
    </cfRule>
  </conditionalFormatting>
  <conditionalFormatting sqref="F94:F115">
    <cfRule type="expression" dxfId="1708" priority="19">
      <formula>F94&gt;0</formula>
    </cfRule>
    <cfRule type="expression" dxfId="1707" priority="20">
      <formula>F94&lt;0</formula>
    </cfRule>
  </conditionalFormatting>
  <conditionalFormatting sqref="H94:H115">
    <cfRule type="expression" dxfId="1706" priority="17">
      <formula>H94&gt;0</formula>
    </cfRule>
    <cfRule type="expression" dxfId="1705" priority="18">
      <formula>H94&lt;0</formula>
    </cfRule>
  </conditionalFormatting>
  <conditionalFormatting sqref="J94:J107">
    <cfRule type="expression" dxfId="1704" priority="15">
      <formula>J94&gt;0</formula>
    </cfRule>
    <cfRule type="expression" dxfId="1703" priority="16">
      <formula>J94&lt;0</formula>
    </cfRule>
  </conditionalFormatting>
  <conditionalFormatting sqref="K94:K107">
    <cfRule type="expression" dxfId="1702" priority="13">
      <formula>K94&gt;0</formula>
    </cfRule>
    <cfRule type="expression" dxfId="1701" priority="14">
      <formula>K94&lt;0</formula>
    </cfRule>
  </conditionalFormatting>
  <conditionalFormatting sqref="L94:L107">
    <cfRule type="expression" dxfId="1700" priority="11">
      <formula>L94&gt;0</formula>
    </cfRule>
    <cfRule type="expression" dxfId="1699" priority="12">
      <formula>L94&lt;0</formula>
    </cfRule>
  </conditionalFormatting>
  <conditionalFormatting sqref="F30:F34">
    <cfRule type="expression" dxfId="1698" priority="9">
      <formula>F30&gt;0</formula>
    </cfRule>
    <cfRule type="expression" dxfId="1697" priority="10">
      <formula>F30&lt;0</formula>
    </cfRule>
  </conditionalFormatting>
  <conditionalFormatting sqref="H30:H34">
    <cfRule type="expression" dxfId="1696" priority="7">
      <formula>H30&gt;0</formula>
    </cfRule>
    <cfRule type="expression" dxfId="1695" priority="8">
      <formula>H30&lt;0</formula>
    </cfRule>
  </conditionalFormatting>
  <conditionalFormatting sqref="F55:F56">
    <cfRule type="expression" dxfId="1694" priority="5">
      <formula>F55&gt;0</formula>
    </cfRule>
    <cfRule type="expression" dxfId="1693" priority="6">
      <formula>F55&lt;0</formula>
    </cfRule>
  </conditionalFormatting>
  <conditionalFormatting sqref="H55:H56">
    <cfRule type="expression" dxfId="1692" priority="3">
      <formula>H55&gt;0</formula>
    </cfRule>
    <cfRule type="expression" dxfId="1691" priority="4">
      <formula>H55&lt;0</formula>
    </cfRule>
  </conditionalFormatting>
  <conditionalFormatting sqref="J55:J56">
    <cfRule type="expression" dxfId="1690" priority="1">
      <formula>J55&gt;0</formula>
    </cfRule>
    <cfRule type="expression" dxfId="168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915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3">
        <f>IF(Q2=0, Q4, (F18-K18-M18)/Q2)</f>
        <v>99.04</v>
      </c>
      <c r="T3" s="1"/>
      <c r="U3" t="s">
        <v>916</v>
      </c>
      <c r="W3" s="134"/>
    </row>
    <row r="4" spans="1:23" x14ac:dyDescent="0.25">
      <c r="B4" s="436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6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7">
        <v>-8.0000000000000004E-4</v>
      </c>
      <c r="T4" s="1"/>
      <c r="U4" t="s">
        <v>917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1008</v>
      </c>
      <c r="Q12" s="1"/>
      <c r="W12" s="134"/>
    </row>
    <row r="13" spans="1:23" x14ac:dyDescent="0.25">
      <c r="H13" s="70"/>
      <c r="O13" s="11" t="s">
        <v>986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5946</v>
      </c>
      <c r="L19" s="345"/>
      <c r="M19" s="346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4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6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4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6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4"/>
      <c r="I37" s="39"/>
      <c r="J37" s="39"/>
      <c r="K37" s="39"/>
      <c r="L37" s="39">
        <v>20.87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837</v>
      </c>
      <c r="B68" s="498"/>
      <c r="C68" s="499"/>
      <c r="D68" s="501"/>
      <c r="E68" s="501"/>
      <c r="F68" s="501"/>
      <c r="G68" s="499"/>
      <c r="H68" s="515"/>
      <c r="I68" s="501"/>
      <c r="J68" s="501"/>
      <c r="K68" s="501"/>
      <c r="L68" s="499"/>
      <c r="M68" s="499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9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5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8" priority="21">
      <formula>F47&gt;0</formula>
    </cfRule>
    <cfRule type="expression" dxfId="1687" priority="22">
      <formula>F47&lt;0</formula>
    </cfRule>
  </conditionalFormatting>
  <conditionalFormatting sqref="Q7">
    <cfRule type="expression" dxfId="1686" priority="19">
      <formula>Q7&gt;0</formula>
    </cfRule>
    <cfRule type="expression" dxfId="1685" priority="20">
      <formula>Q7&lt;0</formula>
    </cfRule>
  </conditionalFormatting>
  <conditionalFormatting sqref="Q8">
    <cfRule type="expression" dxfId="1684" priority="17">
      <formula>Q8&gt;0</formula>
    </cfRule>
    <cfRule type="expression" dxfId="1683" priority="18">
      <formula>Q8&lt;0</formula>
    </cfRule>
  </conditionalFormatting>
  <conditionalFormatting sqref="F25:F46">
    <cfRule type="expression" dxfId="1682" priority="15">
      <formula>F25&gt;0</formula>
    </cfRule>
    <cfRule type="expression" dxfId="1681" priority="16">
      <formula>F25&lt;0</formula>
    </cfRule>
  </conditionalFormatting>
  <conditionalFormatting sqref="H25:H46">
    <cfRule type="expression" dxfId="1680" priority="13">
      <formula>H25&gt;0</formula>
    </cfRule>
    <cfRule type="expression" dxfId="1679" priority="14">
      <formula>H25&lt;0</formula>
    </cfRule>
  </conditionalFormatting>
  <conditionalFormatting sqref="F89:F110">
    <cfRule type="expression" dxfId="1678" priority="11">
      <formula>F89&gt;0</formula>
    </cfRule>
    <cfRule type="expression" dxfId="1677" priority="12">
      <formula>F89&lt;0</formula>
    </cfRule>
  </conditionalFormatting>
  <conditionalFormatting sqref="H89:H110">
    <cfRule type="expression" dxfId="1676" priority="9">
      <formula>H89&gt;0</formula>
    </cfRule>
    <cfRule type="expression" dxfId="1675" priority="10">
      <formula>H89&lt;0</formula>
    </cfRule>
  </conditionalFormatting>
  <conditionalFormatting sqref="Q10">
    <cfRule type="expression" dxfId="1674" priority="7">
      <formula>Q10&gt;0</formula>
    </cfRule>
    <cfRule type="expression" dxfId="1673" priority="8">
      <formula>Q10&lt;0</formula>
    </cfRule>
  </conditionalFormatting>
  <conditionalFormatting sqref="J25:J38">
    <cfRule type="expression" dxfId="1672" priority="5">
      <formula>J25&gt;0</formula>
    </cfRule>
    <cfRule type="expression" dxfId="1671" priority="6">
      <formula>J25&lt;0</formula>
    </cfRule>
  </conditionalFormatting>
  <conditionalFormatting sqref="K25:K38">
    <cfRule type="expression" dxfId="1670" priority="3">
      <formula>K25&gt;0</formula>
    </cfRule>
    <cfRule type="expression" dxfId="166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688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835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119.7899</v>
      </c>
      <c r="R4" s="497">
        <v>6.4000000000000003E-3</v>
      </c>
      <c r="T4" s="29">
        <v>42738</v>
      </c>
      <c r="U4" t="s">
        <v>834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5989.4949999999999</v>
      </c>
      <c r="T5" s="29">
        <v>43105</v>
      </c>
      <c r="U5" t="s">
        <v>862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2304.6349999999993</v>
      </c>
      <c r="R7">
        <v>50</v>
      </c>
      <c r="T7" s="29">
        <v>43112</v>
      </c>
      <c r="U7" t="s">
        <v>868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2304.6349999999993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0.62543353071758467</v>
      </c>
      <c r="T9" s="29">
        <v>43114</v>
      </c>
      <c r="U9" t="s">
        <v>890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1008</v>
      </c>
      <c r="Q12" s="29">
        <v>43243</v>
      </c>
      <c r="T12" s="29">
        <v>43193</v>
      </c>
      <c r="U12" t="s">
        <v>979</v>
      </c>
    </row>
    <row r="13" spans="1:21" x14ac:dyDescent="0.25">
      <c r="C13" s="4"/>
      <c r="D13" s="3"/>
      <c r="E13" s="3"/>
      <c r="F13" s="3"/>
      <c r="H13" s="70"/>
      <c r="O13" s="11" t="s">
        <v>986</v>
      </c>
      <c r="Q13">
        <f>Q4/6.69</f>
        <v>17.905814648729447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131.76889000000003</v>
      </c>
      <c r="Q18" s="2"/>
    </row>
    <row r="19" spans="1:17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130.57099100000002</v>
      </c>
      <c r="Q19" s="2"/>
    </row>
    <row r="20" spans="1:17" x14ac:dyDescent="0.25">
      <c r="O20" s="81">
        <v>1.08</v>
      </c>
      <c r="P20" s="81">
        <f t="shared" si="3"/>
        <v>129.37309200000001</v>
      </c>
      <c r="Q20" s="2"/>
    </row>
    <row r="21" spans="1:17" x14ac:dyDescent="0.25">
      <c r="O21" s="81">
        <v>1.07</v>
      </c>
      <c r="P21" s="81">
        <f t="shared" si="3"/>
        <v>128.17519300000001</v>
      </c>
      <c r="Q21" s="2"/>
    </row>
    <row r="22" spans="1:17" x14ac:dyDescent="0.25">
      <c r="O22" s="81">
        <v>1.06</v>
      </c>
      <c r="P22" s="81">
        <f t="shared" si="3"/>
        <v>126.97729400000001</v>
      </c>
      <c r="Q22" s="2"/>
    </row>
    <row r="23" spans="1:17" x14ac:dyDescent="0.25">
      <c r="O23" s="81">
        <v>1.05</v>
      </c>
      <c r="P23" s="81">
        <f t="shared" si="3"/>
        <v>125.77939500000001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70</v>
      </c>
      <c r="O24" s="81">
        <v>1.04</v>
      </c>
      <c r="P24" s="81">
        <f t="shared" si="3"/>
        <v>124.581496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123.38359700000001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122.185698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120.98779900000001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119.7899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118.592001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117.394102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116.196203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114.998304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113.800405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112.60250599999999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111.40460700000001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110.20670800000001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109.008809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107.81091000000001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867</v>
      </c>
      <c r="J47" s="39"/>
      <c r="K47" s="39"/>
      <c r="L47" s="39">
        <v>74.34</v>
      </c>
      <c r="M47" s="39" t="s">
        <v>889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952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984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2" t="s">
        <v>1</v>
      </c>
      <c r="B71" s="512" t="s">
        <v>2</v>
      </c>
      <c r="C71" s="512" t="s">
        <v>4</v>
      </c>
      <c r="D71" s="513" t="s">
        <v>5</v>
      </c>
      <c r="E71" s="513" t="s">
        <v>94</v>
      </c>
      <c r="F71" s="513" t="s">
        <v>60</v>
      </c>
      <c r="G71" s="512" t="s">
        <v>3</v>
      </c>
      <c r="H71" s="512" t="s">
        <v>6</v>
      </c>
      <c r="I71" s="513" t="s">
        <v>7</v>
      </c>
      <c r="J71" s="513" t="s">
        <v>95</v>
      </c>
      <c r="K71" s="513" t="s">
        <v>61</v>
      </c>
      <c r="L71" s="512" t="s">
        <v>37</v>
      </c>
      <c r="M71" s="512" t="s">
        <v>38</v>
      </c>
    </row>
    <row r="72" spans="1:13" x14ac:dyDescent="0.25">
      <c r="A72" s="514"/>
      <c r="B72" s="498"/>
      <c r="C72" s="499"/>
      <c r="D72" s="501"/>
      <c r="E72" s="501"/>
      <c r="F72" s="501"/>
      <c r="G72" s="498"/>
      <c r="H72" s="515"/>
      <c r="I72" s="501"/>
      <c r="J72" s="501"/>
      <c r="K72" s="501"/>
      <c r="L72" s="498"/>
      <c r="M72" s="501"/>
    </row>
    <row r="73" spans="1:13" x14ac:dyDescent="0.25">
      <c r="A73" s="516"/>
      <c r="B73" s="498"/>
      <c r="C73" s="499"/>
      <c r="D73" s="501"/>
      <c r="E73" s="501"/>
      <c r="F73" s="501"/>
      <c r="G73" s="498"/>
      <c r="H73" s="515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5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5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5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5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5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7" t="s">
        <v>81</v>
      </c>
      <c r="B88" s="518"/>
      <c r="C88" s="518">
        <f>SUM(C72:C76)</f>
        <v>0</v>
      </c>
      <c r="D88" s="519"/>
      <c r="E88" s="519"/>
      <c r="F88" s="519">
        <f>SUM(F72:F76)</f>
        <v>0</v>
      </c>
      <c r="G88" s="518"/>
      <c r="H88" s="540">
        <f>SUM(H72:H75)</f>
        <v>0</v>
      </c>
      <c r="I88" s="519"/>
      <c r="J88" s="519"/>
      <c r="K88" s="519">
        <f>SUM(K72:K75)</f>
        <v>0</v>
      </c>
      <c r="L88" s="518"/>
      <c r="M88" s="519">
        <f>SUM(M72:M80)</f>
        <v>0</v>
      </c>
    </row>
    <row r="89" spans="1:13" ht="15.75" thickBot="1" x14ac:dyDescent="0.3">
      <c r="A89" s="520" t="s">
        <v>193</v>
      </c>
      <c r="B89" s="521"/>
      <c r="C89" s="522">
        <f>SumByColor($A$19,C72:C87)</f>
        <v>0</v>
      </c>
      <c r="D89" s="522"/>
      <c r="E89" s="522"/>
      <c r="F89" s="523">
        <f>SumByColor($A$19,F72:F87)</f>
        <v>0</v>
      </c>
      <c r="G89" s="522"/>
      <c r="H89" s="522">
        <f>SumByColor($A$19,H72:H87)</f>
        <v>0</v>
      </c>
      <c r="I89" s="522"/>
      <c r="J89" s="522"/>
      <c r="K89" s="523">
        <f>SumByColor($A$19,K73:K87)</f>
        <v>0</v>
      </c>
      <c r="L89" s="522"/>
      <c r="M89" s="523">
        <f>SumByColor($A$19,M72:M87)</f>
        <v>0</v>
      </c>
    </row>
    <row r="92" spans="1:13" x14ac:dyDescent="0.25">
      <c r="B92" s="663" t="s">
        <v>113</v>
      </c>
      <c r="C92" s="663" t="s">
        <v>146</v>
      </c>
      <c r="D92" s="664" t="s">
        <v>145</v>
      </c>
      <c r="E92" s="665" t="s">
        <v>147</v>
      </c>
      <c r="F92" s="665" t="s">
        <v>65</v>
      </c>
      <c r="G92" s="666" t="s">
        <v>151</v>
      </c>
      <c r="H92" s="666" t="s">
        <v>88</v>
      </c>
      <c r="I92" s="666" t="s">
        <v>154</v>
      </c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  <row r="111" spans="2:9" x14ac:dyDescent="0.25">
      <c r="B111" s="568"/>
      <c r="C111" s="565"/>
      <c r="D111" s="566"/>
      <c r="E111" s="566"/>
      <c r="F111" s="566"/>
      <c r="G111" s="566"/>
      <c r="H111" s="667"/>
      <c r="I111" s="566"/>
    </row>
    <row r="112" spans="2:9" x14ac:dyDescent="0.25">
      <c r="B112" s="568"/>
      <c r="C112" s="565"/>
      <c r="D112" s="566"/>
      <c r="E112" s="566"/>
      <c r="F112" s="566"/>
      <c r="G112" s="566"/>
      <c r="H112" s="667"/>
      <c r="I112" s="566"/>
    </row>
    <row r="113" spans="2:9" x14ac:dyDescent="0.25">
      <c r="B113" s="568"/>
      <c r="C113" s="565"/>
      <c r="D113" s="566"/>
      <c r="E113" s="566"/>
      <c r="F113" s="566"/>
      <c r="G113" s="566"/>
      <c r="H113" s="667"/>
      <c r="I113" s="566"/>
    </row>
    <row r="114" spans="2:9" x14ac:dyDescent="0.25">
      <c r="B114" s="568"/>
      <c r="C114" s="565"/>
      <c r="D114" s="566"/>
      <c r="E114" s="566"/>
      <c r="F114" s="566"/>
      <c r="G114" s="566"/>
      <c r="H114" s="667"/>
      <c r="I114" s="566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8" priority="25">
      <formula>F7&gt;0</formula>
    </cfRule>
    <cfRule type="expression" dxfId="1667" priority="26">
      <formula>F7&lt;0</formula>
    </cfRule>
  </conditionalFormatting>
  <conditionalFormatting sqref="Q8">
    <cfRule type="expression" dxfId="1666" priority="23">
      <formula>Q8&gt;0</formula>
    </cfRule>
    <cfRule type="expression" dxfId="1665" priority="24">
      <formula>Q8&lt;0</formula>
    </cfRule>
  </conditionalFormatting>
  <conditionalFormatting sqref="F93:F114">
    <cfRule type="expression" dxfId="1664" priority="17">
      <formula>F93&gt;0</formula>
    </cfRule>
    <cfRule type="expression" dxfId="1663" priority="18">
      <formula>F93&lt;0</formula>
    </cfRule>
  </conditionalFormatting>
  <conditionalFormatting sqref="H93:H114">
    <cfRule type="expression" dxfId="1662" priority="15">
      <formula>H93&gt;0</formula>
    </cfRule>
    <cfRule type="expression" dxfId="1661" priority="16">
      <formula>H93&lt;0</formula>
    </cfRule>
  </conditionalFormatting>
  <conditionalFormatting sqref="Q10">
    <cfRule type="expression" dxfId="1660" priority="13">
      <formula>Q10&gt;0</formula>
    </cfRule>
    <cfRule type="expression" dxfId="1659" priority="14">
      <formula>Q10&lt;0</formula>
    </cfRule>
  </conditionalFormatting>
  <conditionalFormatting sqref="J25:J38">
    <cfRule type="expression" dxfId="1658" priority="11">
      <formula>J25&gt;0</formula>
    </cfRule>
    <cfRule type="expression" dxfId="1657" priority="12">
      <formula>J25&lt;0</formula>
    </cfRule>
  </conditionalFormatting>
  <conditionalFormatting sqref="K25:K38">
    <cfRule type="expression" dxfId="1656" priority="9">
      <formula>K25&gt;0</formula>
    </cfRule>
    <cfRule type="expression" dxfId="1655" priority="10">
      <formula>K25&lt;0</formula>
    </cfRule>
  </conditionalFormatting>
  <conditionalFormatting sqref="L25:L34">
    <cfRule type="expression" dxfId="1654" priority="7">
      <formula>L25&gt;0</formula>
    </cfRule>
    <cfRule type="expression" dxfId="1653" priority="8">
      <formula>L25&lt;0</formula>
    </cfRule>
  </conditionalFormatting>
  <conditionalFormatting sqref="J43">
    <cfRule type="expression" dxfId="1652" priority="5">
      <formula>J43&gt;0</formula>
    </cfRule>
    <cfRule type="expression" dxfId="1651" priority="6">
      <formula>J43&lt;0</formula>
    </cfRule>
  </conditionalFormatting>
  <conditionalFormatting sqref="M25:M34">
    <cfRule type="expression" dxfId="1650" priority="3">
      <formula>M25&gt;0</formula>
    </cfRule>
    <cfRule type="expression" dxfId="1649" priority="4">
      <formula>M25&lt;0</formula>
    </cfRule>
  </conditionalFormatting>
  <conditionalFormatting sqref="H61:H64 F61:F64">
    <cfRule type="expression" dxfId="1648" priority="1">
      <formula>F61&gt;0</formula>
    </cfRule>
    <cfRule type="expression" dxfId="164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1043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32.409999999999997</v>
      </c>
      <c r="R4" s="497">
        <v>-4.3E-3</v>
      </c>
      <c r="T4" s="774"/>
      <c r="U4" s="30" t="s">
        <v>1044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12963.999999999998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1052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-155.00000000000182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-155.00000000000182</v>
      </c>
      <c r="T8" s="1">
        <v>43228</v>
      </c>
      <c r="U8" t="s">
        <v>1089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-1.1814924918057917E-2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1053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>
        <f>Q4/2.5</f>
        <v>12.963999999999999</v>
      </c>
    </row>
    <row r="14" spans="1:21" x14ac:dyDescent="0.25">
      <c r="H14" s="70"/>
      <c r="O14" s="11" t="s">
        <v>1056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35.650999999999996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35.326900000000002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35.002800000000001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34.678699999999999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34.354599999999998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4">
        <f t="shared" ref="H28:H32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34.030499999999996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33.706399999999995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33.382300000000001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33.058199999999999</v>
      </c>
      <c r="Q31" s="2"/>
    </row>
    <row r="32" spans="1:17" x14ac:dyDescent="0.25">
      <c r="A32">
        <v>150</v>
      </c>
      <c r="B32" s="186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4">
        <f t="shared" si="13"/>
        <v>-7.5463068831466504E-3</v>
      </c>
      <c r="I32" s="39"/>
      <c r="J32" s="39"/>
      <c r="K32" s="39"/>
      <c r="L32" s="157"/>
      <c r="O32" s="81">
        <v>1.01</v>
      </c>
      <c r="P32" s="81">
        <f t="shared" si="1"/>
        <v>32.734099999999998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32.409999999999997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32.085899999999995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31.761799999999997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31.437699999999996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31.113599999999995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30.789499999999997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30.465399999999995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30.141299999999998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29.8172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29.493099999999998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29.168999999999997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6" priority="33">
      <formula>F47&gt;0</formula>
    </cfRule>
    <cfRule type="expression" dxfId="1645" priority="34">
      <formula>F47&lt;0</formula>
    </cfRule>
  </conditionalFormatting>
  <conditionalFormatting sqref="Q7">
    <cfRule type="expression" dxfId="1644" priority="31">
      <formula>Q7&gt;0</formula>
    </cfRule>
    <cfRule type="expression" dxfId="1643" priority="32">
      <formula>Q7&lt;0</formula>
    </cfRule>
  </conditionalFormatting>
  <conditionalFormatting sqref="Q8">
    <cfRule type="expression" dxfId="1642" priority="29">
      <formula>Q8&gt;0</formula>
    </cfRule>
    <cfRule type="expression" dxfId="1641" priority="30">
      <formula>Q8&lt;0</formula>
    </cfRule>
  </conditionalFormatting>
  <conditionalFormatting sqref="F30:F46">
    <cfRule type="expression" dxfId="1640" priority="27">
      <formula>F30&gt;0</formula>
    </cfRule>
    <cfRule type="expression" dxfId="1639" priority="28">
      <formula>F30&lt;0</formula>
    </cfRule>
  </conditionalFormatting>
  <conditionalFormatting sqref="H30:H46">
    <cfRule type="expression" dxfId="1638" priority="25">
      <formula>H30&gt;0</formula>
    </cfRule>
    <cfRule type="expression" dxfId="1637" priority="26">
      <formula>H30&lt;0</formula>
    </cfRule>
  </conditionalFormatting>
  <conditionalFormatting sqref="Q10">
    <cfRule type="expression" dxfId="1636" priority="23">
      <formula>Q10&gt;0</formula>
    </cfRule>
    <cfRule type="expression" dxfId="1635" priority="24">
      <formula>Q10&lt;0</formula>
    </cfRule>
  </conditionalFormatting>
  <conditionalFormatting sqref="J25:J38">
    <cfRule type="expression" dxfId="1634" priority="21">
      <formula>J25&gt;0</formula>
    </cfRule>
    <cfRule type="expression" dxfId="1633" priority="22">
      <formula>J25&lt;0</formula>
    </cfRule>
  </conditionalFormatting>
  <conditionalFormatting sqref="K25:K38">
    <cfRule type="expression" dxfId="1632" priority="19">
      <formula>K25&gt;0</formula>
    </cfRule>
    <cfRule type="expression" dxfId="1631" priority="20">
      <formula>K25&lt;0</formula>
    </cfRule>
  </conditionalFormatting>
  <conditionalFormatting sqref="L25:L38">
    <cfRule type="expression" dxfId="1630" priority="17">
      <formula>L25&gt;0</formula>
    </cfRule>
    <cfRule type="expression" dxfId="1629" priority="18">
      <formula>L25&lt;0</formula>
    </cfRule>
  </conditionalFormatting>
  <conditionalFormatting sqref="F89:F110">
    <cfRule type="expression" dxfId="1628" priority="15">
      <formula>F89&gt;0</formula>
    </cfRule>
    <cfRule type="expression" dxfId="1627" priority="16">
      <formula>F89&lt;0</formula>
    </cfRule>
  </conditionalFormatting>
  <conditionalFormatting sqref="H89:H110">
    <cfRule type="expression" dxfId="1626" priority="13">
      <formula>H89&gt;0</formula>
    </cfRule>
    <cfRule type="expression" dxfId="1625" priority="14">
      <formula>H89&lt;0</formula>
    </cfRule>
  </conditionalFormatting>
  <conditionalFormatting sqref="J89:J102">
    <cfRule type="expression" dxfId="1624" priority="11">
      <formula>J89&gt;0</formula>
    </cfRule>
    <cfRule type="expression" dxfId="1623" priority="12">
      <formula>J89&lt;0</formula>
    </cfRule>
  </conditionalFormatting>
  <conditionalFormatting sqref="K89:K102">
    <cfRule type="expression" dxfId="1622" priority="9">
      <formula>K89&gt;0</formula>
    </cfRule>
    <cfRule type="expression" dxfId="1621" priority="10">
      <formula>K89&lt;0</formula>
    </cfRule>
  </conditionalFormatting>
  <conditionalFormatting sqref="L89:L102">
    <cfRule type="expression" dxfId="1620" priority="7">
      <formula>L89&gt;0</formula>
    </cfRule>
    <cfRule type="expression" dxfId="1619" priority="8">
      <formula>L89&lt;0</formula>
    </cfRule>
  </conditionalFormatting>
  <conditionalFormatting sqref="F25:F29">
    <cfRule type="expression" dxfId="1618" priority="5">
      <formula>F25&gt;0</formula>
    </cfRule>
    <cfRule type="expression" dxfId="1617" priority="6">
      <formula>F25&lt;0</formula>
    </cfRule>
  </conditionalFormatting>
  <conditionalFormatting sqref="H25:H29">
    <cfRule type="expression" dxfId="1616" priority="3">
      <formula>H25&gt;0</formula>
    </cfRule>
    <cfRule type="expression" dxfId="1615" priority="4">
      <formula>H25&lt;0</formula>
    </cfRule>
  </conditionalFormatting>
  <conditionalFormatting sqref="F29">
    <cfRule type="expression" dxfId="1614" priority="1">
      <formula>F29&gt;0</formula>
    </cfRule>
    <cfRule type="expression" dxfId="161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99.39</v>
      </c>
      <c r="R4" s="497">
        <v>4.0000000000000001E-3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105.35340000000001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104.35950000000001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103.3656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102.3717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101.37780000000001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100.3839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99.39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98.396100000000004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97.402199999999993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2" priority="31">
      <formula>F47&gt;0</formula>
    </cfRule>
    <cfRule type="expression" dxfId="1611" priority="32">
      <formula>F47&lt;0</formula>
    </cfRule>
  </conditionalFormatting>
  <conditionalFormatting sqref="Q7">
    <cfRule type="expression" dxfId="1610" priority="29">
      <formula>Q7&gt;0</formula>
    </cfRule>
    <cfRule type="expression" dxfId="1609" priority="30">
      <formula>Q7&lt;0</formula>
    </cfRule>
  </conditionalFormatting>
  <conditionalFormatting sqref="Q8">
    <cfRule type="expression" dxfId="1608" priority="27">
      <formula>Q8&gt;0</formula>
    </cfRule>
    <cfRule type="expression" dxfId="1607" priority="28">
      <formula>Q8&lt;0</formula>
    </cfRule>
  </conditionalFormatting>
  <conditionalFormatting sqref="F30:F46">
    <cfRule type="expression" dxfId="1606" priority="25">
      <formula>F30&gt;0</formula>
    </cfRule>
    <cfRule type="expression" dxfId="1605" priority="26">
      <formula>F30&lt;0</formula>
    </cfRule>
  </conditionalFormatting>
  <conditionalFormatting sqref="H30:H46">
    <cfRule type="expression" dxfId="1604" priority="23">
      <formula>H30&gt;0</formula>
    </cfRule>
    <cfRule type="expression" dxfId="1603" priority="24">
      <formula>H30&lt;0</formula>
    </cfRule>
  </conditionalFormatting>
  <conditionalFormatting sqref="Q10">
    <cfRule type="expression" dxfId="1602" priority="21">
      <formula>Q10&gt;0</formula>
    </cfRule>
    <cfRule type="expression" dxfId="1601" priority="22">
      <formula>Q10&lt;0</formula>
    </cfRule>
  </conditionalFormatting>
  <conditionalFormatting sqref="J25:J38">
    <cfRule type="expression" dxfId="1600" priority="19">
      <formula>J25&gt;0</formula>
    </cfRule>
    <cfRule type="expression" dxfId="1599" priority="20">
      <formula>J25&lt;0</formula>
    </cfRule>
  </conditionalFormatting>
  <conditionalFormatting sqref="K25:K38">
    <cfRule type="expression" dxfId="1598" priority="17">
      <formula>K25&gt;0</formula>
    </cfRule>
    <cfRule type="expression" dxfId="1597" priority="18">
      <formula>K25&lt;0</formula>
    </cfRule>
  </conditionalFormatting>
  <conditionalFormatting sqref="L25:L38">
    <cfRule type="expression" dxfId="1596" priority="15">
      <formula>L25&gt;0</formula>
    </cfRule>
    <cfRule type="expression" dxfId="1595" priority="16">
      <formula>L25&lt;0</formula>
    </cfRule>
  </conditionalFormatting>
  <conditionalFormatting sqref="F89:F110">
    <cfRule type="expression" dxfId="1594" priority="13">
      <formula>F89&gt;0</formula>
    </cfRule>
    <cfRule type="expression" dxfId="1593" priority="14">
      <formula>F89&lt;0</formula>
    </cfRule>
  </conditionalFormatting>
  <conditionalFormatting sqref="H89:H110">
    <cfRule type="expression" dxfId="1592" priority="11">
      <formula>H89&gt;0</formula>
    </cfRule>
    <cfRule type="expression" dxfId="1591" priority="12">
      <formula>H89&lt;0</formula>
    </cfRule>
  </conditionalFormatting>
  <conditionalFormatting sqref="J89:J102">
    <cfRule type="expression" dxfId="1590" priority="9">
      <formula>J89&gt;0</formula>
    </cfRule>
    <cfRule type="expression" dxfId="1589" priority="10">
      <formula>J89&lt;0</formula>
    </cfRule>
  </conditionalFormatting>
  <conditionalFormatting sqref="K89:K102">
    <cfRule type="expression" dxfId="1588" priority="7">
      <formula>K89&gt;0</formula>
    </cfRule>
    <cfRule type="expression" dxfId="1587" priority="8">
      <formula>K89&lt;0</formula>
    </cfRule>
  </conditionalFormatting>
  <conditionalFormatting sqref="L89:L102">
    <cfRule type="expression" dxfId="1586" priority="5">
      <formula>L89&gt;0</formula>
    </cfRule>
    <cfRule type="expression" dxfId="1585" priority="6">
      <formula>L89&lt;0</formula>
    </cfRule>
  </conditionalFormatting>
  <conditionalFormatting sqref="F25:F29">
    <cfRule type="expression" dxfId="1584" priority="3">
      <formula>F25&gt;0</formula>
    </cfRule>
    <cfRule type="expression" dxfId="1583" priority="4">
      <formula>F25&lt;0</formula>
    </cfRule>
  </conditionalFormatting>
  <conditionalFormatting sqref="H25:H29">
    <cfRule type="expression" dxfId="1582" priority="1">
      <formula>H25&gt;0</formula>
    </cfRule>
    <cfRule type="expression" dxfId="15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938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55.29</v>
      </c>
      <c r="R4" s="497">
        <v>7.7000000000000002E-3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8293.5</v>
      </c>
      <c r="T5" s="1">
        <v>43209</v>
      </c>
      <c r="U5" t="s">
        <v>1021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1022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-682.5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-682.5</v>
      </c>
      <c r="T8" s="1">
        <v>43216</v>
      </c>
      <c r="U8" t="s">
        <v>1049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-7.6036096256684491E-2</v>
      </c>
      <c r="T9" s="158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4.7748236570808469E-2</v>
      </c>
      <c r="R11">
        <f>0.22</f>
        <v>0.22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Q4/(3.9+4.03)*2</f>
        <v>13.944514501891552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60.819000000000003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60.266100000000002</v>
      </c>
    </row>
    <row r="19" spans="1:16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59.713200000000001</v>
      </c>
    </row>
    <row r="20" spans="1:16" x14ac:dyDescent="0.25">
      <c r="O20" s="81">
        <v>1.07</v>
      </c>
      <c r="P20" s="81">
        <f t="shared" si="1"/>
        <v>59.160299999999999</v>
      </c>
    </row>
    <row r="21" spans="1:16" x14ac:dyDescent="0.25">
      <c r="O21" s="81">
        <v>1.06</v>
      </c>
      <c r="P21" s="81">
        <f t="shared" si="1"/>
        <v>58.607400000000005</v>
      </c>
    </row>
    <row r="22" spans="1:16" x14ac:dyDescent="0.25">
      <c r="O22" s="81">
        <v>1.05</v>
      </c>
      <c r="P22" s="81">
        <f t="shared" si="1"/>
        <v>58.054500000000004</v>
      </c>
    </row>
    <row r="23" spans="1:16" x14ac:dyDescent="0.25">
      <c r="O23" s="81">
        <v>1.04</v>
      </c>
      <c r="P23" s="81">
        <f t="shared" si="1"/>
        <v>57.501600000000003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56.948700000000002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56.395800000000001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55.8429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55.29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54.737099999999998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54.184199999999997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53.631299999999996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53.078399999999995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52.525499999999994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51.972599999999993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51.419699999999999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50.866800000000005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50.313900000000004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49.761000000000003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0" priority="35">
      <formula>F47&gt;0</formula>
    </cfRule>
    <cfRule type="expression" dxfId="1579" priority="36">
      <formula>F47&lt;0</formula>
    </cfRule>
  </conditionalFormatting>
  <conditionalFormatting sqref="Q7">
    <cfRule type="expression" dxfId="1578" priority="33">
      <formula>Q7&gt;0</formula>
    </cfRule>
    <cfRule type="expression" dxfId="1577" priority="34">
      <formula>Q7&lt;0</formula>
    </cfRule>
  </conditionalFormatting>
  <conditionalFormatting sqref="Q8">
    <cfRule type="expression" dxfId="1576" priority="31">
      <formula>Q8&gt;0</formula>
    </cfRule>
    <cfRule type="expression" dxfId="1575" priority="32">
      <formula>Q8&lt;0</formula>
    </cfRule>
  </conditionalFormatting>
  <conditionalFormatting sqref="F30:F46">
    <cfRule type="expression" dxfId="1574" priority="29">
      <formula>F30&gt;0</formula>
    </cfRule>
    <cfRule type="expression" dxfId="1573" priority="30">
      <formula>F30&lt;0</formula>
    </cfRule>
  </conditionalFormatting>
  <conditionalFormatting sqref="H30:H46">
    <cfRule type="expression" dxfId="1572" priority="27">
      <formula>H30&gt;0</formula>
    </cfRule>
    <cfRule type="expression" dxfId="1571" priority="28">
      <formula>H30&lt;0</formula>
    </cfRule>
  </conditionalFormatting>
  <conditionalFormatting sqref="Q10">
    <cfRule type="expression" dxfId="1570" priority="25">
      <formula>Q10&gt;0</formula>
    </cfRule>
    <cfRule type="expression" dxfId="1569" priority="26">
      <formula>Q10&lt;0</formula>
    </cfRule>
  </conditionalFormatting>
  <conditionalFormatting sqref="J25:J38">
    <cfRule type="expression" dxfId="1568" priority="23">
      <formula>J25&gt;0</formula>
    </cfRule>
    <cfRule type="expression" dxfId="1567" priority="24">
      <formula>J25&lt;0</formula>
    </cfRule>
  </conditionalFormatting>
  <conditionalFormatting sqref="K25:K38">
    <cfRule type="expression" dxfId="1566" priority="21">
      <formula>K25&gt;0</formula>
    </cfRule>
    <cfRule type="expression" dxfId="1565" priority="22">
      <formula>K25&lt;0</formula>
    </cfRule>
  </conditionalFormatting>
  <conditionalFormatting sqref="L25 L38">
    <cfRule type="expression" dxfId="1564" priority="19">
      <formula>L25&gt;0</formula>
    </cfRule>
    <cfRule type="expression" dxfId="1563" priority="20">
      <formula>L25&lt;0</formula>
    </cfRule>
  </conditionalFormatting>
  <conditionalFormatting sqref="F89:F110">
    <cfRule type="expression" dxfId="1562" priority="17">
      <formula>F89&gt;0</formula>
    </cfRule>
    <cfRule type="expression" dxfId="1561" priority="18">
      <formula>F89&lt;0</formula>
    </cfRule>
  </conditionalFormatting>
  <conditionalFormatting sqref="H89:H110">
    <cfRule type="expression" dxfId="1560" priority="15">
      <formula>H89&gt;0</formula>
    </cfRule>
    <cfRule type="expression" dxfId="1559" priority="16">
      <formula>H89&lt;0</formula>
    </cfRule>
  </conditionalFormatting>
  <conditionalFormatting sqref="J89:J102">
    <cfRule type="expression" dxfId="1558" priority="13">
      <formula>J89&gt;0</formula>
    </cfRule>
    <cfRule type="expression" dxfId="1557" priority="14">
      <formula>J89&lt;0</formula>
    </cfRule>
  </conditionalFormatting>
  <conditionalFormatting sqref="K89:K102">
    <cfRule type="expression" dxfId="1556" priority="11">
      <formula>K89&gt;0</formula>
    </cfRule>
    <cfRule type="expression" dxfId="1555" priority="12">
      <formula>K89&lt;0</formula>
    </cfRule>
  </conditionalFormatting>
  <conditionalFormatting sqref="L89:L102">
    <cfRule type="expression" dxfId="1554" priority="9">
      <formula>L89&gt;0</formula>
    </cfRule>
    <cfRule type="expression" dxfId="1553" priority="10">
      <formula>L89&lt;0</formula>
    </cfRule>
  </conditionalFormatting>
  <conditionalFormatting sqref="F25 F29">
    <cfRule type="expression" dxfId="1552" priority="7">
      <formula>F25&gt;0</formula>
    </cfRule>
    <cfRule type="expression" dxfId="1551" priority="8">
      <formula>F25&lt;0</formula>
    </cfRule>
  </conditionalFormatting>
  <conditionalFormatting sqref="H25 H29">
    <cfRule type="expression" dxfId="1550" priority="5">
      <formula>H25&gt;0</formula>
    </cfRule>
    <cfRule type="expression" dxfId="1549" priority="6">
      <formula>H25&lt;0</formula>
    </cfRule>
  </conditionalFormatting>
  <conditionalFormatting sqref="F26:F28">
    <cfRule type="expression" dxfId="1548" priority="3">
      <formula>F26&gt;0</formula>
    </cfRule>
    <cfRule type="expression" dxfId="1547" priority="4">
      <formula>F26&lt;0</formula>
    </cfRule>
  </conditionalFormatting>
  <conditionalFormatting sqref="H26:H28">
    <cfRule type="expression" dxfId="1546" priority="1">
      <formula>H26&gt;0</formula>
    </cfRule>
    <cfRule type="expression" dxfId="154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1045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31.93</v>
      </c>
      <c r="R4" s="497">
        <v>-1.15E-2</v>
      </c>
      <c r="T4" s="774"/>
      <c r="U4" s="30" t="s">
        <v>1046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6386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-349.07999999999993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-349.07999999999993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-5.1830119315583477E-2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3.1318509238960228E-2</v>
      </c>
      <c r="R11">
        <v>0.5</v>
      </c>
    </row>
    <row r="12" spans="1:21" x14ac:dyDescent="0.25">
      <c r="H12" s="70"/>
      <c r="O12" s="11" t="s">
        <v>958</v>
      </c>
    </row>
    <row r="13" spans="1:21" x14ac:dyDescent="0.25">
      <c r="H13" s="70"/>
      <c r="O13" s="11" t="s">
        <v>986</v>
      </c>
      <c r="Q13">
        <f>Q4/3.47</f>
        <v>9.2017291066282407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193</v>
      </c>
      <c r="B19" s="344"/>
      <c r="C19" s="345">
        <f>SumByColor($A$19,C2:C17)</f>
        <v>100</v>
      </c>
      <c r="D19" s="345"/>
      <c r="E19" s="345"/>
      <c r="F19" s="346">
        <f>SumByColor($A$19,F2:F17)</f>
        <v>3268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50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1048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35.123000000000005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34.803699999999999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34.484400000000001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34.165100000000002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33.845800000000004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33.526499999999999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33.2072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32.887900000000002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32.568600000000004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32.249299999999998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31.93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31.610699999999998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31.291399999999999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30.972099999999998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30.652799999999999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30.333499999999997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30.014199999999999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29.694900000000001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29.375600000000002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29.0563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28.737000000000002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932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4" priority="31">
      <formula>F47&gt;0</formula>
    </cfRule>
    <cfRule type="expression" dxfId="1543" priority="32">
      <formula>F47&lt;0</formula>
    </cfRule>
  </conditionalFormatting>
  <conditionalFormatting sqref="Q7">
    <cfRule type="expression" dxfId="1542" priority="29">
      <formula>Q7&gt;0</formula>
    </cfRule>
    <cfRule type="expression" dxfId="1541" priority="30">
      <formula>Q7&lt;0</formula>
    </cfRule>
  </conditionalFormatting>
  <conditionalFormatting sqref="Q8">
    <cfRule type="expression" dxfId="1540" priority="27">
      <formula>Q8&gt;0</formula>
    </cfRule>
    <cfRule type="expression" dxfId="1539" priority="28">
      <formula>Q8&lt;0</formula>
    </cfRule>
  </conditionalFormatting>
  <conditionalFormatting sqref="F30:F46">
    <cfRule type="expression" dxfId="1538" priority="25">
      <formula>F30&gt;0</formula>
    </cfRule>
    <cfRule type="expression" dxfId="1537" priority="26">
      <formula>F30&lt;0</formula>
    </cfRule>
  </conditionalFormatting>
  <conditionalFormatting sqref="H30:H46">
    <cfRule type="expression" dxfId="1536" priority="23">
      <formula>H30&gt;0</formula>
    </cfRule>
    <cfRule type="expression" dxfId="1535" priority="24">
      <formula>H30&lt;0</formula>
    </cfRule>
  </conditionalFormatting>
  <conditionalFormatting sqref="Q10">
    <cfRule type="expression" dxfId="1534" priority="21">
      <formula>Q10&gt;0</formula>
    </cfRule>
    <cfRule type="expression" dxfId="1533" priority="22">
      <formula>Q10&lt;0</formula>
    </cfRule>
  </conditionalFormatting>
  <conditionalFormatting sqref="J25:J38">
    <cfRule type="expression" dxfId="1532" priority="19">
      <formula>J25&gt;0</formula>
    </cfRule>
    <cfRule type="expression" dxfId="1531" priority="20">
      <formula>J25&lt;0</formula>
    </cfRule>
  </conditionalFormatting>
  <conditionalFormatting sqref="K25:K38">
    <cfRule type="expression" dxfId="1530" priority="17">
      <formula>K25&gt;0</formula>
    </cfRule>
    <cfRule type="expression" dxfId="1529" priority="18">
      <formula>K25&lt;0</formula>
    </cfRule>
  </conditionalFormatting>
  <conditionalFormatting sqref="L25:L38">
    <cfRule type="expression" dxfId="1528" priority="15">
      <formula>L25&gt;0</formula>
    </cfRule>
    <cfRule type="expression" dxfId="1527" priority="16">
      <formula>L25&lt;0</formula>
    </cfRule>
  </conditionalFormatting>
  <conditionalFormatting sqref="F89:F110">
    <cfRule type="expression" dxfId="1526" priority="13">
      <formula>F89&gt;0</formula>
    </cfRule>
    <cfRule type="expression" dxfId="1525" priority="14">
      <formula>F89&lt;0</formula>
    </cfRule>
  </conditionalFormatting>
  <conditionalFormatting sqref="H89:H110">
    <cfRule type="expression" dxfId="1524" priority="11">
      <formula>H89&gt;0</formula>
    </cfRule>
    <cfRule type="expression" dxfId="1523" priority="12">
      <formula>H89&lt;0</formula>
    </cfRule>
  </conditionalFormatting>
  <conditionalFormatting sqref="J89:J102">
    <cfRule type="expression" dxfId="1522" priority="9">
      <formula>J89&gt;0</formula>
    </cfRule>
    <cfRule type="expression" dxfId="1521" priority="10">
      <formula>J89&lt;0</formula>
    </cfRule>
  </conditionalFormatting>
  <conditionalFormatting sqref="K89:K102">
    <cfRule type="expression" dxfId="1520" priority="7">
      <formula>K89&gt;0</formula>
    </cfRule>
    <cfRule type="expression" dxfId="1519" priority="8">
      <formula>K89&lt;0</formula>
    </cfRule>
  </conditionalFormatting>
  <conditionalFormatting sqref="L89:L102">
    <cfRule type="expression" dxfId="1518" priority="5">
      <formula>L89&gt;0</formula>
    </cfRule>
    <cfRule type="expression" dxfId="1517" priority="6">
      <formula>L89&lt;0</formula>
    </cfRule>
  </conditionalFormatting>
  <conditionalFormatting sqref="F25:F29">
    <cfRule type="expression" dxfId="1516" priority="3">
      <formula>F25&gt;0</formula>
    </cfRule>
    <cfRule type="expression" dxfId="1515" priority="4">
      <formula>F25&lt;0</formula>
    </cfRule>
  </conditionalFormatting>
  <conditionalFormatting sqref="H25:H29">
    <cfRule type="expression" dxfId="1514" priority="1">
      <formula>H25&gt;0</formula>
    </cfRule>
    <cfRule type="expression" dxfId="15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690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199.59989999999999</v>
      </c>
      <c r="R4" s="497">
        <v>4.4999999999999997E-3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3991.9979999999996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1263.8280000000009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1120.7980000000007</v>
      </c>
      <c r="T8" s="1">
        <v>43237</v>
      </c>
      <c r="U8" t="s">
        <v>1110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0.39035873502368384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2.5050112750557491E-3</v>
      </c>
      <c r="S11">
        <v>0.5</v>
      </c>
      <c r="W11" s="134"/>
    </row>
    <row r="12" spans="1:23" x14ac:dyDescent="0.25">
      <c r="H12" s="70"/>
      <c r="O12" s="11" t="s">
        <v>958</v>
      </c>
      <c r="Q12" s="1" t="s">
        <v>1034</v>
      </c>
      <c r="W12" s="134"/>
    </row>
    <row r="13" spans="1:23" x14ac:dyDescent="0.25">
      <c r="H13" s="70"/>
      <c r="O13" s="11" t="s">
        <v>986</v>
      </c>
      <c r="Q13">
        <f>Q4/6.86</f>
        <v>29.096195335276967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49" t="s">
        <v>78</v>
      </c>
      <c r="P24" s="849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219.55989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217.56389100000001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215.567892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213.57189299999999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211.57589400000001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209.57989499999999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207.58389600000001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205.587897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203.59189799999999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201.595899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199.59989999999999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197.60390099999998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195.607902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193.61190299999998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191.61590399999997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1010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189.61990499999999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187.62390599999998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185.62790699999999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183.63190800000001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181.635909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179.63990999999999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31" x14ac:dyDescent="0.25">
      <c r="A68" s="514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6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3020</v>
      </c>
      <c r="G84" s="518"/>
      <c r="H84" s="540">
        <f>SUM(H68:H71)</f>
        <v>20</v>
      </c>
      <c r="I84" s="519"/>
      <c r="J84" s="519"/>
      <c r="K84" s="519">
        <f>SUM(K68:K71)</f>
        <v>3151.53</v>
      </c>
      <c r="L84" s="518"/>
      <c r="M84" s="519">
        <f>SUM(M68:M76)</f>
        <v>11.5</v>
      </c>
    </row>
    <row r="85" spans="1:13" ht="15.75" thickBot="1" x14ac:dyDescent="0.3">
      <c r="A85" s="520" t="s">
        <v>193</v>
      </c>
      <c r="B85" s="521"/>
      <c r="C85" s="522">
        <f>SumByColor($A$19,C68:C83)</f>
        <v>20</v>
      </c>
      <c r="D85" s="522"/>
      <c r="E85" s="522"/>
      <c r="F85" s="523">
        <f>SumByColor($A$19,F68:F83)</f>
        <v>3020</v>
      </c>
      <c r="G85" s="522"/>
      <c r="H85" s="522">
        <f>SumByColor($A$19,H68:H83)</f>
        <v>20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2" priority="24">
      <formula>F47&gt;0</formula>
    </cfRule>
    <cfRule type="expression" dxfId="1511" priority="25">
      <formula>F47&lt;0</formula>
    </cfRule>
  </conditionalFormatting>
  <conditionalFormatting sqref="Q7">
    <cfRule type="expression" dxfId="1510" priority="22">
      <formula>Q7&gt;0</formula>
    </cfRule>
    <cfRule type="expression" dxfId="1509" priority="23">
      <formula>Q7&lt;0</formula>
    </cfRule>
  </conditionalFormatting>
  <conditionalFormatting sqref="Q8">
    <cfRule type="expression" dxfId="1508" priority="20">
      <formula>Q8&gt;0</formula>
    </cfRule>
    <cfRule type="expression" dxfId="1507" priority="21">
      <formula>Q8&lt;0</formula>
    </cfRule>
  </conditionalFormatting>
  <conditionalFormatting sqref="F25:F46">
    <cfRule type="expression" dxfId="1506" priority="18">
      <formula>F25&gt;0</formula>
    </cfRule>
    <cfRule type="expression" dxfId="1505" priority="19">
      <formula>F25&lt;0</formula>
    </cfRule>
  </conditionalFormatting>
  <conditionalFormatting sqref="H25:H46">
    <cfRule type="expression" dxfId="1504" priority="16">
      <formula>H25&gt;0</formula>
    </cfRule>
    <cfRule type="expression" dxfId="1503" priority="17">
      <formula>H25&lt;0</formula>
    </cfRule>
  </conditionalFormatting>
  <conditionalFormatting sqref="F89:F110">
    <cfRule type="expression" dxfId="1502" priority="14">
      <formula>F89&gt;0</formula>
    </cfRule>
    <cfRule type="expression" dxfId="1501" priority="15">
      <formula>F89&lt;0</formula>
    </cfRule>
  </conditionalFormatting>
  <conditionalFormatting sqref="H89:H110">
    <cfRule type="expression" dxfId="1500" priority="12">
      <formula>H89&gt;0</formula>
    </cfRule>
    <cfRule type="expression" dxfId="1499" priority="13">
      <formula>H89&lt;0</formula>
    </cfRule>
  </conditionalFormatting>
  <conditionalFormatting sqref="Q10">
    <cfRule type="expression" dxfId="1498" priority="10">
      <formula>Q10&gt;0</formula>
    </cfRule>
    <cfRule type="expression" dxfId="1497" priority="11">
      <formula>Q10&lt;0</formula>
    </cfRule>
  </conditionalFormatting>
  <conditionalFormatting sqref="J25:J39">
    <cfRule type="expression" dxfId="1496" priority="8">
      <formula>J25&gt;0</formula>
    </cfRule>
    <cfRule type="expression" dxfId="1495" priority="9">
      <formula>J25&lt;0</formula>
    </cfRule>
  </conditionalFormatting>
  <conditionalFormatting sqref="K25:K38">
    <cfRule type="expression" dxfId="1494" priority="6">
      <formula>K25&gt;0</formula>
    </cfRule>
    <cfRule type="expression" dxfId="1493" priority="7">
      <formula>K25&lt;0</formula>
    </cfRule>
  </conditionalFormatting>
  <conditionalFormatting sqref="L25:L38">
    <cfRule type="expression" dxfId="1492" priority="4">
      <formula>L25&gt;0</formula>
    </cfRule>
    <cfRule type="expression" dxfId="149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0" priority="1">
      <formula>J40&gt;0</formula>
    </cfRule>
    <cfRule type="expression" dxfId="148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3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3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3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2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2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2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2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2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2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500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501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3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3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193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277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297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295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296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298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304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324</v>
      </c>
      <c r="J235" s="39"/>
      <c r="K235" s="39"/>
    </row>
    <row r="236" spans="1:11" x14ac:dyDescent="0.25">
      <c r="A236" t="s">
        <v>334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360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360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378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382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398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405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408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413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414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415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420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420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420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8" priority="74">
      <formula>F12&gt;0</formula>
    </cfRule>
    <cfRule type="expression" dxfId="148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6" priority="67">
      <formula>F124&gt;0</formula>
    </cfRule>
    <cfRule type="expression" dxfId="1485" priority="68">
      <formula>F124&lt;0</formula>
    </cfRule>
  </conditionalFormatting>
  <conditionalFormatting sqref="H124:H130">
    <cfRule type="expression" dxfId="1484" priority="55">
      <formula>H124&gt;0</formula>
    </cfRule>
    <cfRule type="expression" dxfId="1483" priority="56">
      <formula>H124&lt;0</formula>
    </cfRule>
  </conditionalFormatting>
  <conditionalFormatting sqref="H131">
    <cfRule type="expression" dxfId="1482" priority="53">
      <formula>H131&gt;0</formula>
    </cfRule>
    <cfRule type="expression" dxfId="1481" priority="54">
      <formula>H131&lt;0</formula>
    </cfRule>
  </conditionalFormatting>
  <conditionalFormatting sqref="H132">
    <cfRule type="expression" dxfId="1480" priority="51">
      <formula>H132&gt;0</formula>
    </cfRule>
    <cfRule type="expression" dxfId="1479" priority="52">
      <formula>H132&lt;0</formula>
    </cfRule>
  </conditionalFormatting>
  <conditionalFormatting sqref="H133:H135">
    <cfRule type="expression" dxfId="1478" priority="49">
      <formula>H133&gt;0</formula>
    </cfRule>
    <cfRule type="expression" dxfId="1477" priority="50">
      <formula>H133&lt;0</formula>
    </cfRule>
  </conditionalFormatting>
  <conditionalFormatting sqref="H136">
    <cfRule type="expression" dxfId="1476" priority="45">
      <formula>H136&gt;0</formula>
    </cfRule>
    <cfRule type="expression" dxfId="1475" priority="46">
      <formula>H136&lt;0</formula>
    </cfRule>
  </conditionalFormatting>
  <conditionalFormatting sqref="Q7">
    <cfRule type="expression" dxfId="1474" priority="39">
      <formula>Q7&gt;0</formula>
    </cfRule>
    <cfRule type="expression" dxfId="1473" priority="40">
      <formula>Q7&lt;0</formula>
    </cfRule>
  </conditionalFormatting>
  <conditionalFormatting sqref="Q8">
    <cfRule type="expression" dxfId="1472" priority="37">
      <formula>Q8&gt;0</formula>
    </cfRule>
    <cfRule type="expression" dxfId="1471" priority="38">
      <formula>Q8&lt;0</formula>
    </cfRule>
  </conditionalFormatting>
  <conditionalFormatting sqref="F167:F178 H167:H178">
    <cfRule type="expression" dxfId="1470" priority="35">
      <formula>F167&gt;0</formula>
    </cfRule>
    <cfRule type="expression" dxfId="1469" priority="36">
      <formula>F167&lt;0</formula>
    </cfRule>
  </conditionalFormatting>
  <conditionalFormatting sqref="F183:F197 H183:H197">
    <cfRule type="expression" dxfId="1468" priority="33">
      <formula>F183&gt;0</formula>
    </cfRule>
    <cfRule type="expression" dxfId="1467" priority="34">
      <formula>F183&lt;0</formula>
    </cfRule>
  </conditionalFormatting>
  <conditionalFormatting sqref="F198:F206 H198:H206">
    <cfRule type="expression" dxfId="1466" priority="31">
      <formula>F198&gt;0</formula>
    </cfRule>
    <cfRule type="expression" dxfId="1465" priority="32">
      <formula>F198&lt;0</formula>
    </cfRule>
  </conditionalFormatting>
  <conditionalFormatting sqref="F141:F147 H141:H147">
    <cfRule type="expression" dxfId="1464" priority="29">
      <formula>F141&gt;0</formula>
    </cfRule>
    <cfRule type="expression" dxfId="1463" priority="30">
      <formula>F141&lt;0</formula>
    </cfRule>
  </conditionalFormatting>
  <conditionalFormatting sqref="H149:H152 F149:F152">
    <cfRule type="expression" dxfId="1462" priority="27">
      <formula>F149&gt;0</formula>
    </cfRule>
    <cfRule type="expression" dxfId="1461" priority="28">
      <formula>F149&lt;0</formula>
    </cfRule>
  </conditionalFormatting>
  <conditionalFormatting sqref="F226 H215:H218 H257:H260 F257:F260 H226 H231:H233 F231:F233 F235:F244 H235:H244">
    <cfRule type="expression" dxfId="1460" priority="25">
      <formula>F215&gt;0</formula>
    </cfRule>
    <cfRule type="expression" dxfId="1459" priority="26">
      <formula>F215&lt;0</formula>
    </cfRule>
  </conditionalFormatting>
  <conditionalFormatting sqref="F207:F218">
    <cfRule type="expression" dxfId="1458" priority="23">
      <formula>F207&gt;0</formula>
    </cfRule>
    <cfRule type="expression" dxfId="1457" priority="24">
      <formula>F207&lt;0</formula>
    </cfRule>
  </conditionalFormatting>
  <conditionalFormatting sqref="H207:H208">
    <cfRule type="expression" dxfId="1456" priority="21">
      <formula>H207&gt;0</formula>
    </cfRule>
    <cfRule type="expression" dxfId="1455" priority="22">
      <formula>H207&lt;0</formula>
    </cfRule>
  </conditionalFormatting>
  <conditionalFormatting sqref="H209">
    <cfRule type="expression" dxfId="1454" priority="19">
      <formula>H209&gt;0</formula>
    </cfRule>
    <cfRule type="expression" dxfId="1453" priority="20">
      <formula>H209&lt;0</formula>
    </cfRule>
  </conditionalFormatting>
  <conditionalFormatting sqref="H210">
    <cfRule type="expression" dxfId="1452" priority="17">
      <formula>H210&gt;0</formula>
    </cfRule>
    <cfRule type="expression" dxfId="1451" priority="18">
      <formula>H210&lt;0</formula>
    </cfRule>
  </conditionalFormatting>
  <conditionalFormatting sqref="H211:H213">
    <cfRule type="expression" dxfId="1450" priority="15">
      <formula>H211&gt;0</formula>
    </cfRule>
    <cfRule type="expression" dxfId="1449" priority="16">
      <formula>H211&lt;0</formula>
    </cfRule>
  </conditionalFormatting>
  <conditionalFormatting sqref="H214">
    <cfRule type="expression" dxfId="1448" priority="13">
      <formula>H214&gt;0</formula>
    </cfRule>
    <cfRule type="expression" dxfId="1447" priority="14">
      <formula>H214&lt;0</formula>
    </cfRule>
  </conditionalFormatting>
  <conditionalFormatting sqref="F245:F256 H245:H256">
    <cfRule type="expression" dxfId="1446" priority="11">
      <formula>F245&gt;0</formula>
    </cfRule>
    <cfRule type="expression" dxfId="1445" priority="12">
      <formula>F245&lt;0</formula>
    </cfRule>
  </conditionalFormatting>
  <conditionalFormatting sqref="F261:F275 H261:H275">
    <cfRule type="expression" dxfId="1444" priority="9">
      <formula>F261&gt;0</formula>
    </cfRule>
    <cfRule type="expression" dxfId="1443" priority="10">
      <formula>F261&lt;0</formula>
    </cfRule>
  </conditionalFormatting>
  <conditionalFormatting sqref="F276:F283 H276:H283">
    <cfRule type="expression" dxfId="1442" priority="7">
      <formula>F276&gt;0</formula>
    </cfRule>
    <cfRule type="expression" dxfId="1441" priority="8">
      <formula>F276&lt;0</formula>
    </cfRule>
  </conditionalFormatting>
  <conditionalFormatting sqref="F219:F225 H219:H225">
    <cfRule type="expression" dxfId="1440" priority="5">
      <formula>F219&gt;0</formula>
    </cfRule>
    <cfRule type="expression" dxfId="1439" priority="6">
      <formula>F219&lt;0</formula>
    </cfRule>
  </conditionalFormatting>
  <conditionalFormatting sqref="H227:H230 F227:F230">
    <cfRule type="expression" dxfId="1438" priority="3">
      <formula>F227&gt;0</formula>
    </cfRule>
    <cfRule type="expression" dxfId="1437" priority="4">
      <formula>F227&lt;0</formula>
    </cfRule>
  </conditionalFormatting>
  <conditionalFormatting sqref="H234 F234">
    <cfRule type="expression" dxfId="1436" priority="1">
      <formula>F234&gt;0</formula>
    </cfRule>
    <cfRule type="expression" dxfId="143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135.83000000000001</v>
      </c>
      <c r="R4" s="477">
        <v>-4.3E-3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8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308</v>
      </c>
      <c r="B73" s="549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49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3">
        <v>42768</v>
      </c>
      <c r="C74" s="632">
        <v>40</v>
      </c>
      <c r="D74" s="630">
        <v>91.52</v>
      </c>
      <c r="E74" s="630">
        <v>0</v>
      </c>
      <c r="F74" s="630">
        <f>D74*C74+E74</f>
        <v>3660.7999999999997</v>
      </c>
      <c r="G74" s="643">
        <v>42803</v>
      </c>
      <c r="H74" s="632">
        <v>20</v>
      </c>
      <c r="I74" s="630">
        <v>91.58</v>
      </c>
      <c r="J74" s="630">
        <v>0.04</v>
      </c>
      <c r="K74" s="630">
        <f>I74*H74-J74</f>
        <v>1831.56</v>
      </c>
      <c r="L74" s="631"/>
      <c r="M74" s="630"/>
    </row>
    <row r="75" spans="1:31" x14ac:dyDescent="0.25">
      <c r="A75" s="252"/>
      <c r="B75" s="643">
        <v>42768</v>
      </c>
      <c r="C75" s="632">
        <v>40</v>
      </c>
      <c r="D75" s="630">
        <v>88.8</v>
      </c>
      <c r="E75" s="630">
        <v>0</v>
      </c>
      <c r="F75" s="630">
        <f>D75*C75+E75</f>
        <v>3552</v>
      </c>
      <c r="G75" s="643">
        <v>42803</v>
      </c>
      <c r="H75" s="641">
        <v>20</v>
      </c>
      <c r="I75" s="630">
        <v>92.2</v>
      </c>
      <c r="J75" s="630">
        <v>0.04</v>
      </c>
      <c r="K75" s="630">
        <f t="shared" ref="K75:K76" si="3">I75*H75-J75</f>
        <v>1843.96</v>
      </c>
      <c r="L75" s="632"/>
      <c r="M75" s="632"/>
    </row>
    <row r="76" spans="1:31" x14ac:dyDescent="0.25">
      <c r="A76" s="252"/>
      <c r="B76" s="643"/>
      <c r="C76" s="632"/>
      <c r="D76" s="630"/>
      <c r="E76" s="630"/>
      <c r="F76" s="630"/>
      <c r="G76" s="643">
        <v>42803</v>
      </c>
      <c r="H76" s="641">
        <v>40</v>
      </c>
      <c r="I76" s="630">
        <v>93</v>
      </c>
      <c r="J76" s="630">
        <v>0.08</v>
      </c>
      <c r="K76" s="630">
        <f t="shared" si="3"/>
        <v>3719.92</v>
      </c>
      <c r="L76" s="632"/>
      <c r="M76" s="632"/>
    </row>
    <row r="77" spans="1:31" x14ac:dyDescent="0.25">
      <c r="A77" s="252"/>
      <c r="B77" s="549"/>
      <c r="C77" s="252"/>
      <c r="D77" s="253"/>
      <c r="E77" s="253"/>
      <c r="F77" s="253"/>
      <c r="G77" s="549"/>
      <c r="H77" s="258"/>
      <c r="I77" s="253"/>
      <c r="J77" s="253"/>
      <c r="K77" s="253"/>
      <c r="L77" s="252"/>
      <c r="M77" s="252"/>
    </row>
    <row r="78" spans="1:31" x14ac:dyDescent="0.25">
      <c r="A78" s="252"/>
      <c r="B78" s="549"/>
      <c r="C78" s="252"/>
      <c r="D78" s="253"/>
      <c r="E78" s="253"/>
      <c r="F78" s="253"/>
      <c r="G78" s="549"/>
      <c r="H78" s="258"/>
      <c r="I78" s="253"/>
      <c r="J78" s="253"/>
      <c r="K78" s="253"/>
      <c r="L78" s="252"/>
      <c r="M78" s="252"/>
    </row>
    <row r="79" spans="1:31" x14ac:dyDescent="0.25">
      <c r="A79" s="252"/>
      <c r="B79" s="549"/>
      <c r="C79" s="252"/>
      <c r="D79" s="253"/>
      <c r="E79" s="253"/>
      <c r="F79" s="253"/>
      <c r="G79" s="549"/>
      <c r="H79" s="258"/>
      <c r="I79" s="253"/>
      <c r="J79" s="253"/>
      <c r="K79" s="253"/>
      <c r="L79" s="252"/>
      <c r="M79" s="252"/>
    </row>
    <row r="80" spans="1:31" x14ac:dyDescent="0.25">
      <c r="A80" s="252"/>
      <c r="B80" s="549"/>
      <c r="C80" s="252"/>
      <c r="D80" s="253"/>
      <c r="E80" s="253"/>
      <c r="F80" s="253"/>
      <c r="G80" s="549"/>
      <c r="H80" s="258"/>
      <c r="I80" s="253"/>
      <c r="J80" s="253"/>
      <c r="K80" s="253"/>
      <c r="L80" s="252"/>
      <c r="M80" s="252"/>
    </row>
    <row r="81" spans="1:13" x14ac:dyDescent="0.25">
      <c r="A81" s="252"/>
      <c r="B81" s="549"/>
      <c r="C81" s="252"/>
      <c r="D81" s="253"/>
      <c r="E81" s="253"/>
      <c r="F81" s="253"/>
      <c r="G81" s="549"/>
      <c r="H81" s="258"/>
      <c r="I81" s="253"/>
      <c r="J81" s="253"/>
      <c r="K81" s="253"/>
      <c r="L81" s="252"/>
      <c r="M81" s="252"/>
    </row>
    <row r="82" spans="1:13" x14ac:dyDescent="0.25">
      <c r="A82" s="252"/>
      <c r="B82" s="549"/>
      <c r="C82" s="252"/>
      <c r="D82" s="253"/>
      <c r="E82" s="253"/>
      <c r="F82" s="253"/>
      <c r="G82" s="549"/>
      <c r="H82" s="258"/>
      <c r="I82" s="253"/>
      <c r="J82" s="253"/>
      <c r="K82" s="253"/>
      <c r="L82" s="252"/>
      <c r="M82" s="252"/>
    </row>
    <row r="83" spans="1:13" x14ac:dyDescent="0.25">
      <c r="A83" s="252"/>
      <c r="B83" s="549"/>
      <c r="C83" s="252"/>
      <c r="D83" s="253"/>
      <c r="E83" s="253"/>
      <c r="F83" s="253"/>
      <c r="G83" s="549"/>
      <c r="H83" s="258"/>
      <c r="I83" s="253"/>
      <c r="J83" s="253"/>
      <c r="K83" s="253"/>
      <c r="L83" s="252"/>
      <c r="M83" s="252"/>
    </row>
    <row r="84" spans="1:13" x14ac:dyDescent="0.25">
      <c r="A84" s="252"/>
      <c r="B84" s="549"/>
      <c r="C84" s="252"/>
      <c r="D84" s="253"/>
      <c r="E84" s="253"/>
      <c r="F84" s="253"/>
      <c r="G84" s="549"/>
      <c r="H84" s="258"/>
      <c r="I84" s="253"/>
      <c r="J84" s="253"/>
      <c r="K84" s="253"/>
      <c r="L84" s="252"/>
      <c r="M84" s="252"/>
    </row>
    <row r="85" spans="1:13" x14ac:dyDescent="0.25">
      <c r="A85" s="252"/>
      <c r="B85" s="549"/>
      <c r="C85" s="252"/>
      <c r="D85" s="253"/>
      <c r="E85" s="253"/>
      <c r="F85" s="253"/>
      <c r="G85" s="549"/>
      <c r="H85" s="258"/>
      <c r="I85" s="253"/>
      <c r="J85" s="253"/>
      <c r="K85" s="253"/>
      <c r="L85" s="252"/>
      <c r="M85" s="252"/>
    </row>
    <row r="86" spans="1:13" x14ac:dyDescent="0.25">
      <c r="A86" s="252"/>
      <c r="B86" s="549"/>
      <c r="C86" s="252"/>
      <c r="D86" s="253"/>
      <c r="E86" s="253"/>
      <c r="F86" s="253"/>
      <c r="G86" s="549"/>
      <c r="H86" s="258"/>
      <c r="I86" s="253"/>
      <c r="J86" s="253"/>
      <c r="K86" s="253"/>
      <c r="L86" s="252"/>
      <c r="M86" s="252"/>
    </row>
    <row r="87" spans="1:13" x14ac:dyDescent="0.25">
      <c r="A87" s="252"/>
      <c r="B87" s="549"/>
      <c r="C87" s="252"/>
      <c r="D87" s="253"/>
      <c r="E87" s="253"/>
      <c r="F87" s="253"/>
      <c r="G87" s="549"/>
      <c r="H87" s="258"/>
      <c r="I87" s="253"/>
      <c r="J87" s="253"/>
      <c r="K87" s="253"/>
      <c r="L87" s="252"/>
      <c r="M87" s="252"/>
    </row>
    <row r="88" spans="1:13" x14ac:dyDescent="0.25">
      <c r="A88" s="252"/>
      <c r="B88" s="549"/>
      <c r="C88" s="252"/>
      <c r="D88" s="253"/>
      <c r="E88" s="253"/>
      <c r="F88" s="253"/>
      <c r="G88" s="549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193</v>
      </c>
      <c r="B90" s="550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2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2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2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2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352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2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2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2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2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2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2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2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2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2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2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2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2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2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2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2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2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2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2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2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2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2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2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2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2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2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2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2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2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2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2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2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2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2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2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2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2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4" priority="43">
      <formula>F33&gt;0</formula>
    </cfRule>
    <cfRule type="expression" dxfId="1433" priority="44">
      <formula>F33&lt;0</formula>
    </cfRule>
  </conditionalFormatting>
  <conditionalFormatting sqref="Q7">
    <cfRule type="expression" dxfId="1432" priority="41">
      <formula>Q7&gt;0</formula>
    </cfRule>
    <cfRule type="expression" dxfId="1431" priority="42">
      <formula>Q7&lt;0</formula>
    </cfRule>
  </conditionalFormatting>
  <conditionalFormatting sqref="Q8">
    <cfRule type="expression" dxfId="1430" priority="39">
      <formula>Q8&gt;0</formula>
    </cfRule>
    <cfRule type="expression" dxfId="1429" priority="40">
      <formula>Q8&lt;0</formula>
    </cfRule>
  </conditionalFormatting>
  <conditionalFormatting sqref="F29 F32">
    <cfRule type="expression" dxfId="1428" priority="37">
      <formula>F29&gt;0</formula>
    </cfRule>
    <cfRule type="expression" dxfId="1427" priority="38">
      <formula>F29&lt;0</formula>
    </cfRule>
  </conditionalFormatting>
  <conditionalFormatting sqref="H29 H32">
    <cfRule type="expression" dxfId="1426" priority="35">
      <formula>H29&gt;0</formula>
    </cfRule>
    <cfRule type="expression" dxfId="1425" priority="36">
      <formula>H29&lt;0</formula>
    </cfRule>
  </conditionalFormatting>
  <conditionalFormatting sqref="F30:F31">
    <cfRule type="expression" dxfId="1424" priority="33">
      <formula>F30&gt;0</formula>
    </cfRule>
    <cfRule type="expression" dxfId="1423" priority="34">
      <formula>F30&lt;0</formula>
    </cfRule>
  </conditionalFormatting>
  <conditionalFormatting sqref="H30:H31">
    <cfRule type="expression" dxfId="1422" priority="31">
      <formula>H30&gt;0</formula>
    </cfRule>
    <cfRule type="expression" dxfId="1421" priority="32">
      <formula>H30&lt;0</formula>
    </cfRule>
  </conditionalFormatting>
  <conditionalFormatting sqref="F105:F140 H105:H140">
    <cfRule type="expression" dxfId="1420" priority="29">
      <formula>F105&gt;0</formula>
    </cfRule>
    <cfRule type="expression" dxfId="1419" priority="30">
      <formula>F105&lt;0</formula>
    </cfRule>
  </conditionalFormatting>
  <conditionalFormatting sqref="F96:F99">
    <cfRule type="expression" dxfId="1418" priority="27">
      <formula>F96&gt;0</formula>
    </cfRule>
    <cfRule type="expression" dxfId="1417" priority="28">
      <formula>F96&lt;0</formula>
    </cfRule>
  </conditionalFormatting>
  <conditionalFormatting sqref="H96:H99">
    <cfRule type="expression" dxfId="1416" priority="25">
      <formula>H96&gt;0</formula>
    </cfRule>
    <cfRule type="expression" dxfId="1415" priority="26">
      <formula>H96&lt;0</formula>
    </cfRule>
  </conditionalFormatting>
  <conditionalFormatting sqref="F25:F28">
    <cfRule type="expression" dxfId="1414" priority="19">
      <formula>F25&gt;0</formula>
    </cfRule>
    <cfRule type="expression" dxfId="1413" priority="20">
      <formula>F25&lt;0</formula>
    </cfRule>
  </conditionalFormatting>
  <conditionalFormatting sqref="H25:H28">
    <cfRule type="expression" dxfId="1412" priority="17">
      <formula>H25&gt;0</formula>
    </cfRule>
    <cfRule type="expression" dxfId="1411" priority="18">
      <formula>H25&lt;0</formula>
    </cfRule>
  </conditionalFormatting>
  <conditionalFormatting sqref="J27">
    <cfRule type="expression" dxfId="1410" priority="15">
      <formula>J27&gt;0</formula>
    </cfRule>
    <cfRule type="expression" dxfId="1409" priority="16">
      <formula>J27&lt;0</formula>
    </cfRule>
  </conditionalFormatting>
  <conditionalFormatting sqref="F104">
    <cfRule type="expression" dxfId="1408" priority="13">
      <formula>F104&gt;0</formula>
    </cfRule>
    <cfRule type="expression" dxfId="1407" priority="14">
      <formula>F104&lt;0</formula>
    </cfRule>
  </conditionalFormatting>
  <conditionalFormatting sqref="H104">
    <cfRule type="expression" dxfId="1406" priority="11">
      <formula>H104&gt;0</formula>
    </cfRule>
    <cfRule type="expression" dxfId="1405" priority="12">
      <formula>H104&lt;0</formula>
    </cfRule>
  </conditionalFormatting>
  <conditionalFormatting sqref="F100:F103">
    <cfRule type="expression" dxfId="1404" priority="9">
      <formula>F100&gt;0</formula>
    </cfRule>
    <cfRule type="expression" dxfId="1403" priority="10">
      <formula>F100&lt;0</formula>
    </cfRule>
  </conditionalFormatting>
  <conditionalFormatting sqref="H100:H103">
    <cfRule type="expression" dxfId="1402" priority="7">
      <formula>H100&gt;0</formula>
    </cfRule>
    <cfRule type="expression" dxfId="1401" priority="8">
      <formula>H100&lt;0</formula>
    </cfRule>
  </conditionalFormatting>
  <conditionalFormatting sqref="J102">
    <cfRule type="expression" dxfId="1400" priority="5">
      <formula>J102&gt;0</formula>
    </cfRule>
    <cfRule type="expression" dxfId="1399" priority="6">
      <formula>J102&lt;0</formula>
    </cfRule>
  </conditionalFormatting>
  <conditionalFormatting sqref="Q10">
    <cfRule type="expression" dxfId="1398" priority="3">
      <formula>Q10&gt;0</formula>
    </cfRule>
    <cfRule type="expression" dxfId="1397" priority="4">
      <formula>Q10&lt;0</formula>
    </cfRule>
  </conditionalFormatting>
  <conditionalFormatting sqref="M71">
    <cfRule type="expression" dxfId="1396" priority="1">
      <formula>M71&gt;0</formula>
    </cfRule>
    <cfRule type="expression" dxfId="139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86.27</v>
      </c>
      <c r="R4" s="477">
        <v>1.2699999999999999E-2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6" t="s">
        <v>700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79.368399999999994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78.505700000000004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77.643000000000001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193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4" priority="33">
      <formula>F34&gt;0</formula>
    </cfRule>
    <cfRule type="expression" dxfId="1393" priority="34">
      <formula>F34&lt;0</formula>
    </cfRule>
  </conditionalFormatting>
  <conditionalFormatting sqref="Q7">
    <cfRule type="expression" dxfId="1392" priority="31">
      <formula>Q7&gt;0</formula>
    </cfRule>
    <cfRule type="expression" dxfId="1391" priority="32">
      <formula>Q7&lt;0</formula>
    </cfRule>
  </conditionalFormatting>
  <conditionalFormatting sqref="Q8">
    <cfRule type="expression" dxfId="1390" priority="29">
      <formula>Q8&gt;0</formula>
    </cfRule>
    <cfRule type="expression" dxfId="1389" priority="30">
      <formula>Q8&lt;0</formula>
    </cfRule>
  </conditionalFormatting>
  <conditionalFormatting sqref="F27:F33">
    <cfRule type="expression" dxfId="1388" priority="27">
      <formula>F27&gt;0</formula>
    </cfRule>
    <cfRule type="expression" dxfId="1387" priority="28">
      <formula>F27&lt;0</formula>
    </cfRule>
  </conditionalFormatting>
  <conditionalFormatting sqref="H27:H33">
    <cfRule type="expression" dxfId="1386" priority="25">
      <formula>H27&gt;0</formula>
    </cfRule>
    <cfRule type="expression" dxfId="1385" priority="26">
      <formula>H27&lt;0</formula>
    </cfRule>
  </conditionalFormatting>
  <conditionalFormatting sqref="M46">
    <cfRule type="expression" dxfId="1384" priority="23">
      <formula>M46&gt;0</formula>
    </cfRule>
    <cfRule type="expression" dxfId="1383" priority="24">
      <formula>M46&lt;0</formula>
    </cfRule>
  </conditionalFormatting>
  <conditionalFormatting sqref="F79:F87 H79:H87">
    <cfRule type="expression" dxfId="1382" priority="21">
      <formula>F79&gt;0</formula>
    </cfRule>
    <cfRule type="expression" dxfId="1381" priority="22">
      <formula>F79&lt;0</formula>
    </cfRule>
  </conditionalFormatting>
  <conditionalFormatting sqref="F73 F77:F78">
    <cfRule type="expression" dxfId="1380" priority="19">
      <formula>F73&gt;0</formula>
    </cfRule>
    <cfRule type="expression" dxfId="1379" priority="20">
      <formula>F73&lt;0</formula>
    </cfRule>
  </conditionalFormatting>
  <conditionalFormatting sqref="H73 H77:H78">
    <cfRule type="expression" dxfId="1378" priority="17">
      <formula>H73&gt;0</formula>
    </cfRule>
    <cfRule type="expression" dxfId="1377" priority="18">
      <formula>H73&lt;0</formula>
    </cfRule>
  </conditionalFormatting>
  <conditionalFormatting sqref="F70:F72">
    <cfRule type="expression" dxfId="1376" priority="15">
      <formula>F70&gt;0</formula>
    </cfRule>
    <cfRule type="expression" dxfId="1375" priority="16">
      <formula>F70&lt;0</formula>
    </cfRule>
  </conditionalFormatting>
  <conditionalFormatting sqref="H70:H72">
    <cfRule type="expression" dxfId="1374" priority="13">
      <formula>H70&gt;0</formula>
    </cfRule>
    <cfRule type="expression" dxfId="1373" priority="14">
      <formula>H70&lt;0</formula>
    </cfRule>
  </conditionalFormatting>
  <conditionalFormatting sqref="F25:F26">
    <cfRule type="expression" dxfId="1372" priority="11">
      <formula>F25&gt;0</formula>
    </cfRule>
    <cfRule type="expression" dxfId="1371" priority="12">
      <formula>F25&lt;0</formula>
    </cfRule>
  </conditionalFormatting>
  <conditionalFormatting sqref="H25:H26">
    <cfRule type="expression" dxfId="1370" priority="9">
      <formula>H25&gt;0</formula>
    </cfRule>
    <cfRule type="expression" dxfId="1369" priority="10">
      <formula>H25&lt;0</formula>
    </cfRule>
  </conditionalFormatting>
  <conditionalFormatting sqref="F76">
    <cfRule type="expression" dxfId="1368" priority="7">
      <formula>F76&gt;0</formula>
    </cfRule>
    <cfRule type="expression" dxfId="1367" priority="8">
      <formula>F76&lt;0</formula>
    </cfRule>
  </conditionalFormatting>
  <conditionalFormatting sqref="H76">
    <cfRule type="expression" dxfId="1366" priority="5">
      <formula>H76&gt;0</formula>
    </cfRule>
    <cfRule type="expression" dxfId="1365" priority="6">
      <formula>H76&lt;0</formula>
    </cfRule>
  </conditionalFormatting>
  <conditionalFormatting sqref="F74:F75">
    <cfRule type="expression" dxfId="1364" priority="3">
      <formula>F74&gt;0</formula>
    </cfRule>
    <cfRule type="expression" dxfId="1363" priority="4">
      <formula>F74&lt;0</formula>
    </cfRule>
  </conditionalFormatting>
  <conditionalFormatting sqref="H74:H75">
    <cfRule type="expression" dxfId="1362" priority="1">
      <formula>H74&gt;0</formula>
    </cfRule>
    <cfRule type="expression" dxfId="136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1009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168.32990000000001</v>
      </c>
      <c r="R4" s="497">
        <v>-3.8999999999999998E-3</v>
      </c>
      <c r="T4" s="774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10941.443500000001</v>
      </c>
    </row>
    <row r="6" spans="1:21" x14ac:dyDescent="0.25">
      <c r="B6" s="73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547.29349999999977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547.29349999999977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5.2653992870989902E-2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7.6041154898802881E-3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185.16289000000003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183.47959100000003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181.79629200000002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180.11299300000002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178.42969400000001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176.74639500000001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175.063096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173.37979700000002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171.69649800000002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170.01319900000001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4">
        <f t="shared" ref="H33:H37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168.32990000000001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166.646601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164.963302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163.28000299999999</v>
      </c>
    </row>
    <row r="37" spans="1:17" x14ac:dyDescent="0.25">
      <c r="B37" s="186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4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161.59670400000002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159.91340500000001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158.23010600000001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156.54680700000003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154.86350800000002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153.18020900000002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151.49691000000001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0" priority="37">
      <formula>F47&gt;0</formula>
    </cfRule>
    <cfRule type="expression" dxfId="1359" priority="38">
      <formula>F47&lt;0</formula>
    </cfRule>
  </conditionalFormatting>
  <conditionalFormatting sqref="Q7">
    <cfRule type="expression" dxfId="1358" priority="35">
      <formula>Q7&gt;0</formula>
    </cfRule>
    <cfRule type="expression" dxfId="1357" priority="36">
      <formula>Q7&lt;0</formula>
    </cfRule>
  </conditionalFormatting>
  <conditionalFormatting sqref="Q8">
    <cfRule type="expression" dxfId="1356" priority="33">
      <formula>Q8&gt;0</formula>
    </cfRule>
    <cfRule type="expression" dxfId="1355" priority="34">
      <formula>Q8&lt;0</formula>
    </cfRule>
  </conditionalFormatting>
  <conditionalFormatting sqref="F31:F46">
    <cfRule type="expression" dxfId="1354" priority="31">
      <formula>F31&gt;0</formula>
    </cfRule>
    <cfRule type="expression" dxfId="1353" priority="32">
      <formula>F31&lt;0</formula>
    </cfRule>
  </conditionalFormatting>
  <conditionalFormatting sqref="H31:H46">
    <cfRule type="expression" dxfId="1352" priority="29">
      <formula>H31&gt;0</formula>
    </cfRule>
    <cfRule type="expression" dxfId="1351" priority="30">
      <formula>H31&lt;0</formula>
    </cfRule>
  </conditionalFormatting>
  <conditionalFormatting sqref="Q10">
    <cfRule type="expression" dxfId="1350" priority="27">
      <formula>Q10&gt;0</formula>
    </cfRule>
    <cfRule type="expression" dxfId="1349" priority="28">
      <formula>Q10&lt;0</formula>
    </cfRule>
  </conditionalFormatting>
  <conditionalFormatting sqref="J25:J38">
    <cfRule type="expression" dxfId="1348" priority="25">
      <formula>J25&gt;0</formula>
    </cfRule>
    <cfRule type="expression" dxfId="1347" priority="26">
      <formula>J25&lt;0</formula>
    </cfRule>
  </conditionalFormatting>
  <conditionalFormatting sqref="K25:K38">
    <cfRule type="expression" dxfId="1346" priority="23">
      <formula>K25&gt;0</formula>
    </cfRule>
    <cfRule type="expression" dxfId="1345" priority="24">
      <formula>K25&lt;0</formula>
    </cfRule>
  </conditionalFormatting>
  <conditionalFormatting sqref="L25:L38">
    <cfRule type="expression" dxfId="1344" priority="21">
      <formula>L25&gt;0</formula>
    </cfRule>
    <cfRule type="expression" dxfId="1343" priority="22">
      <formula>L25&lt;0</formula>
    </cfRule>
  </conditionalFormatting>
  <conditionalFormatting sqref="F89:F110">
    <cfRule type="expression" dxfId="1342" priority="19">
      <formula>F89&gt;0</formula>
    </cfRule>
    <cfRule type="expression" dxfId="1341" priority="20">
      <formula>F89&lt;0</formula>
    </cfRule>
  </conditionalFormatting>
  <conditionalFormatting sqref="H89:H110">
    <cfRule type="expression" dxfId="1340" priority="17">
      <formula>H89&gt;0</formula>
    </cfRule>
    <cfRule type="expression" dxfId="1339" priority="18">
      <formula>H89&lt;0</formula>
    </cfRule>
  </conditionalFormatting>
  <conditionalFormatting sqref="J89:J102">
    <cfRule type="expression" dxfId="1338" priority="15">
      <formula>J89&gt;0</formula>
    </cfRule>
    <cfRule type="expression" dxfId="1337" priority="16">
      <formula>J89&lt;0</formula>
    </cfRule>
  </conditionalFormatting>
  <conditionalFormatting sqref="K89:K102">
    <cfRule type="expression" dxfId="1336" priority="13">
      <formula>K89&gt;0</formula>
    </cfRule>
    <cfRule type="expression" dxfId="1335" priority="14">
      <formula>K89&lt;0</formula>
    </cfRule>
  </conditionalFormatting>
  <conditionalFormatting sqref="L89:L102">
    <cfRule type="expression" dxfId="1334" priority="11">
      <formula>L89&gt;0</formula>
    </cfRule>
    <cfRule type="expression" dxfId="1333" priority="12">
      <formula>L89&lt;0</formula>
    </cfRule>
  </conditionalFormatting>
  <conditionalFormatting sqref="F25:F28">
    <cfRule type="expression" dxfId="1332" priority="9">
      <formula>F25&gt;0</formula>
    </cfRule>
    <cfRule type="expression" dxfId="1331" priority="10">
      <formula>F25&lt;0</formula>
    </cfRule>
  </conditionalFormatting>
  <conditionalFormatting sqref="H25:H28">
    <cfRule type="expression" dxfId="1330" priority="7">
      <formula>H25&gt;0</formula>
    </cfRule>
    <cfRule type="expression" dxfId="1329" priority="8">
      <formula>H25&lt;0</formula>
    </cfRule>
  </conditionalFormatting>
  <conditionalFormatting sqref="F29:F30">
    <cfRule type="expression" dxfId="1328" priority="3">
      <formula>F29&gt;0</formula>
    </cfRule>
    <cfRule type="expression" dxfId="1327" priority="4">
      <formula>F29&lt;0</formula>
    </cfRule>
  </conditionalFormatting>
  <conditionalFormatting sqref="H29:H30">
    <cfRule type="expression" dxfId="1326" priority="1">
      <formula>H29&gt;0</formula>
    </cfRule>
    <cfRule type="expression" dxfId="132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5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744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0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1036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0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09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65.989900000000006</v>
      </c>
      <c r="R4" s="497">
        <v>3.8E-3</v>
      </c>
      <c r="T4" s="1">
        <v>43114</v>
      </c>
      <c r="U4" t="s">
        <v>897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0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19796.97</v>
      </c>
      <c r="T5" s="1"/>
      <c r="U5" t="s">
        <v>898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0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0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-192.68000000000029</v>
      </c>
      <c r="R7">
        <v>200</v>
      </c>
      <c r="T7" s="1">
        <v>43187</v>
      </c>
      <c r="U7" t="s">
        <v>990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6"/>
      <c r="J8" s="3"/>
      <c r="K8" s="3"/>
      <c r="L8" s="4"/>
      <c r="M8" s="4"/>
      <c r="O8" s="11" t="s">
        <v>180</v>
      </c>
      <c r="P8" s="33"/>
      <c r="Q8" s="2">
        <f>K18+M18-F18+Q2*Q4</f>
        <v>-192.68000000000029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6"/>
      <c r="J9" s="3"/>
      <c r="K9" s="3"/>
      <c r="L9" s="4"/>
      <c r="M9" s="4"/>
      <c r="O9" s="11" t="s">
        <v>209</v>
      </c>
      <c r="Q9" s="134">
        <f>IF(Q2=0, 0, Q8/Q6)</f>
        <v>-9.6389881763812909E-3</v>
      </c>
      <c r="T9" s="1">
        <v>43212</v>
      </c>
      <c r="U9" t="s">
        <v>1038</v>
      </c>
      <c r="V9" s="134"/>
    </row>
    <row r="10" spans="1:22" x14ac:dyDescent="0.25">
      <c r="A10" t="s">
        <v>791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1039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2.4246134635754864E-2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958</v>
      </c>
      <c r="Q12" s="1" t="s">
        <v>1037</v>
      </c>
      <c r="T12" s="1">
        <v>43237</v>
      </c>
      <c r="U12" t="s">
        <v>1108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986</v>
      </c>
      <c r="Q13" s="2">
        <f>Q4/(5.85+6.05)*2</f>
        <v>11.090739495798321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1056</v>
      </c>
      <c r="Q14" s="29">
        <v>43226</v>
      </c>
      <c r="T14" s="1">
        <v>43242</v>
      </c>
      <c r="U14" t="s">
        <v>1092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6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193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797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72.588890000000006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71.928991000000011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986</v>
      </c>
      <c r="O24" s="81">
        <v>1.08</v>
      </c>
      <c r="P24" s="81">
        <f t="shared" si="2"/>
        <v>71.269092000000015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70.609193000000005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69.949294000000009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69.289395000000013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68.629496000000003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29"/>
      <c r="M29" s="729"/>
      <c r="O29" s="81">
        <v>1.03</v>
      </c>
      <c r="P29" s="81">
        <f t="shared" si="2"/>
        <v>67.969597000000007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29"/>
      <c r="O30" s="81">
        <v>1.02</v>
      </c>
      <c r="P30" s="81">
        <f t="shared" si="2"/>
        <v>67.309698000000012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29"/>
      <c r="M31" s="729"/>
      <c r="O31" s="81">
        <v>1.01</v>
      </c>
      <c r="P31" s="81">
        <f t="shared" si="2"/>
        <v>66.649799000000002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29"/>
      <c r="M32" s="729"/>
      <c r="O32" s="81">
        <v>1</v>
      </c>
      <c r="P32" s="81">
        <f t="shared" si="2"/>
        <v>65.989900000000006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771</v>
      </c>
      <c r="J33" s="39"/>
      <c r="K33" s="39"/>
      <c r="L33" s="729"/>
      <c r="M33" s="729"/>
      <c r="O33" s="81">
        <v>0.99</v>
      </c>
      <c r="P33" s="81">
        <f t="shared" si="2"/>
        <v>65.33000100000001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773</v>
      </c>
      <c r="J34" s="39"/>
      <c r="K34" s="39"/>
      <c r="L34" s="729"/>
      <c r="M34" s="729"/>
      <c r="O34" s="81">
        <v>0.98</v>
      </c>
      <c r="P34" s="81">
        <f t="shared" si="2"/>
        <v>64.670102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29"/>
      <c r="M35" s="729"/>
      <c r="O35" s="81">
        <v>0.97</v>
      </c>
      <c r="P35" s="81">
        <f t="shared" si="2"/>
        <v>64.010203000000004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778</v>
      </c>
      <c r="J36" s="39"/>
      <c r="K36" s="39"/>
      <c r="L36" s="729"/>
      <c r="M36" s="729"/>
      <c r="O36" s="81">
        <v>0.96</v>
      </c>
      <c r="P36" s="81">
        <f t="shared" si="2"/>
        <v>63.350304000000001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782</v>
      </c>
      <c r="J37" s="39"/>
      <c r="K37" s="39"/>
      <c r="L37" s="39"/>
      <c r="M37" s="39"/>
      <c r="O37" s="81">
        <v>0.95</v>
      </c>
      <c r="P37" s="81">
        <f t="shared" si="2"/>
        <v>62.690405000000005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789</v>
      </c>
      <c r="J38" s="39"/>
      <c r="K38" s="39"/>
      <c r="L38" s="39"/>
      <c r="M38" s="39"/>
      <c r="O38" s="81">
        <v>0.94</v>
      </c>
      <c r="P38" s="81">
        <f t="shared" si="2"/>
        <v>62.030506000000003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854</v>
      </c>
      <c r="J39" s="39"/>
      <c r="K39" s="39"/>
      <c r="L39" s="39"/>
      <c r="M39" s="39"/>
      <c r="O39" s="81">
        <v>0.93</v>
      </c>
      <c r="P39" s="81">
        <f t="shared" si="2"/>
        <v>61.370607000000007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860</v>
      </c>
      <c r="J40" s="39"/>
      <c r="K40" s="39"/>
      <c r="L40" s="39"/>
      <c r="M40" s="39"/>
      <c r="O40" s="81">
        <v>0.92</v>
      </c>
      <c r="P40" s="81">
        <f t="shared" si="2"/>
        <v>60.710708000000011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60.050809000000008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59.390910000000005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966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967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8" si="42">C55*(E55-D55)</f>
        <v>-380.00000000000114</v>
      </c>
      <c r="G55" s="39">
        <f t="shared" ref="G55:G58" si="43">D55*C55</f>
        <v>13802.000000000002</v>
      </c>
      <c r="H55" s="224">
        <f t="shared" ref="H55:H58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>
        <v>200</v>
      </c>
      <c r="B58" s="186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4">
        <f t="shared" si="44"/>
        <v>-1.3357346540597339E-2</v>
      </c>
      <c r="I58" s="195"/>
      <c r="J58" s="39"/>
      <c r="K58" s="39"/>
      <c r="L58" s="39"/>
      <c r="M58" s="39">
        <v>11.05</v>
      </c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798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V67" s="134"/>
    </row>
    <row r="68" spans="1:22" x14ac:dyDescent="0.25">
      <c r="A68" s="514" t="s">
        <v>743</v>
      </c>
      <c r="B68" s="498"/>
      <c r="C68" s="499"/>
      <c r="D68" s="501"/>
      <c r="E68" s="501"/>
      <c r="F68" s="501"/>
      <c r="G68" s="498"/>
      <c r="H68" s="515"/>
      <c r="I68" s="799"/>
      <c r="J68" s="501"/>
      <c r="K68" s="501"/>
      <c r="L68" s="498"/>
      <c r="M68" s="501"/>
      <c r="V68" s="134"/>
    </row>
    <row r="69" spans="1:22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799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5"/>
      <c r="I70" s="799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5"/>
      <c r="I71" s="799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5"/>
      <c r="I72" s="799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5"/>
      <c r="I73" s="799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5"/>
      <c r="I74" s="799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5"/>
      <c r="I75" s="799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5"/>
      <c r="I76" s="799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5"/>
      <c r="I77" s="799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5"/>
      <c r="I78" s="799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5"/>
      <c r="I79" s="799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5"/>
      <c r="I80" s="799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799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799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799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800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801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4" priority="21">
      <formula>Q7&gt;0</formula>
    </cfRule>
    <cfRule type="expression" dxfId="1323" priority="22">
      <formula>Q7&lt;0</formula>
    </cfRule>
  </conditionalFormatting>
  <conditionalFormatting sqref="Q8">
    <cfRule type="expression" dxfId="1322" priority="19">
      <formula>Q8&gt;0</formula>
    </cfRule>
    <cfRule type="expression" dxfId="1321" priority="20">
      <formula>Q8&lt;0</formula>
    </cfRule>
  </conditionalFormatting>
  <conditionalFormatting sqref="F25:F64">
    <cfRule type="expression" dxfId="1320" priority="17">
      <formula>F25&gt;0</formula>
    </cfRule>
    <cfRule type="expression" dxfId="1319" priority="18">
      <formula>F25&lt;0</formula>
    </cfRule>
  </conditionalFormatting>
  <conditionalFormatting sqref="H25:H64">
    <cfRule type="expression" dxfId="1318" priority="15">
      <formula>H25&gt;0</formula>
    </cfRule>
    <cfRule type="expression" dxfId="1317" priority="16">
      <formula>H25&lt;0</formula>
    </cfRule>
  </conditionalFormatting>
  <conditionalFormatting sqref="F89:F110">
    <cfRule type="expression" dxfId="1316" priority="13">
      <formula>F89&gt;0</formula>
    </cfRule>
    <cfRule type="expression" dxfId="1315" priority="14">
      <formula>F89&lt;0</formula>
    </cfRule>
  </conditionalFormatting>
  <conditionalFormatting sqref="H89:H110">
    <cfRule type="expression" dxfId="1314" priority="11">
      <formula>H89&gt;0</formula>
    </cfRule>
    <cfRule type="expression" dxfId="1313" priority="12">
      <formula>H89&lt;0</formula>
    </cfRule>
  </conditionalFormatting>
  <conditionalFormatting sqref="Q10">
    <cfRule type="expression" dxfId="1312" priority="9">
      <formula>Q10&gt;0</formula>
    </cfRule>
    <cfRule type="expression" dxfId="1311" priority="10">
      <formula>Q10&lt;0</formula>
    </cfRule>
  </conditionalFormatting>
  <conditionalFormatting sqref="J25:J38">
    <cfRule type="expression" dxfId="1310" priority="7">
      <formula>J25&gt;0</formula>
    </cfRule>
    <cfRule type="expression" dxfId="1309" priority="8">
      <formula>J25&lt;0</formula>
    </cfRule>
  </conditionalFormatting>
  <conditionalFormatting sqref="K25:K38">
    <cfRule type="expression" dxfId="1308" priority="5">
      <formula>K25&gt;0</formula>
    </cfRule>
    <cfRule type="expression" dxfId="1307" priority="6">
      <formula>K25&lt;0</formula>
    </cfRule>
  </conditionalFormatting>
  <conditionalFormatting sqref="L25:L29 L31:L38">
    <cfRule type="expression" dxfId="1306" priority="3">
      <formula>L25&gt;0</formula>
    </cfRule>
    <cfRule type="expression" dxfId="1305" priority="4">
      <formula>L25&lt;0</formula>
    </cfRule>
  </conditionalFormatting>
  <conditionalFormatting sqref="M25:M38">
    <cfRule type="expression" dxfId="1304" priority="1">
      <formula>M25&gt;0</formula>
    </cfRule>
    <cfRule type="expression" dxfId="1303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646.29999999999995</v>
      </c>
      <c r="R4" s="497">
        <v>-2.5000000000000001E-3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743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8</v>
      </c>
      <c r="D84" s="519"/>
      <c r="E84" s="519"/>
      <c r="F84" s="519">
        <f>SUM(F68:F72)</f>
        <v>4304</v>
      </c>
      <c r="G84" s="518"/>
      <c r="H84" s="540">
        <f>SUM(H68:H71)</f>
        <v>8</v>
      </c>
      <c r="I84" s="519"/>
      <c r="J84" s="519"/>
      <c r="K84" s="519">
        <f>SUM(K68:K71)</f>
        <v>4863.8900000000003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2" priority="21">
      <formula>F47&gt;0</formula>
    </cfRule>
    <cfRule type="expression" dxfId="1301" priority="22">
      <formula>F47&lt;0</formula>
    </cfRule>
  </conditionalFormatting>
  <conditionalFormatting sqref="Q7">
    <cfRule type="expression" dxfId="1300" priority="19">
      <formula>Q7&gt;0</formula>
    </cfRule>
    <cfRule type="expression" dxfId="1299" priority="20">
      <formula>Q7&lt;0</formula>
    </cfRule>
  </conditionalFormatting>
  <conditionalFormatting sqref="Q8">
    <cfRule type="expression" dxfId="1298" priority="17">
      <formula>Q8&gt;0</formula>
    </cfRule>
    <cfRule type="expression" dxfId="1297" priority="18">
      <formula>Q8&lt;0</formula>
    </cfRule>
  </conditionalFormatting>
  <conditionalFormatting sqref="F25:F46">
    <cfRule type="expression" dxfId="1296" priority="15">
      <formula>F25&gt;0</formula>
    </cfRule>
    <cfRule type="expression" dxfId="1295" priority="16">
      <formula>F25&lt;0</formula>
    </cfRule>
  </conditionalFormatting>
  <conditionalFormatting sqref="H25:H46">
    <cfRule type="expression" dxfId="1294" priority="13">
      <formula>H25&gt;0</formula>
    </cfRule>
    <cfRule type="expression" dxfId="1293" priority="14">
      <formula>H25&lt;0</formula>
    </cfRule>
  </conditionalFormatting>
  <conditionalFormatting sqref="F89:F110">
    <cfRule type="expression" dxfId="1292" priority="11">
      <formula>F89&gt;0</formula>
    </cfRule>
    <cfRule type="expression" dxfId="1291" priority="12">
      <formula>F89&lt;0</formula>
    </cfRule>
  </conditionalFormatting>
  <conditionalFormatting sqref="H89:H110">
    <cfRule type="expression" dxfId="1290" priority="9">
      <formula>H89&gt;0</formula>
    </cfRule>
    <cfRule type="expression" dxfId="1289" priority="10">
      <formula>H89&lt;0</formula>
    </cfRule>
  </conditionalFormatting>
  <conditionalFormatting sqref="Q10">
    <cfRule type="expression" dxfId="1288" priority="7">
      <formula>Q10&gt;0</formula>
    </cfRule>
    <cfRule type="expression" dxfId="1287" priority="8">
      <formula>Q10&lt;0</formula>
    </cfRule>
  </conditionalFormatting>
  <conditionalFormatting sqref="J25:J38">
    <cfRule type="expression" dxfId="1286" priority="5">
      <formula>J25&gt;0</formula>
    </cfRule>
    <cfRule type="expression" dxfId="1285" priority="6">
      <formula>J25&lt;0</formula>
    </cfRule>
  </conditionalFormatting>
  <conditionalFormatting sqref="K25:K38">
    <cfRule type="expression" dxfId="1284" priority="3">
      <formula>K25&gt;0</formula>
    </cfRule>
    <cfRule type="expression" dxfId="1283" priority="4">
      <formula>K25&lt;0</formula>
    </cfRule>
  </conditionalFormatting>
  <conditionalFormatting sqref="L25:L38">
    <cfRule type="expression" dxfId="1282" priority="1">
      <formula>L25&gt;0</formula>
    </cfRule>
    <cfRule type="expression" dxfId="12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1002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43.929900000000004</v>
      </c>
      <c r="R4" s="497">
        <v>-5.0000000000000001E-3</v>
      </c>
      <c r="T4" s="774"/>
      <c r="U4" s="30" t="s">
        <v>1003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8785.9800000000014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1217.9300000000012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1217.9300000000012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0.16093049068121926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3.1413684073945077E-2</v>
      </c>
      <c r="R11">
        <f>0.345</f>
        <v>0.34499999999999997</v>
      </c>
    </row>
    <row r="12" spans="1:21" x14ac:dyDescent="0.25">
      <c r="H12" s="70"/>
      <c r="O12" s="11" t="s">
        <v>958</v>
      </c>
      <c r="Q12" s="1" t="s">
        <v>1105</v>
      </c>
    </row>
    <row r="13" spans="1:21" x14ac:dyDescent="0.25">
      <c r="H13" s="70"/>
      <c r="O13" s="11" t="s">
        <v>986</v>
      </c>
      <c r="Q13">
        <f>Q4/4.4</f>
        <v>9.9840681818181825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48.322890000000008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47.88359100000001</v>
      </c>
    </row>
    <row r="19" spans="1:16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69</v>
      </c>
      <c r="O19" s="81">
        <v>1.08</v>
      </c>
      <c r="P19" s="81">
        <f t="shared" si="2"/>
        <v>47.444292000000004</v>
      </c>
    </row>
    <row r="20" spans="1:16" x14ac:dyDescent="0.25">
      <c r="O20" s="81">
        <v>1.07</v>
      </c>
      <c r="P20" s="81">
        <f t="shared" si="2"/>
        <v>47.004993000000006</v>
      </c>
    </row>
    <row r="21" spans="1:16" x14ac:dyDescent="0.25">
      <c r="O21" s="81">
        <v>1.06</v>
      </c>
      <c r="P21" s="81">
        <f t="shared" si="2"/>
        <v>46.565694000000008</v>
      </c>
    </row>
    <row r="22" spans="1:16" x14ac:dyDescent="0.25">
      <c r="O22" s="81">
        <v>1.05</v>
      </c>
      <c r="P22" s="81">
        <f t="shared" si="2"/>
        <v>46.126395000000002</v>
      </c>
    </row>
    <row r="23" spans="1:16" x14ac:dyDescent="0.25">
      <c r="O23" s="81">
        <v>1.04</v>
      </c>
      <c r="P23" s="81">
        <f t="shared" si="2"/>
        <v>45.687096000000004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1.03</v>
      </c>
      <c r="P24" s="81">
        <f t="shared" si="2"/>
        <v>45.247797000000006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44.808498000000007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44.369199000000002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43.929900000000004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43.490601000000005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43.051302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42.612003000000001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42.172704000000003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41.733405000000005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41.294105999999999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40.854807000000008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40.415508000000003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39.976209000000004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39.536910000000006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0" priority="35">
      <formula>F47&gt;0</formula>
    </cfRule>
    <cfRule type="expression" dxfId="1279" priority="36">
      <formula>F47&lt;0</formula>
    </cfRule>
  </conditionalFormatting>
  <conditionalFormatting sqref="Q7">
    <cfRule type="expression" dxfId="1278" priority="33">
      <formula>Q7&gt;0</formula>
    </cfRule>
    <cfRule type="expression" dxfId="1277" priority="34">
      <formula>Q7&lt;0</formula>
    </cfRule>
  </conditionalFormatting>
  <conditionalFormatting sqref="Q8">
    <cfRule type="expression" dxfId="1276" priority="31">
      <formula>Q8&gt;0</formula>
    </cfRule>
    <cfRule type="expression" dxfId="1275" priority="32">
      <formula>Q8&lt;0</formula>
    </cfRule>
  </conditionalFormatting>
  <conditionalFormatting sqref="F33:F46">
    <cfRule type="expression" dxfId="1274" priority="29">
      <formula>F33&gt;0</formula>
    </cfRule>
    <cfRule type="expression" dxfId="1273" priority="30">
      <formula>F33&lt;0</formula>
    </cfRule>
  </conditionalFormatting>
  <conditionalFormatting sqref="H33:H46">
    <cfRule type="expression" dxfId="1272" priority="27">
      <formula>H33&gt;0</formula>
    </cfRule>
    <cfRule type="expression" dxfId="1271" priority="28">
      <formula>H33&lt;0</formula>
    </cfRule>
  </conditionalFormatting>
  <conditionalFormatting sqref="Q10">
    <cfRule type="expression" dxfId="1270" priority="25">
      <formula>Q10&gt;0</formula>
    </cfRule>
    <cfRule type="expression" dxfId="1269" priority="26">
      <formula>Q10&lt;0</formula>
    </cfRule>
  </conditionalFormatting>
  <conditionalFormatting sqref="J25:J38">
    <cfRule type="expression" dxfId="1268" priority="23">
      <formula>J25&gt;0</formula>
    </cfRule>
    <cfRule type="expression" dxfId="1267" priority="24">
      <formula>J25&lt;0</formula>
    </cfRule>
  </conditionalFormatting>
  <conditionalFormatting sqref="K25:K38">
    <cfRule type="expression" dxfId="1266" priority="21">
      <formula>K25&gt;0</formula>
    </cfRule>
    <cfRule type="expression" dxfId="1265" priority="22">
      <formula>K25&lt;0</formula>
    </cfRule>
  </conditionalFormatting>
  <conditionalFormatting sqref="L25">
    <cfRule type="expression" dxfId="1264" priority="19">
      <formula>L25&gt;0</formula>
    </cfRule>
    <cfRule type="expression" dxfId="1263" priority="20">
      <formula>L25&lt;0</formula>
    </cfRule>
  </conditionalFormatting>
  <conditionalFormatting sqref="F89:F110">
    <cfRule type="expression" dxfId="1262" priority="17">
      <formula>F89&gt;0</formula>
    </cfRule>
    <cfRule type="expression" dxfId="1261" priority="18">
      <formula>F89&lt;0</formula>
    </cfRule>
  </conditionalFormatting>
  <conditionalFormatting sqref="H89:H110">
    <cfRule type="expression" dxfId="1260" priority="15">
      <formula>H89&gt;0</formula>
    </cfRule>
    <cfRule type="expression" dxfId="1259" priority="16">
      <formula>H89&lt;0</formula>
    </cfRule>
  </conditionalFormatting>
  <conditionalFormatting sqref="J89:J102">
    <cfRule type="expression" dxfId="1258" priority="13">
      <formula>J89&gt;0</formula>
    </cfRule>
    <cfRule type="expression" dxfId="1257" priority="14">
      <formula>J89&lt;0</formula>
    </cfRule>
  </conditionalFormatting>
  <conditionalFormatting sqref="K89:K102">
    <cfRule type="expression" dxfId="1256" priority="11">
      <formula>K89&gt;0</formula>
    </cfRule>
    <cfRule type="expression" dxfId="1255" priority="12">
      <formula>K89&lt;0</formula>
    </cfRule>
  </conditionalFormatting>
  <conditionalFormatting sqref="L89:L102">
    <cfRule type="expression" dxfId="1254" priority="9">
      <formula>L89&gt;0</formula>
    </cfRule>
    <cfRule type="expression" dxfId="1253" priority="10">
      <formula>L89&lt;0</formula>
    </cfRule>
  </conditionalFormatting>
  <conditionalFormatting sqref="F29:F32">
    <cfRule type="expression" dxfId="1252" priority="7">
      <formula>F29&gt;0</formula>
    </cfRule>
    <cfRule type="expression" dxfId="1251" priority="8">
      <formula>F29&lt;0</formula>
    </cfRule>
  </conditionalFormatting>
  <conditionalFormatting sqref="H29:H32">
    <cfRule type="expression" dxfId="1250" priority="5">
      <formula>H29&gt;0</formula>
    </cfRule>
    <cfRule type="expression" dxfId="1249" priority="6">
      <formula>H29&lt;0</formula>
    </cfRule>
  </conditionalFormatting>
  <conditionalFormatting sqref="F25:F28">
    <cfRule type="expression" dxfId="1248" priority="3">
      <formula>F25&gt;0</formula>
    </cfRule>
    <cfRule type="expression" dxfId="1247" priority="4">
      <formula>F25&lt;0</formula>
    </cfRule>
  </conditionalFormatting>
  <conditionalFormatting sqref="H25:H28">
    <cfRule type="expression" dxfId="1246" priority="1">
      <formula>H25&gt;0</formula>
    </cfRule>
    <cfRule type="expression" dxfId="12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213.51</v>
      </c>
      <c r="R4" s="497">
        <v>-2.1600000000000001E-2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1008</v>
      </c>
      <c r="Q12" s="29" t="s">
        <v>1059</v>
      </c>
    </row>
    <row r="13" spans="1:21" x14ac:dyDescent="0.25">
      <c r="H13" s="70"/>
      <c r="O13" s="11" t="s">
        <v>986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3960</v>
      </c>
      <c r="G19" s="345"/>
      <c r="H19" s="345">
        <f>SumByColor($A$19,H2:H17)</f>
        <v>20</v>
      </c>
      <c r="I19" s="345"/>
      <c r="J19" s="345"/>
      <c r="K19" s="346">
        <f>SumByColor($A$19,K2:K17)</f>
        <v>4098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4" priority="31">
      <formula>F47&gt;0</formula>
    </cfRule>
    <cfRule type="expression" dxfId="1243" priority="32">
      <formula>F47&lt;0</formula>
    </cfRule>
  </conditionalFormatting>
  <conditionalFormatting sqref="Q7">
    <cfRule type="expression" dxfId="1242" priority="29">
      <formula>Q7&gt;0</formula>
    </cfRule>
    <cfRule type="expression" dxfId="1241" priority="30">
      <formula>Q7&lt;0</formula>
    </cfRule>
  </conditionalFormatting>
  <conditionalFormatting sqref="Q8">
    <cfRule type="expression" dxfId="1240" priority="27">
      <formula>Q8&gt;0</formula>
    </cfRule>
    <cfRule type="expression" dxfId="1239" priority="28">
      <formula>Q8&lt;0</formula>
    </cfRule>
  </conditionalFormatting>
  <conditionalFormatting sqref="F30:F46">
    <cfRule type="expression" dxfId="1238" priority="25">
      <formula>F30&gt;0</formula>
    </cfRule>
    <cfRule type="expression" dxfId="1237" priority="26">
      <formula>F30&lt;0</formula>
    </cfRule>
  </conditionalFormatting>
  <conditionalFormatting sqref="H30:H46">
    <cfRule type="expression" dxfId="1236" priority="23">
      <formula>H30&gt;0</formula>
    </cfRule>
    <cfRule type="expression" dxfId="1235" priority="24">
      <formula>H30&lt;0</formula>
    </cfRule>
  </conditionalFormatting>
  <conditionalFormatting sqref="Q10">
    <cfRule type="expression" dxfId="1234" priority="21">
      <formula>Q10&gt;0</formula>
    </cfRule>
    <cfRule type="expression" dxfId="1233" priority="22">
      <formula>Q10&lt;0</formula>
    </cfRule>
  </conditionalFormatting>
  <conditionalFormatting sqref="J25:J38">
    <cfRule type="expression" dxfId="1232" priority="19">
      <formula>J25&gt;0</formula>
    </cfRule>
    <cfRule type="expression" dxfId="1231" priority="20">
      <formula>J25&lt;0</formula>
    </cfRule>
  </conditionalFormatting>
  <conditionalFormatting sqref="K25:K38">
    <cfRule type="expression" dxfId="1230" priority="17">
      <formula>K25&gt;0</formula>
    </cfRule>
    <cfRule type="expression" dxfId="1229" priority="18">
      <formula>K25&lt;0</formula>
    </cfRule>
  </conditionalFormatting>
  <conditionalFormatting sqref="L25:L38">
    <cfRule type="expression" dxfId="1228" priority="15">
      <formula>L25&gt;0</formula>
    </cfRule>
    <cfRule type="expression" dxfId="1227" priority="16">
      <formula>L25&lt;0</formula>
    </cfRule>
  </conditionalFormatting>
  <conditionalFormatting sqref="F89:F110">
    <cfRule type="expression" dxfId="1226" priority="13">
      <formula>F89&gt;0</formula>
    </cfRule>
    <cfRule type="expression" dxfId="1225" priority="14">
      <formula>F89&lt;0</formula>
    </cfRule>
  </conditionalFormatting>
  <conditionalFormatting sqref="H89:H110">
    <cfRule type="expression" dxfId="1224" priority="11">
      <formula>H89&gt;0</formula>
    </cfRule>
    <cfRule type="expression" dxfId="1223" priority="12">
      <formula>H89&lt;0</formula>
    </cfRule>
  </conditionalFormatting>
  <conditionalFormatting sqref="J89:J102">
    <cfRule type="expression" dxfId="1222" priority="9">
      <formula>J89&gt;0</formula>
    </cfRule>
    <cfRule type="expression" dxfId="1221" priority="10">
      <formula>J89&lt;0</formula>
    </cfRule>
  </conditionalFormatting>
  <conditionalFormatting sqref="K89:K102">
    <cfRule type="expression" dxfId="1220" priority="7">
      <formula>K89&gt;0</formula>
    </cfRule>
    <cfRule type="expression" dxfId="1219" priority="8">
      <formula>K89&lt;0</formula>
    </cfRule>
  </conditionalFormatting>
  <conditionalFormatting sqref="L89:L102">
    <cfRule type="expression" dxfId="1218" priority="5">
      <formula>L89&gt;0</formula>
    </cfRule>
    <cfRule type="expression" dxfId="1217" priority="6">
      <formula>L89&lt;0</formula>
    </cfRule>
  </conditionalFormatting>
  <conditionalFormatting sqref="F25:F29">
    <cfRule type="expression" dxfId="1216" priority="3">
      <formula>F25&gt;0</formula>
    </cfRule>
    <cfRule type="expression" dxfId="1215" priority="4">
      <formula>F25&lt;0</formula>
    </cfRule>
  </conditionalFormatting>
  <conditionalFormatting sqref="H25:H29">
    <cfRule type="expression" dxfId="1214" priority="1">
      <formula>H25&gt;0</formula>
    </cfRule>
    <cfRule type="expression" dxfId="12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1071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58.059899999999999</v>
      </c>
      <c r="R4" s="497">
        <v>-2.0799999999999999E-2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5805.99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-628.76000000000022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-628.76000000000022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-9.7713197870935187E-2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4.3058978744365733E-2</v>
      </c>
      <c r="R11">
        <f>0.625</f>
        <v>0.625</v>
      </c>
    </row>
    <row r="12" spans="1:21" x14ac:dyDescent="0.25">
      <c r="H12" s="70"/>
      <c r="O12" s="11" t="s">
        <v>1024</v>
      </c>
      <c r="Q12" s="1"/>
    </row>
    <row r="13" spans="1:21" x14ac:dyDescent="0.25">
      <c r="H13" s="70"/>
      <c r="O13" s="11" t="s">
        <v>986</v>
      </c>
      <c r="Q13">
        <f>Q4/3.79</f>
        <v>15.319234828496041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1" si="13">C29*(E29-D29)</f>
        <v>-364.74999999999937</v>
      </c>
      <c r="G29" s="39">
        <f t="shared" ref="G29:G31" si="14">D29*C29</f>
        <v>6434.75</v>
      </c>
      <c r="H29" s="224">
        <f t="shared" ref="H29:H31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4">
        <f t="shared" si="15"/>
        <v>-8.2517482517482449E-2</v>
      </c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63.865890000000007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63.285291000000001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62.704692000000001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62.124093000000002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61.543494000000003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60.962895000000003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60.382296000000004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59.801696999999997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59.221097999999998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58.640498999999998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58.059899999999999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57.479301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56.898702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56.318103000000001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55.737503999999994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55.156904999999995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54.576305999999995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53.995707000000003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53.415108000000004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52.834509000000004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52.253909999999998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2" priority="31">
      <formula>F47&gt;0</formula>
    </cfRule>
    <cfRule type="expression" dxfId="1211" priority="32">
      <formula>F47&lt;0</formula>
    </cfRule>
  </conditionalFormatting>
  <conditionalFormatting sqref="Q7">
    <cfRule type="expression" dxfId="1210" priority="29">
      <formula>Q7&gt;0</formula>
    </cfRule>
    <cfRule type="expression" dxfId="1209" priority="30">
      <formula>Q7&lt;0</formula>
    </cfRule>
  </conditionalFormatting>
  <conditionalFormatting sqref="Q8">
    <cfRule type="expression" dxfId="1208" priority="27">
      <formula>Q8&gt;0</formula>
    </cfRule>
    <cfRule type="expression" dxfId="1207" priority="28">
      <formula>Q8&lt;0</formula>
    </cfRule>
  </conditionalFormatting>
  <conditionalFormatting sqref="F30:F46">
    <cfRule type="expression" dxfId="1206" priority="25">
      <formula>F30&gt;0</formula>
    </cfRule>
    <cfRule type="expression" dxfId="1205" priority="26">
      <formula>F30&lt;0</formula>
    </cfRule>
  </conditionalFormatting>
  <conditionalFormatting sqref="H30:H46">
    <cfRule type="expression" dxfId="1204" priority="23">
      <formula>H30&gt;0</formula>
    </cfRule>
    <cfRule type="expression" dxfId="1203" priority="24">
      <formula>H30&lt;0</formula>
    </cfRule>
  </conditionalFormatting>
  <conditionalFormatting sqref="Q10">
    <cfRule type="expression" dxfId="1202" priority="21">
      <formula>Q10&gt;0</formula>
    </cfRule>
    <cfRule type="expression" dxfId="1201" priority="22">
      <formula>Q10&lt;0</formula>
    </cfRule>
  </conditionalFormatting>
  <conditionalFormatting sqref="J25:J38">
    <cfRule type="expression" dxfId="1200" priority="19">
      <formula>J25&gt;0</formula>
    </cfRule>
    <cfRule type="expression" dxfId="1199" priority="20">
      <formula>J25&lt;0</formula>
    </cfRule>
  </conditionalFormatting>
  <conditionalFormatting sqref="K25:K38">
    <cfRule type="expression" dxfId="1198" priority="17">
      <formula>K25&gt;0</formula>
    </cfRule>
    <cfRule type="expression" dxfId="1197" priority="18">
      <formula>K25&lt;0</formula>
    </cfRule>
  </conditionalFormatting>
  <conditionalFormatting sqref="L25:L38">
    <cfRule type="expression" dxfId="1196" priority="15">
      <formula>L25&gt;0</formula>
    </cfRule>
    <cfRule type="expression" dxfId="1195" priority="16">
      <formula>L25&lt;0</formula>
    </cfRule>
  </conditionalFormatting>
  <conditionalFormatting sqref="F89:F110">
    <cfRule type="expression" dxfId="1194" priority="13">
      <formula>F89&gt;0</formula>
    </cfRule>
    <cfRule type="expression" dxfId="1193" priority="14">
      <formula>F89&lt;0</formula>
    </cfRule>
  </conditionalFormatting>
  <conditionalFormatting sqref="H89:H110">
    <cfRule type="expression" dxfId="1192" priority="11">
      <formula>H89&gt;0</formula>
    </cfRule>
    <cfRule type="expression" dxfId="1191" priority="12">
      <formula>H89&lt;0</formula>
    </cfRule>
  </conditionalFormatting>
  <conditionalFormatting sqref="J89:J102">
    <cfRule type="expression" dxfId="1190" priority="9">
      <formula>J89&gt;0</formula>
    </cfRule>
    <cfRule type="expression" dxfId="1189" priority="10">
      <formula>J89&lt;0</formula>
    </cfRule>
  </conditionalFormatting>
  <conditionalFormatting sqref="K89:K102">
    <cfRule type="expression" dxfId="1188" priority="7">
      <formula>K89&gt;0</formula>
    </cfRule>
    <cfRule type="expression" dxfId="1187" priority="8">
      <formula>K89&lt;0</formula>
    </cfRule>
  </conditionalFormatting>
  <conditionalFormatting sqref="L89:L102">
    <cfRule type="expression" dxfId="1186" priority="5">
      <formula>L89&gt;0</formula>
    </cfRule>
    <cfRule type="expression" dxfId="1185" priority="6">
      <formula>L89&lt;0</formula>
    </cfRule>
  </conditionalFormatting>
  <conditionalFormatting sqref="F25:F29">
    <cfRule type="expression" dxfId="1184" priority="3">
      <formula>F25&gt;0</formula>
    </cfRule>
    <cfRule type="expression" dxfId="1183" priority="4">
      <formula>F25&lt;0</formula>
    </cfRule>
  </conditionalFormatting>
  <conditionalFormatting sqref="H25:H29">
    <cfRule type="expression" dxfId="1182" priority="1">
      <formula>H25&gt;0</formula>
    </cfRule>
    <cfRule type="expression" dxfId="11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6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938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29.286733333333327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31.99</v>
      </c>
      <c r="R4" s="497">
        <v>2.9999999999999997E-4</v>
      </c>
      <c r="T4" s="774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9597</v>
      </c>
    </row>
    <row r="6" spans="1:21" x14ac:dyDescent="0.25">
      <c r="B6" s="72"/>
      <c r="C6" s="7">
        <v>200</v>
      </c>
      <c r="D6" s="3">
        <v>31.48</v>
      </c>
      <c r="E6" s="3">
        <v>0</v>
      </c>
      <c r="F6" s="3">
        <f t="shared" si="0"/>
        <v>6296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8786.0199999999986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810.98000000000138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810.98000000000138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9.2303454806613408E-2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8.2525789309159117E-2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35.189</v>
      </c>
    </row>
    <row r="18" spans="1:16" x14ac:dyDescent="0.25">
      <c r="A18" s="31" t="s">
        <v>81</v>
      </c>
      <c r="B18" s="14"/>
      <c r="C18" s="14">
        <f>SUM(C2:C8)</f>
        <v>700</v>
      </c>
      <c r="D18" s="18"/>
      <c r="E18" s="18"/>
      <c r="F18" s="18">
        <f>SUM(F2:F8)</f>
        <v>21754.5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34.869100000000003</v>
      </c>
    </row>
    <row r="19" spans="1:16" ht="15.75" thickBot="1" x14ac:dyDescent="0.3">
      <c r="A19" s="343" t="s">
        <v>193</v>
      </c>
      <c r="B19" s="344"/>
      <c r="C19" s="345">
        <f>SumByColor($A$19,C2:C17)</f>
        <v>600</v>
      </c>
      <c r="D19" s="345"/>
      <c r="E19" s="345"/>
      <c r="F19" s="346">
        <f>SumByColor($A$19,F2:F17)</f>
        <v>12345</v>
      </c>
      <c r="G19" s="345"/>
      <c r="H19" s="345">
        <f>SumByColor($A$19,H2:H17)</f>
        <v>400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34.549199999999999</v>
      </c>
    </row>
    <row r="20" spans="1:16" x14ac:dyDescent="0.25">
      <c r="O20" s="81">
        <v>1.07</v>
      </c>
      <c r="P20" s="81">
        <f t="shared" si="1"/>
        <v>34.229300000000002</v>
      </c>
    </row>
    <row r="21" spans="1:16" x14ac:dyDescent="0.25">
      <c r="O21" s="81">
        <v>1.06</v>
      </c>
      <c r="P21" s="81">
        <f t="shared" si="1"/>
        <v>33.909399999999998</v>
      </c>
    </row>
    <row r="22" spans="1:16" x14ac:dyDescent="0.25">
      <c r="O22" s="81">
        <v>1.05</v>
      </c>
      <c r="P22" s="81">
        <f t="shared" si="1"/>
        <v>33.589500000000001</v>
      </c>
    </row>
    <row r="23" spans="1:16" x14ac:dyDescent="0.25">
      <c r="O23" s="81">
        <v>1.04</v>
      </c>
      <c r="P23" s="81">
        <f t="shared" si="1"/>
        <v>33.269599999999997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1.03</v>
      </c>
      <c r="P24" s="81">
        <f t="shared" si="1"/>
        <v>32.9497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32.629799999999996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32.309899999999999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31.99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31.670099999999998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31.350199999999997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31.030299999999997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30.710399999999996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30.390499999999996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30.070599999999995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29.750699999999998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29.430800000000001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29.110900000000001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28.791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0" priority="35">
      <formula>F47&gt;0</formula>
    </cfRule>
    <cfRule type="expression" dxfId="1179" priority="36">
      <formula>F47&lt;0</formula>
    </cfRule>
  </conditionalFormatting>
  <conditionalFormatting sqref="Q7">
    <cfRule type="expression" dxfId="1178" priority="33">
      <formula>Q7&gt;0</formula>
    </cfRule>
    <cfRule type="expression" dxfId="1177" priority="34">
      <formula>Q7&lt;0</formula>
    </cfRule>
  </conditionalFormatting>
  <conditionalFormatting sqref="Q8">
    <cfRule type="expression" dxfId="1176" priority="31">
      <formula>Q8&gt;0</formula>
    </cfRule>
    <cfRule type="expression" dxfId="1175" priority="32">
      <formula>Q8&lt;0</formula>
    </cfRule>
  </conditionalFormatting>
  <conditionalFormatting sqref="F32:F46">
    <cfRule type="expression" dxfId="1174" priority="29">
      <formula>F32&gt;0</formula>
    </cfRule>
    <cfRule type="expression" dxfId="1173" priority="30">
      <formula>F32&lt;0</formula>
    </cfRule>
  </conditionalFormatting>
  <conditionalFormatting sqref="H32:H46">
    <cfRule type="expression" dxfId="1172" priority="27">
      <formula>H32&gt;0</formula>
    </cfRule>
    <cfRule type="expression" dxfId="1171" priority="28">
      <formula>H32&lt;0</formula>
    </cfRule>
  </conditionalFormatting>
  <conditionalFormatting sqref="Q10">
    <cfRule type="expression" dxfId="1170" priority="25">
      <formula>Q10&gt;0</formula>
    </cfRule>
    <cfRule type="expression" dxfId="1169" priority="26">
      <formula>Q10&lt;0</formula>
    </cfRule>
  </conditionalFormatting>
  <conditionalFormatting sqref="J25:J38">
    <cfRule type="expression" dxfId="1168" priority="23">
      <formula>J25&gt;0</formula>
    </cfRule>
    <cfRule type="expression" dxfId="1167" priority="24">
      <formula>J25&lt;0</formula>
    </cfRule>
  </conditionalFormatting>
  <conditionalFormatting sqref="K25:K38">
    <cfRule type="expression" dxfId="1166" priority="21">
      <formula>K25&gt;0</formula>
    </cfRule>
    <cfRule type="expression" dxfId="1165" priority="22">
      <formula>K25&lt;0</formula>
    </cfRule>
  </conditionalFormatting>
  <conditionalFormatting sqref="L25:L38">
    <cfRule type="expression" dxfId="1164" priority="19">
      <formula>L25&gt;0</formula>
    </cfRule>
    <cfRule type="expression" dxfId="1163" priority="20">
      <formula>L25&lt;0</formula>
    </cfRule>
  </conditionalFormatting>
  <conditionalFormatting sqref="F89:F110">
    <cfRule type="expression" dxfId="1162" priority="17">
      <formula>F89&gt;0</formula>
    </cfRule>
    <cfRule type="expression" dxfId="1161" priority="18">
      <formula>F89&lt;0</formula>
    </cfRule>
  </conditionalFormatting>
  <conditionalFormatting sqref="H89:H110">
    <cfRule type="expression" dxfId="1160" priority="15">
      <formula>H89&gt;0</formula>
    </cfRule>
    <cfRule type="expression" dxfId="1159" priority="16">
      <formula>H89&lt;0</formula>
    </cfRule>
  </conditionalFormatting>
  <conditionalFormatting sqref="J89:J102">
    <cfRule type="expression" dxfId="1158" priority="13">
      <formula>J89&gt;0</formula>
    </cfRule>
    <cfRule type="expression" dxfId="1157" priority="14">
      <formula>J89&lt;0</formula>
    </cfRule>
  </conditionalFormatting>
  <conditionalFormatting sqref="K89:K102">
    <cfRule type="expression" dxfId="1156" priority="11">
      <formula>K89&gt;0</formula>
    </cfRule>
    <cfRule type="expression" dxfId="1155" priority="12">
      <formula>K89&lt;0</formula>
    </cfRule>
  </conditionalFormatting>
  <conditionalFormatting sqref="L89:L102">
    <cfRule type="expression" dxfId="1154" priority="9">
      <formula>L89&gt;0</formula>
    </cfRule>
    <cfRule type="expression" dxfId="1153" priority="10">
      <formula>L89&lt;0</formula>
    </cfRule>
  </conditionalFormatting>
  <conditionalFormatting sqref="F25:F28">
    <cfRule type="expression" dxfId="1152" priority="7">
      <formula>F25&gt;0</formula>
    </cfRule>
    <cfRule type="expression" dxfId="1151" priority="8">
      <formula>F25&lt;0</formula>
    </cfRule>
  </conditionalFormatting>
  <conditionalFormatting sqref="H25:H28">
    <cfRule type="expression" dxfId="1150" priority="5">
      <formula>H25&gt;0</formula>
    </cfRule>
    <cfRule type="expression" dxfId="1149" priority="6">
      <formula>H25&lt;0</formula>
    </cfRule>
  </conditionalFormatting>
  <conditionalFormatting sqref="F29:F31">
    <cfRule type="expression" dxfId="1148" priority="3">
      <formula>F29&gt;0</formula>
    </cfRule>
    <cfRule type="expression" dxfId="1147" priority="4">
      <formula>F29&lt;0</formula>
    </cfRule>
  </conditionalFormatting>
  <conditionalFormatting sqref="H29:H31">
    <cfRule type="expression" dxfId="1146" priority="1">
      <formula>H29&gt;0</formula>
    </cfRule>
    <cfRule type="expression" dxfId="114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976</v>
      </c>
      <c r="U2" t="s">
        <v>1094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118.73990000000001</v>
      </c>
      <c r="R4" s="497">
        <v>1.47E-2</v>
      </c>
      <c r="T4" s="774">
        <v>43193</v>
      </c>
      <c r="U4" s="30" t="s">
        <v>983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11873.99</v>
      </c>
      <c r="U5" s="477" t="s">
        <v>1014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-1284.380000000001</v>
      </c>
      <c r="R7">
        <v>50</v>
      </c>
      <c r="T7" s="1">
        <v>43221</v>
      </c>
      <c r="U7" s="830" t="s">
        <v>1057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-1284.380000000001</v>
      </c>
      <c r="U8" t="s">
        <v>1058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-9.7609354350120928E-2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4.379319841098064E-3</v>
      </c>
      <c r="R11">
        <v>0.13</v>
      </c>
      <c r="T11" s="1">
        <v>43228</v>
      </c>
      <c r="U11" t="s">
        <v>1093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Q4/8.62</f>
        <v>13.774930394431557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2" t="s">
        <v>78</v>
      </c>
      <c r="P18" s="782"/>
    </row>
    <row r="19" spans="1:16" ht="16.5" thickTop="1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6</v>
      </c>
      <c r="O19" s="81">
        <v>1.1000000000000001</v>
      </c>
      <c r="P19" s="81">
        <f>O19*$Q$4</f>
        <v>130.61389000000003</v>
      </c>
    </row>
    <row r="20" spans="1:16" x14ac:dyDescent="0.25">
      <c r="O20" s="81">
        <v>1.0900000000000001</v>
      </c>
      <c r="P20" s="81">
        <f t="shared" ref="P20:P39" si="1">O20*$Q$4</f>
        <v>129.42649100000003</v>
      </c>
    </row>
    <row r="21" spans="1:16" x14ac:dyDescent="0.25">
      <c r="O21" s="81">
        <v>1.08</v>
      </c>
      <c r="P21" s="81">
        <f t="shared" si="1"/>
        <v>128.23909200000003</v>
      </c>
    </row>
    <row r="22" spans="1:16" x14ac:dyDescent="0.25">
      <c r="O22" s="81">
        <v>1.07</v>
      </c>
      <c r="P22" s="81">
        <f t="shared" si="1"/>
        <v>127.05169300000001</v>
      </c>
    </row>
    <row r="23" spans="1:16" x14ac:dyDescent="0.25">
      <c r="O23" s="81">
        <v>1.06</v>
      </c>
      <c r="P23" s="81">
        <f t="shared" si="1"/>
        <v>125.86429400000002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986</v>
      </c>
      <c r="O24" s="81">
        <v>1.05</v>
      </c>
      <c r="P24" s="81">
        <f t="shared" si="1"/>
        <v>124.67689500000002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123.48949600000002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122.302097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121.114698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119.927299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118.73990000000001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117.55250100000001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116.36510200000001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115.17770300000001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113.99030399999999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112.802905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111.615506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110.42810700000001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109.24070800000001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108.05330900000001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106.86591000000001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930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4" priority="31">
      <formula>F47&gt;0</formula>
    </cfRule>
    <cfRule type="expression" dxfId="1143" priority="32">
      <formula>F47&lt;0</formula>
    </cfRule>
  </conditionalFormatting>
  <conditionalFormatting sqref="Q7">
    <cfRule type="expression" dxfId="1142" priority="29">
      <formula>Q7&gt;0</formula>
    </cfRule>
    <cfRule type="expression" dxfId="1141" priority="30">
      <formula>Q7&lt;0</formula>
    </cfRule>
  </conditionalFormatting>
  <conditionalFormatting sqref="Q8">
    <cfRule type="expression" dxfId="1140" priority="27">
      <formula>Q8&gt;0</formula>
    </cfRule>
    <cfRule type="expression" dxfId="1139" priority="28">
      <formula>Q8&lt;0</formula>
    </cfRule>
  </conditionalFormatting>
  <conditionalFormatting sqref="F34:F46">
    <cfRule type="expression" dxfId="1138" priority="25">
      <formula>F34&gt;0</formula>
    </cfRule>
    <cfRule type="expression" dxfId="1137" priority="26">
      <formula>F34&lt;0</formula>
    </cfRule>
  </conditionalFormatting>
  <conditionalFormatting sqref="H34:H46">
    <cfRule type="expression" dxfId="1136" priority="23">
      <formula>H34&gt;0</formula>
    </cfRule>
    <cfRule type="expression" dxfId="1135" priority="24">
      <formula>H34&lt;0</formula>
    </cfRule>
  </conditionalFormatting>
  <conditionalFormatting sqref="Q10">
    <cfRule type="expression" dxfId="1134" priority="21">
      <formula>Q10&gt;0</formula>
    </cfRule>
    <cfRule type="expression" dxfId="1133" priority="22">
      <formula>Q10&lt;0</formula>
    </cfRule>
  </conditionalFormatting>
  <conditionalFormatting sqref="J25:J38">
    <cfRule type="expression" dxfId="1132" priority="19">
      <formula>J25&gt;0</formula>
    </cfRule>
    <cfRule type="expression" dxfId="1131" priority="20">
      <formula>J25&lt;0</formula>
    </cfRule>
  </conditionalFormatting>
  <conditionalFormatting sqref="K25:K38">
    <cfRule type="expression" dxfId="1130" priority="17">
      <formula>K25&gt;0</formula>
    </cfRule>
    <cfRule type="expression" dxfId="1129" priority="18">
      <formula>K25&lt;0</formula>
    </cfRule>
  </conditionalFormatting>
  <conditionalFormatting sqref="L25">
    <cfRule type="expression" dxfId="1128" priority="15">
      <formula>L25&gt;0</formula>
    </cfRule>
    <cfRule type="expression" dxfId="1127" priority="16">
      <formula>L25&lt;0</formula>
    </cfRule>
  </conditionalFormatting>
  <conditionalFormatting sqref="F89:F110">
    <cfRule type="expression" dxfId="1126" priority="13">
      <formula>F89&gt;0</formula>
    </cfRule>
    <cfRule type="expression" dxfId="1125" priority="14">
      <formula>F89&lt;0</formula>
    </cfRule>
  </conditionalFormatting>
  <conditionalFormatting sqref="H89:H110">
    <cfRule type="expression" dxfId="1124" priority="11">
      <formula>H89&gt;0</formula>
    </cfRule>
    <cfRule type="expression" dxfId="1123" priority="12">
      <formula>H89&lt;0</formula>
    </cfRule>
  </conditionalFormatting>
  <conditionalFormatting sqref="J89:J102">
    <cfRule type="expression" dxfId="1122" priority="9">
      <formula>J89&gt;0</formula>
    </cfRule>
    <cfRule type="expression" dxfId="1121" priority="10">
      <formula>J89&lt;0</formula>
    </cfRule>
  </conditionalFormatting>
  <conditionalFormatting sqref="K89:K102">
    <cfRule type="expression" dxfId="1120" priority="7">
      <formula>K89&gt;0</formula>
    </cfRule>
    <cfRule type="expression" dxfId="1119" priority="8">
      <formula>K89&lt;0</formula>
    </cfRule>
  </conditionalFormatting>
  <conditionalFormatting sqref="L89:L102">
    <cfRule type="expression" dxfId="1118" priority="5">
      <formula>L89&gt;0</formula>
    </cfRule>
    <cfRule type="expression" dxfId="1117" priority="6">
      <formula>L89&lt;0</formula>
    </cfRule>
  </conditionalFormatting>
  <conditionalFormatting sqref="F25:F33">
    <cfRule type="expression" dxfId="1116" priority="3">
      <formula>F25&gt;0</formula>
    </cfRule>
    <cfRule type="expression" dxfId="1115" priority="4">
      <formula>F25&lt;0</formula>
    </cfRule>
  </conditionalFormatting>
  <conditionalFormatting sqref="H25:H33">
    <cfRule type="expression" dxfId="1114" priority="1">
      <formula>H25&gt;0</formula>
    </cfRule>
    <cfRule type="expression" dxfId="11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230.17066666666662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247.73990000000001</v>
      </c>
      <c r="R4" s="497">
        <v>-8.9999999999999998E-4</v>
      </c>
      <c r="T4" s="774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7432.1970000000001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527.07700000000114</v>
      </c>
      <c r="R7">
        <v>20</v>
      </c>
    </row>
    <row r="8" spans="1:21" x14ac:dyDescent="0.25">
      <c r="B8" s="73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527.07700000000114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7.6331330954422405E-2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16.34</v>
      </c>
      <c r="S13" s="22" t="s">
        <v>991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3" t="s">
        <v>193</v>
      </c>
      <c r="B19" s="344"/>
      <c r="C19" s="345">
        <f>SumByColor($A$19,C2:C17)</f>
        <v>65</v>
      </c>
      <c r="D19" s="345"/>
      <c r="E19" s="345"/>
      <c r="F19" s="346">
        <f>SumByColor($A$19,F2:F17)</f>
        <v>15401</v>
      </c>
      <c r="G19" s="345"/>
      <c r="H19" s="345">
        <f>SumByColor($A$19,H2:H17)</f>
        <v>65</v>
      </c>
      <c r="I19" s="345"/>
      <c r="J19" s="345"/>
      <c r="K19" s="346">
        <f>SumByColor($A$19,K2:K17)</f>
        <v>15874</v>
      </c>
      <c r="L19" s="345"/>
      <c r="M19" s="346">
        <f>SumByColor($A$19,M2:M17)</f>
        <v>53</v>
      </c>
    </row>
    <row r="22" spans="1:17" ht="20.25" thickBot="1" x14ac:dyDescent="0.35">
      <c r="O22" s="782" t="s">
        <v>78</v>
      </c>
      <c r="P22" s="782"/>
    </row>
    <row r="23" spans="1:17" ht="15.75" thickTop="1" x14ac:dyDescent="0.25">
      <c r="O23" s="81">
        <v>1.1000000000000001</v>
      </c>
      <c r="P23" s="81">
        <f>O23*$Q$4</f>
        <v>272.51389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270.03649100000001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267.55909200000002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265.08169300000003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262.60429400000004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260.12689499999999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257.649496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255.17209700000001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252.69469800000002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250.217299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247.73990000000001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245.26250100000001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242.78510199999999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240.307703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237.83030399999998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235.35290499999999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232.875506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230.39810700000001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227.92070800000002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225.443309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222.96591000000001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2" priority="31">
      <formula>F47&gt;0</formula>
    </cfRule>
    <cfRule type="expression" dxfId="1111" priority="32">
      <formula>F47&lt;0</formula>
    </cfRule>
  </conditionalFormatting>
  <conditionalFormatting sqref="Q7">
    <cfRule type="expression" dxfId="1110" priority="29">
      <formula>Q7&gt;0</formula>
    </cfRule>
    <cfRule type="expression" dxfId="1109" priority="30">
      <formula>Q7&lt;0</formula>
    </cfRule>
  </conditionalFormatting>
  <conditionalFormatting sqref="Q8">
    <cfRule type="expression" dxfId="1108" priority="27">
      <formula>Q8&gt;0</formula>
    </cfRule>
    <cfRule type="expression" dxfId="1107" priority="28">
      <formula>Q8&lt;0</formula>
    </cfRule>
  </conditionalFormatting>
  <conditionalFormatting sqref="F32:F46">
    <cfRule type="expression" dxfId="1106" priority="25">
      <formula>F32&gt;0</formula>
    </cfRule>
    <cfRule type="expression" dxfId="1105" priority="26">
      <formula>F32&lt;0</formula>
    </cfRule>
  </conditionalFormatting>
  <conditionalFormatting sqref="H32:H46">
    <cfRule type="expression" dxfId="1104" priority="23">
      <formula>H32&gt;0</formula>
    </cfRule>
    <cfRule type="expression" dxfId="1103" priority="24">
      <formula>H32&lt;0</formula>
    </cfRule>
  </conditionalFormatting>
  <conditionalFormatting sqref="Q10">
    <cfRule type="expression" dxfId="1102" priority="21">
      <formula>Q10&gt;0</formula>
    </cfRule>
    <cfRule type="expression" dxfId="1101" priority="22">
      <formula>Q10&lt;0</formula>
    </cfRule>
  </conditionalFormatting>
  <conditionalFormatting sqref="J25:J38">
    <cfRule type="expression" dxfId="1100" priority="19">
      <formula>J25&gt;0</formula>
    </cfRule>
    <cfRule type="expression" dxfId="1099" priority="20">
      <formula>J25&lt;0</formula>
    </cfRule>
  </conditionalFormatting>
  <conditionalFormatting sqref="K25:K38">
    <cfRule type="expression" dxfId="1098" priority="17">
      <formula>K25&gt;0</formula>
    </cfRule>
    <cfRule type="expression" dxfId="1097" priority="18">
      <formula>K25&lt;0</formula>
    </cfRule>
  </conditionalFormatting>
  <conditionalFormatting sqref="L25:L38">
    <cfRule type="expression" dxfId="1096" priority="15">
      <formula>L25&gt;0</formula>
    </cfRule>
    <cfRule type="expression" dxfId="1095" priority="16">
      <formula>L25&lt;0</formula>
    </cfRule>
  </conditionalFormatting>
  <conditionalFormatting sqref="F89:F110">
    <cfRule type="expression" dxfId="1094" priority="13">
      <formula>F89&gt;0</formula>
    </cfRule>
    <cfRule type="expression" dxfId="1093" priority="14">
      <formula>F89&lt;0</formula>
    </cfRule>
  </conditionalFormatting>
  <conditionalFormatting sqref="H89:H110">
    <cfRule type="expression" dxfId="1092" priority="11">
      <formula>H89&gt;0</formula>
    </cfRule>
    <cfRule type="expression" dxfId="1091" priority="12">
      <formula>H89&lt;0</formula>
    </cfRule>
  </conditionalFormatting>
  <conditionalFormatting sqref="J89:J102">
    <cfRule type="expression" dxfId="1090" priority="9">
      <formula>J89&gt;0</formula>
    </cfRule>
    <cfRule type="expression" dxfId="1089" priority="10">
      <formula>J89&lt;0</formula>
    </cfRule>
  </conditionalFormatting>
  <conditionalFormatting sqref="K89:K102">
    <cfRule type="expression" dxfId="1088" priority="7">
      <formula>K89&gt;0</formula>
    </cfRule>
    <cfRule type="expression" dxfId="1087" priority="8">
      <formula>K89&lt;0</formula>
    </cfRule>
  </conditionalFormatting>
  <conditionalFormatting sqref="L89:L102">
    <cfRule type="expression" dxfId="1086" priority="5">
      <formula>L89&gt;0</formula>
    </cfRule>
    <cfRule type="expression" dxfId="1085" priority="6">
      <formula>L89&lt;0</formula>
    </cfRule>
  </conditionalFormatting>
  <conditionalFormatting sqref="F25:F31">
    <cfRule type="expression" dxfId="1084" priority="3">
      <formula>F25&gt;0</formula>
    </cfRule>
    <cfRule type="expression" dxfId="1083" priority="4">
      <formula>F25&lt;0</formula>
    </cfRule>
  </conditionalFormatting>
  <conditionalFormatting sqref="H25:H31">
    <cfRule type="expression" dxfId="1082" priority="1">
      <formula>H25&gt;0</formula>
    </cfRule>
    <cfRule type="expression" dxfId="108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72.400000000000006</v>
      </c>
      <c r="R4" s="497">
        <v>1.8E-3</v>
      </c>
      <c r="T4" s="774">
        <v>43103</v>
      </c>
      <c r="U4" s="30" t="s">
        <v>850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2896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202.40000000000009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202.40000000000009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7.5141075141075167E-2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1.3259668508287291E-2</v>
      </c>
      <c r="R11">
        <v>0.24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Q4/3.55</f>
        <v>20.3943661971831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79.640000000000015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1.0900000000000001</v>
      </c>
      <c r="P24" s="81">
        <f t="shared" ref="P24:P43" si="1">O24*$Q$4</f>
        <v>78.916000000000011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78.192000000000007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77.468000000000004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76.744000000000014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76.02000000000001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75.296000000000006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74.572000000000003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73.848000000000013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73.124000000000009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72.400000000000006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71.676000000000002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70.951999999999998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70.228000000000009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69.504000000000005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68.78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68.055999999999997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67.332000000000008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66.608000000000004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65.884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65.160000000000011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934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0" priority="31">
      <formula>F47&gt;0</formula>
    </cfRule>
    <cfRule type="expression" dxfId="1079" priority="32">
      <formula>F47&lt;0</formula>
    </cfRule>
  </conditionalFormatting>
  <conditionalFormatting sqref="Q7">
    <cfRule type="expression" dxfId="1078" priority="29">
      <formula>Q7&gt;0</formula>
    </cfRule>
    <cfRule type="expression" dxfId="1077" priority="30">
      <formula>Q7&lt;0</formula>
    </cfRule>
  </conditionalFormatting>
  <conditionalFormatting sqref="Q8">
    <cfRule type="expression" dxfId="1076" priority="27">
      <formula>Q8&gt;0</formula>
    </cfRule>
    <cfRule type="expression" dxfId="1075" priority="28">
      <formula>Q8&lt;0</formula>
    </cfRule>
  </conditionalFormatting>
  <conditionalFormatting sqref="F30:F46">
    <cfRule type="expression" dxfId="1074" priority="25">
      <formula>F30&gt;0</formula>
    </cfRule>
    <cfRule type="expression" dxfId="1073" priority="26">
      <formula>F30&lt;0</formula>
    </cfRule>
  </conditionalFormatting>
  <conditionalFormatting sqref="H30:H46">
    <cfRule type="expression" dxfId="1072" priority="23">
      <formula>H30&gt;0</formula>
    </cfRule>
    <cfRule type="expression" dxfId="1071" priority="24">
      <formula>H30&lt;0</formula>
    </cfRule>
  </conditionalFormatting>
  <conditionalFormatting sqref="Q10">
    <cfRule type="expression" dxfId="1070" priority="21">
      <formula>Q10&gt;0</formula>
    </cfRule>
    <cfRule type="expression" dxfId="1069" priority="22">
      <formula>Q10&lt;0</formula>
    </cfRule>
  </conditionalFormatting>
  <conditionalFormatting sqref="J25:J38">
    <cfRule type="expression" dxfId="1068" priority="19">
      <formula>J25&gt;0</formula>
    </cfRule>
    <cfRule type="expression" dxfId="1067" priority="20">
      <formula>J25&lt;0</formula>
    </cfRule>
  </conditionalFormatting>
  <conditionalFormatting sqref="K25:K38">
    <cfRule type="expression" dxfId="1066" priority="17">
      <formula>K25&gt;0</formula>
    </cfRule>
    <cfRule type="expression" dxfId="1065" priority="18">
      <formula>K25&lt;0</formula>
    </cfRule>
  </conditionalFormatting>
  <conditionalFormatting sqref="L25:L38">
    <cfRule type="expression" dxfId="1064" priority="15">
      <formula>L25&gt;0</formula>
    </cfRule>
    <cfRule type="expression" dxfId="1063" priority="16">
      <formula>L25&lt;0</formula>
    </cfRule>
  </conditionalFormatting>
  <conditionalFormatting sqref="F89:F110">
    <cfRule type="expression" dxfId="1062" priority="13">
      <formula>F89&gt;0</formula>
    </cfRule>
    <cfRule type="expression" dxfId="1061" priority="14">
      <formula>F89&lt;0</formula>
    </cfRule>
  </conditionalFormatting>
  <conditionalFormatting sqref="H89:H110">
    <cfRule type="expression" dxfId="1060" priority="11">
      <formula>H89&gt;0</formula>
    </cfRule>
    <cfRule type="expression" dxfId="1059" priority="12">
      <formula>H89&lt;0</formula>
    </cfRule>
  </conditionalFormatting>
  <conditionalFormatting sqref="J89:J102">
    <cfRule type="expression" dxfId="1058" priority="9">
      <formula>J89&gt;0</formula>
    </cfRule>
    <cfRule type="expression" dxfId="1057" priority="10">
      <formula>J89&lt;0</formula>
    </cfRule>
  </conditionalFormatting>
  <conditionalFormatting sqref="K89:K102">
    <cfRule type="expression" dxfId="1056" priority="7">
      <formula>K89&gt;0</formula>
    </cfRule>
    <cfRule type="expression" dxfId="1055" priority="8">
      <formula>K89&lt;0</formula>
    </cfRule>
  </conditionalFormatting>
  <conditionalFormatting sqref="L89:L102">
    <cfRule type="expression" dxfId="1054" priority="5">
      <formula>L89&gt;0</formula>
    </cfRule>
    <cfRule type="expression" dxfId="1053" priority="6">
      <formula>L89&lt;0</formula>
    </cfRule>
  </conditionalFormatting>
  <conditionalFormatting sqref="F25:F29">
    <cfRule type="expression" dxfId="1052" priority="3">
      <formula>F25&gt;0</formula>
    </cfRule>
    <cfRule type="expression" dxfId="1051" priority="4">
      <formula>F25&lt;0</formula>
    </cfRule>
  </conditionalFormatting>
  <conditionalFormatting sqref="H25:H29">
    <cfRule type="expression" dxfId="1050" priority="1">
      <formula>H25&gt;0</formula>
    </cfRule>
    <cfRule type="expression" dxfId="10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70.94</v>
      </c>
      <c r="R4" s="477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503</v>
      </c>
      <c r="J22" s="222" t="s">
        <v>150</v>
      </c>
      <c r="K22" s="222" t="s">
        <v>678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194</v>
      </c>
      <c r="B38" s="549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49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49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49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49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49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49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49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49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49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2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2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2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2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2">
        <v>42724</v>
      </c>
      <c r="C45" s="528">
        <v>20</v>
      </c>
      <c r="D45" s="529">
        <v>52.68</v>
      </c>
      <c r="E45" s="529">
        <v>0</v>
      </c>
      <c r="F45" s="529">
        <f t="shared" si="0"/>
        <v>1053.5999999999999</v>
      </c>
      <c r="G45" s="642">
        <v>42774</v>
      </c>
      <c r="H45" s="530">
        <v>20</v>
      </c>
      <c r="I45" s="529">
        <v>53.88</v>
      </c>
      <c r="J45" s="529">
        <v>0.02</v>
      </c>
      <c r="K45" s="529">
        <f>I45*H45-J45</f>
        <v>1077.5800000000002</v>
      </c>
      <c r="L45" s="524"/>
      <c r="M45" s="529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2">
        <v>42766</v>
      </c>
      <c r="C46" s="528">
        <v>20</v>
      </c>
      <c r="D46" s="529">
        <v>51.72</v>
      </c>
      <c r="E46" s="529">
        <v>0</v>
      </c>
      <c r="F46" s="529">
        <f t="shared" si="0"/>
        <v>1034.4000000000001</v>
      </c>
      <c r="G46" s="642">
        <v>42803</v>
      </c>
      <c r="H46" s="530">
        <v>20</v>
      </c>
      <c r="I46" s="529">
        <v>56.41</v>
      </c>
      <c r="J46" s="529">
        <v>0.12</v>
      </c>
      <c r="K46" s="529">
        <f>I46*H46-J46</f>
        <v>1128.08</v>
      </c>
      <c r="L46" s="528"/>
      <c r="M46" s="528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49"/>
      <c r="C47" s="252"/>
      <c r="D47" s="252"/>
      <c r="E47" s="252"/>
      <c r="F47" s="252"/>
      <c r="G47" s="549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49"/>
      <c r="C49" s="252"/>
      <c r="D49" s="252"/>
      <c r="E49" s="252"/>
      <c r="F49" s="252"/>
      <c r="G49" s="549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75.196399999999997</v>
      </c>
      <c r="T49" s="91" t="s">
        <v>121</v>
      </c>
      <c r="U49" s="127" t="s">
        <v>528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49"/>
      <c r="C50" s="252"/>
      <c r="D50" s="252"/>
      <c r="E50" s="252"/>
      <c r="F50" s="252"/>
      <c r="G50" s="549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49"/>
      <c r="C51" s="252"/>
      <c r="D51" s="252"/>
      <c r="E51" s="252"/>
      <c r="F51" s="252"/>
      <c r="G51" s="549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73.777600000000007</v>
      </c>
      <c r="T51" s="91" t="s">
        <v>104</v>
      </c>
      <c r="U51" s="127" t="s">
        <v>606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49"/>
      <c r="C52" s="252"/>
      <c r="D52" s="252"/>
      <c r="E52" s="252"/>
      <c r="F52" s="252"/>
      <c r="G52" s="549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73.068200000000004</v>
      </c>
      <c r="T52" s="91" t="s">
        <v>105</v>
      </c>
      <c r="U52" s="127" t="s">
        <v>607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49"/>
      <c r="C53" s="252"/>
      <c r="D53" s="252"/>
      <c r="E53" s="252"/>
      <c r="F53" s="252"/>
      <c r="G53" s="549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193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8" priority="57">
      <formula>F27&gt;0</formula>
    </cfRule>
    <cfRule type="expression" dxfId="1047" priority="58">
      <formula>F27&lt;0</formula>
    </cfRule>
  </conditionalFormatting>
  <conditionalFormatting sqref="H28:H33">
    <cfRule type="expression" dxfId="1046" priority="53">
      <formula>H28&gt;0</formula>
    </cfRule>
    <cfRule type="expression" dxfId="1045" priority="54">
      <formula>H28&lt;0</formula>
    </cfRule>
  </conditionalFormatting>
  <conditionalFormatting sqref="F24:F26">
    <cfRule type="expression" dxfId="1044" priority="39">
      <formula>F24&gt;0</formula>
    </cfRule>
    <cfRule type="expression" dxfId="1043" priority="40">
      <formula>F24&lt;0</formula>
    </cfRule>
  </conditionalFormatting>
  <conditionalFormatting sqref="Q8">
    <cfRule type="expression" dxfId="1042" priority="33">
      <formula>Q8&gt;0</formula>
    </cfRule>
    <cfRule type="expression" dxfId="1041" priority="34">
      <formula>Q8&lt;0</formula>
    </cfRule>
  </conditionalFormatting>
  <conditionalFormatting sqref="Q7">
    <cfRule type="expression" dxfId="1040" priority="35">
      <formula>Q7&gt;0</formula>
    </cfRule>
    <cfRule type="expression" dxfId="1039" priority="36">
      <formula>Q7&lt;0</formula>
    </cfRule>
  </conditionalFormatting>
  <conditionalFormatting sqref="F34">
    <cfRule type="expression" dxfId="1038" priority="31">
      <formula>F34&gt;0</formula>
    </cfRule>
    <cfRule type="expression" dxfId="1037" priority="32">
      <formula>F34&lt;0</formula>
    </cfRule>
  </conditionalFormatting>
  <conditionalFormatting sqref="H34">
    <cfRule type="expression" dxfId="1036" priority="29">
      <formula>H34&gt;0</formula>
    </cfRule>
    <cfRule type="expression" dxfId="1035" priority="30">
      <formula>H34&lt;0</formula>
    </cfRule>
  </conditionalFormatting>
  <conditionalFormatting sqref="M36">
    <cfRule type="expression" dxfId="1034" priority="19">
      <formula>M36&gt;0</formula>
    </cfRule>
    <cfRule type="expression" dxfId="1033" priority="20">
      <formula>M36&lt;0</formula>
    </cfRule>
  </conditionalFormatting>
  <conditionalFormatting sqref="Q10">
    <cfRule type="expression" dxfId="1032" priority="15">
      <formula>Q10&gt;0</formula>
    </cfRule>
    <cfRule type="expression" dxfId="1031" priority="16">
      <formula>Q10&lt;0</formula>
    </cfRule>
  </conditionalFormatting>
  <conditionalFormatting sqref="F23">
    <cfRule type="expression" dxfId="1030" priority="13">
      <formula>F23&gt;0</formula>
    </cfRule>
    <cfRule type="expression" dxfId="1029" priority="14">
      <formula>F23&lt;0</formula>
    </cfRule>
  </conditionalFormatting>
  <conditionalFormatting sqref="I25:J25">
    <cfRule type="expression" dxfId="1028" priority="9">
      <formula>I25&gt;0</formula>
    </cfRule>
    <cfRule type="expression" dxfId="1027" priority="10">
      <formula>I25&lt;0</formula>
    </cfRule>
  </conditionalFormatting>
  <conditionalFormatting sqref="I26:J27">
    <cfRule type="expression" dxfId="1026" priority="7">
      <formula>I26&gt;0</formula>
    </cfRule>
    <cfRule type="expression" dxfId="1025" priority="8">
      <formula>I26&lt;0</formula>
    </cfRule>
  </conditionalFormatting>
  <conditionalFormatting sqref="K25:K27">
    <cfRule type="expression" dxfId="1024" priority="5">
      <formula>K25&gt;0</formula>
    </cfRule>
    <cfRule type="expression" dxfId="1023" priority="6">
      <formula>K25&lt;0</formula>
    </cfRule>
  </conditionalFormatting>
  <conditionalFormatting sqref="I23:J23">
    <cfRule type="expression" dxfId="1022" priority="3">
      <formula>I23&gt;0</formula>
    </cfRule>
    <cfRule type="expression" dxfId="102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9"/>
      <c r="Y1" s="733" t="s">
        <v>766</v>
      </c>
      <c r="Z1" s="733" t="s">
        <v>722</v>
      </c>
      <c r="AA1" s="733" t="s">
        <v>945</v>
      </c>
      <c r="AB1" s="733" t="s">
        <v>944</v>
      </c>
      <c r="AC1" s="733" t="s">
        <v>1084</v>
      </c>
      <c r="AD1" s="709"/>
      <c r="AE1" s="709"/>
    </row>
    <row r="2" spans="1:31" x14ac:dyDescent="0.25">
      <c r="A2" s="6" t="s">
        <v>226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10" t="s">
        <v>767</v>
      </c>
      <c r="Y2" s="732">
        <v>42948</v>
      </c>
      <c r="Z2" s="732">
        <v>43039</v>
      </c>
      <c r="AA2" s="732">
        <v>43150</v>
      </c>
      <c r="AB2" s="732"/>
      <c r="AC2" s="732"/>
      <c r="AD2" s="678"/>
      <c r="AE2" s="678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18.643074999999953</v>
      </c>
      <c r="U3" t="s">
        <v>740</v>
      </c>
      <c r="V3" s="22" t="s">
        <v>739</v>
      </c>
      <c r="Y3" s="678"/>
      <c r="Z3" s="678"/>
      <c r="AA3" s="678"/>
      <c r="AB3" s="678"/>
      <c r="AC3" s="678"/>
      <c r="AD3" s="678"/>
      <c r="AE3" s="678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28.02</v>
      </c>
      <c r="R4" s="496">
        <v>1.0500000000000001E-2</v>
      </c>
      <c r="X4" s="712" t="s">
        <v>734</v>
      </c>
      <c r="Y4" s="716">
        <v>320</v>
      </c>
      <c r="Z4" s="716">
        <v>310</v>
      </c>
      <c r="AA4" s="716">
        <v>320</v>
      </c>
      <c r="AB4" s="716"/>
      <c r="AC4" s="716"/>
      <c r="AD4" s="678"/>
      <c r="AE4" s="678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11208</v>
      </c>
      <c r="X5" s="713" t="s">
        <v>727</v>
      </c>
      <c r="Y5" s="716">
        <v>340</v>
      </c>
      <c r="Z5" s="716">
        <v>330</v>
      </c>
      <c r="AA5" s="716">
        <v>350</v>
      </c>
      <c r="AB5" s="716"/>
      <c r="AC5" s="716"/>
      <c r="AD5" s="678"/>
      <c r="AE5" s="678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4">
        <v>43150</v>
      </c>
      <c r="V6" t="s">
        <v>82</v>
      </c>
      <c r="X6" s="714" t="s">
        <v>720</v>
      </c>
      <c r="Y6" s="716">
        <v>336</v>
      </c>
      <c r="Z6" s="730">
        <v>329</v>
      </c>
      <c r="AA6" s="730">
        <v>348</v>
      </c>
      <c r="AB6" s="730">
        <v>431</v>
      </c>
      <c r="AC6" s="730"/>
      <c r="AD6" s="678"/>
      <c r="AE6" s="678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5203.030000000017</v>
      </c>
      <c r="R7">
        <v>200</v>
      </c>
      <c r="V7" t="s">
        <v>988</v>
      </c>
      <c r="X7" s="714" t="s">
        <v>756</v>
      </c>
      <c r="Y7" s="716">
        <v>343</v>
      </c>
      <c r="Z7" s="716">
        <v>326</v>
      </c>
      <c r="AA7" s="716">
        <v>317</v>
      </c>
      <c r="AB7" s="716">
        <v>369</v>
      </c>
      <c r="AC7" s="716"/>
      <c r="AD7" s="678"/>
      <c r="AE7" s="678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3750.7700000000186</v>
      </c>
      <c r="X8" s="714" t="s">
        <v>728</v>
      </c>
      <c r="Y8" s="716">
        <v>2.2999999999999998</v>
      </c>
      <c r="Z8" s="716">
        <v>2.2000000000000002</v>
      </c>
      <c r="AA8" s="716">
        <v>2.2999999999999998</v>
      </c>
      <c r="AB8" s="716">
        <v>1.9</v>
      </c>
      <c r="AC8" s="716">
        <v>2.1</v>
      </c>
      <c r="AD8" s="678"/>
      <c r="AE8" s="678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0.50297094229358996</v>
      </c>
      <c r="X9" s="714" t="s">
        <v>729</v>
      </c>
      <c r="Y9" s="716">
        <v>2.6</v>
      </c>
      <c r="Z9" s="716">
        <v>2.5</v>
      </c>
      <c r="AA9" s="716">
        <v>2.6</v>
      </c>
      <c r="AB9" s="716">
        <v>2.2000000000000002</v>
      </c>
      <c r="AC9" s="716">
        <v>2.4</v>
      </c>
      <c r="AD9" s="678"/>
      <c r="AE9" s="678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4" t="s">
        <v>746</v>
      </c>
      <c r="Y10" s="716">
        <v>2.6</v>
      </c>
      <c r="Z10" s="730">
        <v>2.1</v>
      </c>
      <c r="AA10" s="730">
        <v>2.5</v>
      </c>
      <c r="AB10" s="838">
        <v>1.9</v>
      </c>
      <c r="AC10" s="838"/>
      <c r="AD10" s="678"/>
      <c r="AE10" s="678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3.5688793718772309E-3</v>
      </c>
      <c r="R11">
        <f>0.025</f>
        <v>2.5000000000000001E-2</v>
      </c>
      <c r="V11" t="s">
        <v>1083</v>
      </c>
      <c r="X11" s="678"/>
      <c r="Y11" s="716"/>
      <c r="Z11" s="678"/>
      <c r="AA11" s="678"/>
      <c r="AB11" s="678"/>
      <c r="AC11" s="678"/>
      <c r="AD11" s="678"/>
      <c r="AE11" s="678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958</v>
      </c>
      <c r="Q12" s="1"/>
      <c r="X12" s="714" t="s">
        <v>723</v>
      </c>
      <c r="Y12" s="716"/>
      <c r="Z12" s="721">
        <v>7.0000000000000007E-2</v>
      </c>
      <c r="AA12" s="721" t="s">
        <v>768</v>
      </c>
      <c r="AB12" s="734" t="s">
        <v>948</v>
      </c>
      <c r="AC12" s="841" t="s">
        <v>949</v>
      </c>
      <c r="AD12" s="678"/>
      <c r="AE12" s="678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986</v>
      </c>
      <c r="Q13" s="2">
        <f>Q4/(1.4)</f>
        <v>20.014285714285716</v>
      </c>
      <c r="X13" s="714" t="s">
        <v>730</v>
      </c>
      <c r="Y13" s="716"/>
      <c r="Z13" s="721">
        <v>0.09</v>
      </c>
      <c r="AA13" s="721"/>
      <c r="AB13" s="734" t="s">
        <v>949</v>
      </c>
      <c r="AC13" s="841" t="s">
        <v>1085</v>
      </c>
      <c r="AD13" s="678"/>
      <c r="AE13" s="678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4" t="s">
        <v>754</v>
      </c>
      <c r="Y14" s="722">
        <v>0.08</v>
      </c>
      <c r="Z14" s="840">
        <f>Z17/Z22</f>
        <v>8.3854818523153948E-2</v>
      </c>
      <c r="AA14" s="731">
        <f t="shared" ref="AA14" si="4">AA17/AA22</f>
        <v>0.13300000000000001</v>
      </c>
      <c r="AB14" s="731">
        <f>AB17/AB22</f>
        <v>6.5819861431870672E-2</v>
      </c>
      <c r="AC14" s="731"/>
      <c r="AD14" s="678"/>
      <c r="AE14" s="678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4" t="s">
        <v>724</v>
      </c>
      <c r="Y15" s="716"/>
      <c r="Z15" s="678"/>
      <c r="AA15" s="678"/>
      <c r="AB15" s="678"/>
      <c r="AC15" s="678"/>
      <c r="AD15" s="678"/>
      <c r="AE15" s="678"/>
    </row>
    <row r="16" spans="1:31" ht="20.25" thickBot="1" x14ac:dyDescent="0.35">
      <c r="A16" t="s">
        <v>791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X16" s="714" t="s">
        <v>725</v>
      </c>
      <c r="Y16" s="716"/>
      <c r="Z16" s="678"/>
      <c r="AA16" s="678"/>
      <c r="AB16" s="678"/>
      <c r="AC16" s="678"/>
      <c r="AD16" s="678"/>
      <c r="AE16" s="678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30.822000000000003</v>
      </c>
      <c r="X17" s="714" t="s">
        <v>943</v>
      </c>
      <c r="Y17" s="716">
        <v>76</v>
      </c>
      <c r="Z17" s="426">
        <v>67</v>
      </c>
      <c r="AA17" s="426">
        <v>133</v>
      </c>
      <c r="AB17" s="426">
        <v>57</v>
      </c>
      <c r="AC17" s="426"/>
      <c r="AD17" s="678"/>
      <c r="AE17" s="678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30.541800000000002</v>
      </c>
      <c r="X18" s="678"/>
      <c r="Y18" s="716"/>
      <c r="Z18" s="678"/>
      <c r="AA18" s="678"/>
      <c r="AB18" s="678"/>
      <c r="AC18" s="678"/>
      <c r="AD18" s="678"/>
      <c r="AE18" s="678"/>
    </row>
    <row r="19" spans="1:31" x14ac:dyDescent="0.25">
      <c r="A19" t="s">
        <v>791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3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30.261600000000001</v>
      </c>
      <c r="X19" s="714" t="s">
        <v>735</v>
      </c>
      <c r="Y19" s="719" t="s">
        <v>738</v>
      </c>
      <c r="Z19" s="714" t="s">
        <v>738</v>
      </c>
      <c r="AA19" s="714" t="s">
        <v>738</v>
      </c>
      <c r="AB19" s="714"/>
      <c r="AC19" s="714"/>
      <c r="AD19" s="678"/>
      <c r="AE19" s="678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29.981400000000001</v>
      </c>
      <c r="X20" s="714" t="s">
        <v>736</v>
      </c>
      <c r="Y20" s="721">
        <v>0.84</v>
      </c>
      <c r="Z20" s="731">
        <v>0.8</v>
      </c>
      <c r="AA20" s="731">
        <v>0.79</v>
      </c>
      <c r="AB20" s="731"/>
      <c r="AC20" s="731"/>
      <c r="AD20" s="678"/>
      <c r="AE20" s="678"/>
    </row>
    <row r="21" spans="1:31" x14ac:dyDescent="0.25">
      <c r="B21" s="436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29.7012</v>
      </c>
      <c r="X21" s="714" t="s">
        <v>756</v>
      </c>
      <c r="Y21" s="721">
        <v>0.82</v>
      </c>
      <c r="Z21" s="721">
        <v>0.84</v>
      </c>
      <c r="AA21" s="721">
        <v>0.84</v>
      </c>
      <c r="AB21" s="721"/>
      <c r="AC21" s="721"/>
      <c r="AD21" s="678"/>
      <c r="AE21" s="678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29.420999999999999</v>
      </c>
      <c r="X22" s="720" t="s">
        <v>753</v>
      </c>
      <c r="Y22" s="716">
        <v>975</v>
      </c>
      <c r="Z22" s="426">
        <v>799</v>
      </c>
      <c r="AA22" s="426">
        <v>1000</v>
      </c>
      <c r="AB22" s="426">
        <v>866</v>
      </c>
      <c r="AC22" s="426"/>
      <c r="AD22" s="678"/>
      <c r="AE22" s="678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29.140800000000002</v>
      </c>
      <c r="X23" s="678"/>
      <c r="Y23" s="716"/>
      <c r="Z23" s="678"/>
      <c r="AA23" s="678"/>
      <c r="AB23" s="678"/>
      <c r="AC23" s="678"/>
      <c r="AD23" s="678"/>
      <c r="AE23" s="678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28.860600000000002</v>
      </c>
      <c r="X24" s="711" t="s">
        <v>719</v>
      </c>
      <c r="Y24" s="716"/>
      <c r="Z24" s="678"/>
      <c r="AA24" s="678"/>
      <c r="AB24" s="678"/>
      <c r="AC24" s="678"/>
      <c r="AD24" s="678"/>
      <c r="AE24" s="678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28.580400000000001</v>
      </c>
      <c r="X25" s="712" t="s">
        <v>731</v>
      </c>
      <c r="Y25" s="716">
        <v>170</v>
      </c>
      <c r="Z25" s="716">
        <v>165</v>
      </c>
      <c r="AA25" s="716">
        <v>175</v>
      </c>
      <c r="AB25" s="716"/>
      <c r="AC25" s="716"/>
      <c r="AD25" s="678"/>
      <c r="AE25" s="678"/>
    </row>
    <row r="26" spans="1:31" x14ac:dyDescent="0.25">
      <c r="C26" s="4"/>
      <c r="O26" s="81">
        <v>1.01</v>
      </c>
      <c r="P26" s="81">
        <f t="shared" si="5"/>
        <v>28.3002</v>
      </c>
      <c r="X26" s="713" t="s">
        <v>732</v>
      </c>
      <c r="Y26" s="716">
        <v>185</v>
      </c>
      <c r="Z26" s="716">
        <v>180</v>
      </c>
      <c r="AA26" s="716">
        <v>195</v>
      </c>
      <c r="AB26" s="716"/>
      <c r="AC26" s="716"/>
      <c r="AD26" s="678"/>
      <c r="AE26" s="678"/>
    </row>
    <row r="27" spans="1:31" x14ac:dyDescent="0.25">
      <c r="O27" s="81">
        <v>1</v>
      </c>
      <c r="P27" s="81">
        <f t="shared" si="5"/>
        <v>28.02</v>
      </c>
      <c r="X27" s="714" t="s">
        <v>720</v>
      </c>
      <c r="Y27" s="716">
        <v>179</v>
      </c>
      <c r="Z27" s="730">
        <v>182</v>
      </c>
      <c r="AA27" s="730">
        <v>188</v>
      </c>
      <c r="AB27" s="730">
        <v>239</v>
      </c>
      <c r="AC27" s="730"/>
      <c r="AD27" s="678"/>
      <c r="AE27" s="678"/>
    </row>
    <row r="28" spans="1:31" x14ac:dyDescent="0.25">
      <c r="O28" s="81">
        <v>0.99</v>
      </c>
      <c r="P28" s="81">
        <f t="shared" si="5"/>
        <v>27.739799999999999</v>
      </c>
      <c r="X28" s="714" t="s">
        <v>756</v>
      </c>
      <c r="Y28" s="716">
        <v>178</v>
      </c>
      <c r="Z28" s="716">
        <v>160</v>
      </c>
      <c r="AA28" s="716">
        <v>169</v>
      </c>
      <c r="AB28" s="716">
        <v>210</v>
      </c>
      <c r="AC28" s="716"/>
      <c r="AD28" s="678"/>
      <c r="AE28" s="678"/>
    </row>
    <row r="29" spans="1:31" x14ac:dyDescent="0.25">
      <c r="O29" s="81">
        <v>0.98</v>
      </c>
      <c r="P29" s="81">
        <f t="shared" si="5"/>
        <v>27.459599999999998</v>
      </c>
      <c r="X29" s="714" t="s">
        <v>728</v>
      </c>
      <c r="Y29" s="716">
        <v>2</v>
      </c>
      <c r="Z29" s="716">
        <v>1.9</v>
      </c>
      <c r="AA29" s="716">
        <v>1.9</v>
      </c>
      <c r="AB29" s="716">
        <v>1.7</v>
      </c>
      <c r="AC29" s="716">
        <v>2.1</v>
      </c>
      <c r="AD29" s="678"/>
      <c r="AE29" s="678"/>
    </row>
    <row r="30" spans="1:31" x14ac:dyDescent="0.25">
      <c r="O30" s="81">
        <v>0.97</v>
      </c>
      <c r="P30" s="81">
        <f t="shared" si="5"/>
        <v>27.179399999999998</v>
      </c>
      <c r="X30" s="714" t="s">
        <v>729</v>
      </c>
      <c r="Y30" s="716">
        <v>2.2999999999999998</v>
      </c>
      <c r="Z30" s="716">
        <v>2.2000000000000002</v>
      </c>
      <c r="AA30" s="716">
        <v>2.2000000000000002</v>
      </c>
      <c r="AB30" s="716">
        <v>2</v>
      </c>
      <c r="AC30" s="716">
        <v>2.4</v>
      </c>
      <c r="AD30" s="678"/>
      <c r="AE30" s="678"/>
    </row>
    <row r="31" spans="1:31" x14ac:dyDescent="0.25">
      <c r="O31" s="81">
        <v>0.96</v>
      </c>
      <c r="P31" s="81">
        <f t="shared" si="5"/>
        <v>26.899199999999997</v>
      </c>
      <c r="X31" s="714" t="s">
        <v>721</v>
      </c>
      <c r="Y31" s="716">
        <v>2.2000000000000002</v>
      </c>
      <c r="Z31" s="730">
        <v>2.2000000000000002</v>
      </c>
      <c r="AA31" s="730">
        <v>2.2000000000000002</v>
      </c>
      <c r="AB31" s="838">
        <v>1.7</v>
      </c>
      <c r="AC31" s="838"/>
      <c r="AD31" s="678"/>
      <c r="AE31" s="678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26.619</v>
      </c>
      <c r="X32" s="678"/>
      <c r="Y32" s="716"/>
      <c r="Z32" s="678"/>
      <c r="AA32" s="678"/>
      <c r="AB32" s="678"/>
      <c r="AC32" s="678"/>
      <c r="AD32" s="678"/>
      <c r="AE32" s="678"/>
    </row>
    <row r="33" spans="1:31" ht="15.75" thickBot="1" x14ac:dyDescent="0.3">
      <c r="A33" s="343" t="s">
        <v>193</v>
      </c>
      <c r="B33" s="344"/>
      <c r="C33" s="345">
        <f>SumByColor($A$33,C2:C31)</f>
        <v>2750</v>
      </c>
      <c r="D33" s="345"/>
      <c r="E33" s="345"/>
      <c r="F33" s="346">
        <f>SumByColor($A$33,F2:F31)</f>
        <v>67288</v>
      </c>
      <c r="G33" s="345"/>
      <c r="H33" s="345">
        <f>SumByColor($A$33,H2:H31)</f>
        <v>2750</v>
      </c>
      <c r="I33" s="345"/>
      <c r="J33" s="345"/>
      <c r="K33" s="346">
        <f>SumByColor($A$33,K2:K31)</f>
        <v>69722</v>
      </c>
      <c r="L33" s="345"/>
      <c r="M33" s="346">
        <f>SumByColor($A$33,M2:M31)</f>
        <v>276</v>
      </c>
      <c r="O33" s="81">
        <v>0.94</v>
      </c>
      <c r="P33" s="81">
        <f t="shared" si="5"/>
        <v>26.338799999999999</v>
      </c>
      <c r="X33" s="714" t="s">
        <v>723</v>
      </c>
      <c r="Y33" s="716"/>
      <c r="Z33" s="721">
        <v>0.15</v>
      </c>
      <c r="AA33" s="734" t="s">
        <v>769</v>
      </c>
      <c r="AB33" s="734" t="s">
        <v>946</v>
      </c>
      <c r="AC33" s="734" t="s">
        <v>946</v>
      </c>
      <c r="AD33" s="678"/>
      <c r="AE33" s="678"/>
    </row>
    <row r="34" spans="1:31" x14ac:dyDescent="0.25">
      <c r="O34" s="81">
        <v>0.93</v>
      </c>
      <c r="P34" s="81">
        <f t="shared" si="5"/>
        <v>26.058600000000002</v>
      </c>
      <c r="X34" s="714" t="s">
        <v>730</v>
      </c>
      <c r="Y34" s="716"/>
      <c r="Z34" s="721">
        <v>0.18</v>
      </c>
      <c r="AA34" s="721"/>
      <c r="AB34" s="734" t="s">
        <v>947</v>
      </c>
      <c r="AC34" s="734" t="s">
        <v>947</v>
      </c>
      <c r="AD34" s="678"/>
      <c r="AE34" s="678"/>
    </row>
    <row r="35" spans="1:31" x14ac:dyDescent="0.25">
      <c r="O35" s="81">
        <v>0.92</v>
      </c>
      <c r="P35" s="81">
        <f t="shared" si="5"/>
        <v>25.778400000000001</v>
      </c>
      <c r="X35" s="714" t="s">
        <v>754</v>
      </c>
      <c r="Y35" s="721">
        <v>0.23</v>
      </c>
      <c r="Z35" s="731">
        <f>Z38/Z42</f>
        <v>0.20886075949367089</v>
      </c>
      <c r="AA35" s="731">
        <f>AA38/AA42</f>
        <v>0.22983870967741934</v>
      </c>
      <c r="AB35" s="731">
        <f>AB38/AB42</f>
        <v>0.15841584158415842</v>
      </c>
      <c r="AC35" s="731"/>
      <c r="AD35" s="678"/>
      <c r="AE35" s="678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503</v>
      </c>
      <c r="K36" s="490" t="s">
        <v>150</v>
      </c>
      <c r="L36" s="490" t="s">
        <v>986</v>
      </c>
      <c r="O36" s="81">
        <v>0.91</v>
      </c>
      <c r="P36" s="81">
        <f t="shared" si="5"/>
        <v>25.498200000000001</v>
      </c>
      <c r="X36" s="714" t="s">
        <v>724</v>
      </c>
      <c r="Y36" s="716"/>
      <c r="Z36" s="678"/>
      <c r="AA36" s="678"/>
      <c r="AB36" s="678"/>
      <c r="AC36" s="678"/>
      <c r="AD36" s="678"/>
      <c r="AE36" s="678"/>
    </row>
    <row r="37" spans="1:31" x14ac:dyDescent="0.25">
      <c r="B37" s="524">
        <v>42754</v>
      </c>
      <c r="C37" s="528">
        <v>100</v>
      </c>
      <c r="D37" s="529">
        <v>27.58</v>
      </c>
      <c r="E37" s="529">
        <v>30.25</v>
      </c>
      <c r="F37" s="529">
        <f t="shared" ref="F37:F42" si="6">C37*(E37-D37)</f>
        <v>267.00000000000017</v>
      </c>
      <c r="G37" s="529">
        <f t="shared" ref="G37:G42" si="7">D37*C37</f>
        <v>2758</v>
      </c>
      <c r="H37" s="570">
        <f t="shared" ref="H37:H42" si="8">(E37-D37)/D37</f>
        <v>9.6809282088469978E-2</v>
      </c>
      <c r="I37" s="529"/>
      <c r="J37" s="529"/>
      <c r="K37" s="529"/>
      <c r="L37" s="529"/>
      <c r="O37" s="81">
        <v>0.9</v>
      </c>
      <c r="P37" s="81">
        <f t="shared" si="5"/>
        <v>25.218</v>
      </c>
      <c r="X37" s="714" t="s">
        <v>725</v>
      </c>
      <c r="Y37" s="716"/>
      <c r="Z37" s="678"/>
      <c r="AA37" s="678"/>
      <c r="AB37" s="678"/>
      <c r="AC37" s="678"/>
      <c r="AD37" s="678"/>
      <c r="AE37" s="678"/>
    </row>
    <row r="38" spans="1:31" x14ac:dyDescent="0.25">
      <c r="B38" s="524">
        <v>42758</v>
      </c>
      <c r="C38" s="528">
        <v>100</v>
      </c>
      <c r="D38" s="529">
        <v>27.180700000000002</v>
      </c>
      <c r="E38" s="529">
        <v>31.55</v>
      </c>
      <c r="F38" s="529">
        <f t="shared" si="6"/>
        <v>436.92999999999989</v>
      </c>
      <c r="G38" s="529">
        <f t="shared" si="7"/>
        <v>2718.07</v>
      </c>
      <c r="H38" s="570">
        <f t="shared" si="8"/>
        <v>0.16075009105725749</v>
      </c>
      <c r="I38" s="529"/>
      <c r="J38" s="529"/>
      <c r="K38" s="529"/>
      <c r="L38" s="529"/>
      <c r="X38" s="714" t="s">
        <v>755</v>
      </c>
      <c r="Y38" s="716">
        <v>110</v>
      </c>
      <c r="Z38" s="426">
        <v>99</v>
      </c>
      <c r="AA38" s="426">
        <v>114</v>
      </c>
      <c r="AB38" s="426">
        <v>64</v>
      </c>
      <c r="AC38" s="426"/>
      <c r="AD38" s="678"/>
      <c r="AE38" s="678"/>
    </row>
    <row r="39" spans="1:31" x14ac:dyDescent="0.25">
      <c r="A39" t="s">
        <v>351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4" t="s">
        <v>735</v>
      </c>
      <c r="Y39" s="719" t="s">
        <v>747</v>
      </c>
      <c r="Z39" s="714" t="s">
        <v>738</v>
      </c>
      <c r="AA39" s="714" t="s">
        <v>770</v>
      </c>
      <c r="AB39" s="714"/>
      <c r="AC39" s="714"/>
      <c r="AD39" s="678"/>
      <c r="AE39" s="678"/>
    </row>
    <row r="40" spans="1:31" x14ac:dyDescent="0.25">
      <c r="A40" t="s">
        <v>351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4" t="s">
        <v>736</v>
      </c>
      <c r="Y40" s="721">
        <v>0.93</v>
      </c>
      <c r="Z40" s="731">
        <v>0.87</v>
      </c>
      <c r="AA40" s="731">
        <v>0.87</v>
      </c>
      <c r="AB40" s="731"/>
      <c r="AC40" s="731"/>
      <c r="AD40" s="678"/>
      <c r="AE40" s="678"/>
    </row>
    <row r="41" spans="1:31" x14ac:dyDescent="0.25">
      <c r="A41" t="s">
        <v>340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8"/>
      <c r="Y41" s="716"/>
      <c r="Z41" s="678"/>
      <c r="AA41" s="678"/>
      <c r="AB41" s="678"/>
      <c r="AC41" s="678"/>
      <c r="AD41" s="678"/>
      <c r="AE41" s="678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0" t="s">
        <v>753</v>
      </c>
      <c r="Y42" s="716">
        <v>468</v>
      </c>
      <c r="Z42" s="426">
        <v>474</v>
      </c>
      <c r="AA42" s="426">
        <v>496</v>
      </c>
      <c r="AB42" s="426">
        <v>404</v>
      </c>
      <c r="AC42" s="426"/>
      <c r="AD42" s="678"/>
      <c r="AE42" s="678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8"/>
      <c r="Y43" s="716"/>
      <c r="Z43" s="678"/>
      <c r="AA43" s="678"/>
      <c r="AB43" s="678"/>
      <c r="AC43" s="678"/>
      <c r="AD43" s="678"/>
      <c r="AE43" s="678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1" t="s">
        <v>1086</v>
      </c>
      <c r="Y44" s="716"/>
      <c r="Z44" s="678"/>
      <c r="AA44" s="678"/>
      <c r="AB44" s="678"/>
      <c r="AC44" s="678"/>
      <c r="AD44" s="678"/>
      <c r="AE44" s="678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4" t="s">
        <v>728</v>
      </c>
      <c r="Y45" s="716">
        <v>1.4</v>
      </c>
      <c r="Z45" s="716">
        <v>2.2999999999999998</v>
      </c>
      <c r="AA45" s="716">
        <v>1.5</v>
      </c>
      <c r="AB45" s="716">
        <v>1.3</v>
      </c>
      <c r="AC45" s="716">
        <v>2</v>
      </c>
      <c r="AD45" s="678"/>
      <c r="AE45" s="678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4" t="s">
        <v>729</v>
      </c>
      <c r="Y46" s="716">
        <v>1.7</v>
      </c>
      <c r="Z46" s="716">
        <v>2.6</v>
      </c>
      <c r="AA46" s="716">
        <v>1.8</v>
      </c>
      <c r="AB46" s="716">
        <v>1.6</v>
      </c>
      <c r="AC46" s="716">
        <v>2.2999999999999998</v>
      </c>
      <c r="AD46" s="678"/>
      <c r="AE46" s="678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4" t="s">
        <v>721</v>
      </c>
      <c r="Y47" s="716">
        <v>1.6</v>
      </c>
      <c r="Z47" s="730">
        <v>2.5</v>
      </c>
      <c r="AA47" s="730">
        <v>1.9</v>
      </c>
      <c r="AB47" s="839">
        <v>1.6</v>
      </c>
      <c r="AC47" s="839"/>
      <c r="AD47" s="678"/>
      <c r="AE47" s="678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8"/>
      <c r="Y48" s="716"/>
      <c r="Z48" s="678"/>
      <c r="AA48" s="678"/>
      <c r="AB48" s="678"/>
      <c r="AC48" s="678"/>
      <c r="AD48" s="678"/>
      <c r="AE48" s="678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4" t="s">
        <v>726</v>
      </c>
      <c r="Y49" s="716">
        <v>20</v>
      </c>
      <c r="Z49" s="714" t="s">
        <v>761</v>
      </c>
      <c r="AA49" s="719">
        <v>20</v>
      </c>
      <c r="AB49" s="719">
        <v>25</v>
      </c>
      <c r="AC49" s="719">
        <v>20</v>
      </c>
      <c r="AD49" s="678"/>
      <c r="AE49" s="678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4" t="s">
        <v>733</v>
      </c>
      <c r="Y50" s="716"/>
      <c r="Z50" s="678"/>
      <c r="AA50" s="678"/>
      <c r="AB50" s="719">
        <v>35</v>
      </c>
      <c r="AC50" s="719">
        <v>30</v>
      </c>
      <c r="AD50" s="678"/>
      <c r="AE50" s="678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4" t="s">
        <v>757</v>
      </c>
      <c r="Y51" s="716">
        <v>24</v>
      </c>
      <c r="Z51" s="730">
        <v>25</v>
      </c>
      <c r="AA51" s="730">
        <v>24</v>
      </c>
      <c r="AB51" s="730">
        <v>37</v>
      </c>
      <c r="AC51" s="730"/>
      <c r="AD51" s="678"/>
      <c r="AE51" s="678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1"/>
      <c r="Y52" s="717"/>
      <c r="Z52" s="678"/>
      <c r="AA52" s="678"/>
      <c r="AB52" s="678"/>
      <c r="AC52" s="678"/>
      <c r="AD52" s="678"/>
      <c r="AE52" s="678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4" t="s">
        <v>755</v>
      </c>
      <c r="Y53" s="718">
        <v>39</v>
      </c>
      <c r="Z53" s="426">
        <v>64</v>
      </c>
      <c r="AA53" s="426">
        <v>45</v>
      </c>
      <c r="AB53" s="426">
        <f>AB51*AB47</f>
        <v>59.2</v>
      </c>
      <c r="AC53" s="426"/>
      <c r="AD53" s="678"/>
      <c r="AE53" s="678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4" t="s">
        <v>758</v>
      </c>
      <c r="Y54" s="723">
        <f>Y53/Y57</f>
        <v>6.6895368782161235E-2</v>
      </c>
      <c r="Z54" s="723">
        <f>Z53/Z57</f>
        <v>6.8743286788399569E-2</v>
      </c>
      <c r="AA54" s="723">
        <f>AA53/AA57</f>
        <v>6.311360448807854E-2</v>
      </c>
      <c r="AB54" s="723">
        <f>AB53/AB57</f>
        <v>8.9022556390977448E-2</v>
      </c>
      <c r="AC54" s="723"/>
      <c r="AD54" s="678"/>
      <c r="AE54" s="678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4" t="s">
        <v>759</v>
      </c>
      <c r="Y55" s="716">
        <v>356</v>
      </c>
      <c r="Z55" s="730">
        <v>366</v>
      </c>
      <c r="AA55" s="730">
        <v>370</v>
      </c>
      <c r="AB55" s="730">
        <v>420</v>
      </c>
      <c r="AC55" s="730"/>
      <c r="AD55" s="678"/>
      <c r="AE55" s="678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4" t="s">
        <v>760</v>
      </c>
      <c r="Y56" s="716">
        <v>374</v>
      </c>
      <c r="Z56" s="716">
        <v>380</v>
      </c>
      <c r="AA56" s="716">
        <v>354</v>
      </c>
      <c r="AB56" s="716">
        <v>375</v>
      </c>
      <c r="AC56" s="716"/>
      <c r="AD56" s="678"/>
      <c r="AE56" s="678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0" t="s">
        <v>753</v>
      </c>
      <c r="Y57" s="718">
        <v>583</v>
      </c>
      <c r="Z57" s="426">
        <v>931</v>
      </c>
      <c r="AA57" s="426">
        <v>713</v>
      </c>
      <c r="AB57" s="426">
        <v>665</v>
      </c>
      <c r="AC57" s="426"/>
      <c r="AD57" s="678"/>
      <c r="AE57" s="678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4"/>
      <c r="Y58" s="718"/>
      <c r="Z58" s="678"/>
      <c r="AA58" s="678"/>
      <c r="AB58" s="678"/>
      <c r="AC58" s="678"/>
      <c r="AD58" s="678"/>
      <c r="AE58" s="678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4"/>
      <c r="Y59" s="718"/>
      <c r="Z59" s="678"/>
      <c r="AA59" s="678"/>
      <c r="AB59" s="678"/>
      <c r="AC59" s="678"/>
      <c r="AD59" s="678"/>
      <c r="AE59" s="678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5"/>
      <c r="Y60" s="718"/>
      <c r="Z60" s="678"/>
      <c r="AA60" s="678"/>
      <c r="AB60" s="678"/>
      <c r="AC60" s="678"/>
      <c r="AD60" s="678"/>
      <c r="AE60" s="678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4"/>
      <c r="Y61" s="718"/>
      <c r="Z61" s="678"/>
      <c r="AA61" s="678"/>
      <c r="AB61" s="678"/>
      <c r="AC61" s="678"/>
      <c r="AD61" s="678"/>
      <c r="AE61" s="678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5" t="s">
        <v>751</v>
      </c>
      <c r="Y62" s="718">
        <v>95</v>
      </c>
      <c r="Z62" s="678">
        <v>213.9</v>
      </c>
      <c r="AA62" s="678">
        <v>127.1</v>
      </c>
      <c r="AB62" s="678">
        <v>80.7</v>
      </c>
      <c r="AC62" s="678"/>
      <c r="AD62" s="678"/>
      <c r="AE62" s="678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5" t="s">
        <v>749</v>
      </c>
      <c r="Y63" s="718">
        <v>97</v>
      </c>
      <c r="Z63" s="678">
        <v>227.5</v>
      </c>
      <c r="AA63" s="678">
        <v>-429.8</v>
      </c>
      <c r="AB63" s="678">
        <v>42.3</v>
      </c>
      <c r="AC63" s="678"/>
      <c r="AD63" s="678"/>
      <c r="AE63" s="678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5" t="s">
        <v>748</v>
      </c>
      <c r="Y64" s="718">
        <v>0.28000000000000003</v>
      </c>
      <c r="Z64" s="678">
        <v>0.65</v>
      </c>
      <c r="AA64" s="678">
        <v>-1.23</v>
      </c>
      <c r="AB64" s="678"/>
      <c r="AC64" s="678"/>
      <c r="AD64" s="678"/>
      <c r="AE64" s="678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5" t="s">
        <v>950</v>
      </c>
      <c r="Y65" s="718"/>
      <c r="Z65" s="678"/>
      <c r="AA65" s="678">
        <v>0.34</v>
      </c>
      <c r="AB65" s="678">
        <v>0.11</v>
      </c>
      <c r="AC65" s="678"/>
      <c r="AD65" s="678"/>
      <c r="AE65" s="678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5" t="s">
        <v>750</v>
      </c>
      <c r="Y66" s="718">
        <v>1.8</v>
      </c>
      <c r="Z66" s="678">
        <v>1.98</v>
      </c>
      <c r="AA66" s="678">
        <v>2.09</v>
      </c>
      <c r="AB66" s="678">
        <v>1.93</v>
      </c>
      <c r="AC66" s="678"/>
      <c r="AD66" s="678"/>
      <c r="AE66" s="678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5"/>
      <c r="Y67" s="718"/>
      <c r="Z67" s="678"/>
      <c r="AA67" s="678"/>
      <c r="AB67" s="678"/>
      <c r="AC67" s="678"/>
      <c r="AD67" s="678"/>
      <c r="AE67" s="678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8" t="s">
        <v>838</v>
      </c>
      <c r="J68" s="39"/>
      <c r="K68" s="39">
        <v>2972</v>
      </c>
      <c r="L68" s="39"/>
      <c r="X68" s="715" t="s">
        <v>752</v>
      </c>
      <c r="Y68" s="718">
        <v>661</v>
      </c>
      <c r="Z68" s="678">
        <v>726.4</v>
      </c>
      <c r="AA68" s="678">
        <v>2194.4</v>
      </c>
      <c r="AB68" s="678">
        <v>703.1</v>
      </c>
      <c r="AC68" s="678"/>
      <c r="AD68" s="678"/>
      <c r="AE68" s="678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5" t="s">
        <v>1087</v>
      </c>
      <c r="Y69" s="718">
        <v>3800</v>
      </c>
      <c r="Z69" s="678">
        <v>3720</v>
      </c>
      <c r="AA69" s="678">
        <v>4878.1000000000004</v>
      </c>
      <c r="AB69" s="678">
        <v>4823.1000000000004</v>
      </c>
      <c r="AC69" s="678"/>
      <c r="AD69" s="678"/>
      <c r="AE69" s="678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4"/>
      <c r="Y70" s="718"/>
      <c r="Z70" s="678"/>
      <c r="AA70" s="678"/>
      <c r="AB70" s="678"/>
      <c r="AC70" s="678"/>
      <c r="AD70" s="678"/>
      <c r="AE70" s="678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4"/>
      <c r="Y71" s="718"/>
      <c r="Z71" s="678"/>
      <c r="AA71" s="678"/>
      <c r="AB71" s="678"/>
      <c r="AC71" s="678"/>
      <c r="AD71" s="678"/>
      <c r="AE71" s="678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4"/>
      <c r="Y72" s="718"/>
      <c r="Z72" s="678"/>
      <c r="AA72" s="678"/>
      <c r="AB72" s="678"/>
      <c r="AC72" s="678"/>
      <c r="AD72" s="678"/>
      <c r="AE72" s="678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8" t="s">
        <v>951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8" t="s">
        <v>978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8" t="s">
        <v>980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4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8" t="s">
        <v>1080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8" t="s">
        <v>1090</v>
      </c>
      <c r="J98" s="39"/>
      <c r="K98" s="39">
        <v>4181</v>
      </c>
      <c r="L98" s="39"/>
    </row>
    <row r="99" spans="1:12" x14ac:dyDescent="0.25">
      <c r="A99">
        <v>200</v>
      </c>
      <c r="B99" s="186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4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226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337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337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337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337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337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6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193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0" priority="72">
      <formula>F85&gt;0</formula>
    </cfRule>
    <cfRule type="expression" dxfId="1019" priority="73">
      <formula>F85&lt;0</formula>
    </cfRule>
  </conditionalFormatting>
  <conditionalFormatting sqref="Q7">
    <cfRule type="expression" dxfId="1018" priority="60">
      <formula>Q7&gt;0</formula>
    </cfRule>
    <cfRule type="expression" dxfId="1017" priority="61">
      <formula>Q7&lt;0</formula>
    </cfRule>
  </conditionalFormatting>
  <conditionalFormatting sqref="Q8">
    <cfRule type="expression" dxfId="1016" priority="58">
      <formula>Q8&gt;0</formula>
    </cfRule>
    <cfRule type="expression" dxfId="1015" priority="59">
      <formula>Q8&lt;0</formula>
    </cfRule>
  </conditionalFormatting>
  <conditionalFormatting sqref="F110:F122">
    <cfRule type="expression" dxfId="1014" priority="56">
      <formula>F110&gt;0</formula>
    </cfRule>
    <cfRule type="expression" dxfId="1013" priority="57">
      <formula>F110&lt;0</formula>
    </cfRule>
  </conditionalFormatting>
  <conditionalFormatting sqref="H110:H122">
    <cfRule type="expression" dxfId="1012" priority="54">
      <formula>H110&gt;0</formula>
    </cfRule>
    <cfRule type="expression" dxfId="1011" priority="55">
      <formula>H110&lt;0</formula>
    </cfRule>
  </conditionalFormatting>
  <conditionalFormatting sqref="H126:H129">
    <cfRule type="expression" dxfId="1010" priority="50">
      <formula>H126&gt;0</formula>
    </cfRule>
    <cfRule type="expression" dxfId="1009" priority="51">
      <formula>H126&lt;0</formula>
    </cfRule>
  </conditionalFormatting>
  <conditionalFormatting sqref="F126:F129">
    <cfRule type="expression" dxfId="1008" priority="52">
      <formula>F126&gt;0</formula>
    </cfRule>
    <cfRule type="expression" dxfId="1007" priority="53">
      <formula>F126&lt;0</formula>
    </cfRule>
  </conditionalFormatting>
  <conditionalFormatting sqref="M152">
    <cfRule type="expression" dxfId="1006" priority="48">
      <formula>M152&gt;0</formula>
    </cfRule>
    <cfRule type="expression" dxfId="1005" priority="49">
      <formula>M152&lt;0</formula>
    </cfRule>
  </conditionalFormatting>
  <conditionalFormatting sqref="F37:F38 F45:F82">
    <cfRule type="expression" dxfId="1004" priority="46">
      <formula>F37&gt;0</formula>
    </cfRule>
    <cfRule type="expression" dxfId="1003" priority="47">
      <formula>F37&lt;0</formula>
    </cfRule>
  </conditionalFormatting>
  <conditionalFormatting sqref="H37:H38 H45:H82">
    <cfRule type="expression" dxfId="1002" priority="44">
      <formula>H37&gt;0</formula>
    </cfRule>
    <cfRule type="expression" dxfId="1001" priority="45">
      <formula>H37&lt;0</formula>
    </cfRule>
  </conditionalFormatting>
  <conditionalFormatting sqref="Q10">
    <cfRule type="expression" dxfId="1000" priority="42">
      <formula>Q10&gt;0</formula>
    </cfRule>
    <cfRule type="expression" dxfId="999" priority="43">
      <formula>Q10&lt;0</formula>
    </cfRule>
  </conditionalFormatting>
  <conditionalFormatting sqref="F39:F44">
    <cfRule type="expression" dxfId="998" priority="40">
      <formula>F39&gt;0</formula>
    </cfRule>
    <cfRule type="expression" dxfId="997" priority="41">
      <formula>F39&lt;0</formula>
    </cfRule>
  </conditionalFormatting>
  <conditionalFormatting sqref="H39:H44">
    <cfRule type="expression" dxfId="996" priority="38">
      <formula>H39&gt;0</formula>
    </cfRule>
    <cfRule type="expression" dxfId="995" priority="39">
      <formula>H39&lt;0</formula>
    </cfRule>
  </conditionalFormatting>
  <conditionalFormatting sqref="K42:K49">
    <cfRule type="expression" dxfId="994" priority="36">
      <formula>K42&gt;0</formula>
    </cfRule>
    <cfRule type="expression" dxfId="993" priority="37">
      <formula>K42&lt;0</formula>
    </cfRule>
  </conditionalFormatting>
  <conditionalFormatting sqref="K50:K82">
    <cfRule type="expression" dxfId="992" priority="34">
      <formula>K50&gt;0</formula>
    </cfRule>
    <cfRule type="expression" dxfId="991" priority="35">
      <formula>K50&lt;0</formula>
    </cfRule>
  </conditionalFormatting>
  <conditionalFormatting sqref="F83:F84">
    <cfRule type="expression" dxfId="990" priority="31">
      <formula>F83&gt;0</formula>
    </cfRule>
    <cfRule type="expression" dxfId="989" priority="32">
      <formula>F83&lt;0</formula>
    </cfRule>
  </conditionalFormatting>
  <conditionalFormatting sqref="H83:H84">
    <cfRule type="expression" dxfId="988" priority="29">
      <formula>H83&gt;0</formula>
    </cfRule>
    <cfRule type="expression" dxfId="987" priority="30">
      <formula>H83&lt;0</formula>
    </cfRule>
  </conditionalFormatting>
  <conditionalFormatting sqref="K83:K84">
    <cfRule type="expression" dxfId="986" priority="27">
      <formula>K83&gt;0</formula>
    </cfRule>
    <cfRule type="expression" dxfId="985" priority="28">
      <formula>K83&lt;0</formula>
    </cfRule>
  </conditionalFormatting>
  <conditionalFormatting sqref="F93:F95 H93:H95 K93:K95">
    <cfRule type="expression" dxfId="984" priority="23">
      <formula>F93&gt;0</formula>
    </cfRule>
    <cfRule type="expression" dxfId="983" priority="24">
      <formula>F93&lt;0</formula>
    </cfRule>
  </conditionalFormatting>
  <conditionalFormatting sqref="L85:L91 L105:L107">
    <cfRule type="expression" dxfId="982" priority="21">
      <formula>L85&gt;0</formula>
    </cfRule>
    <cfRule type="expression" dxfId="981" priority="22">
      <formula>L85&lt;0</formula>
    </cfRule>
  </conditionalFormatting>
  <conditionalFormatting sqref="L42:L49">
    <cfRule type="expression" dxfId="980" priority="19">
      <formula>L42&gt;0</formula>
    </cfRule>
    <cfRule type="expression" dxfId="979" priority="20">
      <formula>L42&lt;0</formula>
    </cfRule>
  </conditionalFormatting>
  <conditionalFormatting sqref="L50:L82">
    <cfRule type="expression" dxfId="978" priority="17">
      <formula>L50&gt;0</formula>
    </cfRule>
    <cfRule type="expression" dxfId="977" priority="18">
      <formula>L50&lt;0</formula>
    </cfRule>
  </conditionalFormatting>
  <conditionalFormatting sqref="L83:L84">
    <cfRule type="expression" dxfId="976" priority="15">
      <formula>L83&gt;0</formula>
    </cfRule>
    <cfRule type="expression" dxfId="975" priority="16">
      <formula>L83&lt;0</formula>
    </cfRule>
  </conditionalFormatting>
  <conditionalFormatting sqref="L93:L95">
    <cfRule type="expression" dxfId="974" priority="13">
      <formula>L93&gt;0</formula>
    </cfRule>
    <cfRule type="expression" dxfId="973" priority="14">
      <formula>L93&lt;0</formula>
    </cfRule>
  </conditionalFormatting>
  <conditionalFormatting sqref="K102:K104 F102:F104 H102:H104">
    <cfRule type="expression" dxfId="972" priority="11">
      <formula>F102&gt;0</formula>
    </cfRule>
    <cfRule type="expression" dxfId="971" priority="12">
      <formula>F102&lt;0</formula>
    </cfRule>
  </conditionalFormatting>
  <conditionalFormatting sqref="L102:L104">
    <cfRule type="expression" dxfId="970" priority="9">
      <formula>L102&gt;0</formula>
    </cfRule>
    <cfRule type="expression" dxfId="969" priority="10">
      <formula>L102&lt;0</formula>
    </cfRule>
  </conditionalFormatting>
  <conditionalFormatting sqref="K99:K101 F99:F101 H99:H101">
    <cfRule type="expression" dxfId="968" priority="7">
      <formula>F99&gt;0</formula>
    </cfRule>
    <cfRule type="expression" dxfId="967" priority="8">
      <formula>F99&lt;0</formula>
    </cfRule>
  </conditionalFormatting>
  <conditionalFormatting sqref="L99:L101">
    <cfRule type="expression" dxfId="966" priority="5">
      <formula>L99&gt;0</formula>
    </cfRule>
    <cfRule type="expression" dxfId="965" priority="6">
      <formula>L99&lt;0</formula>
    </cfRule>
  </conditionalFormatting>
  <conditionalFormatting sqref="K96:K98 F96:F98 H96:H98">
    <cfRule type="expression" dxfId="964" priority="3">
      <formula>F96&gt;0</formula>
    </cfRule>
    <cfRule type="expression" dxfId="963" priority="4">
      <formula>F96&lt;0</formula>
    </cfRule>
  </conditionalFormatting>
  <conditionalFormatting sqref="L97:L98">
    <cfRule type="expression" dxfId="962" priority="1">
      <formula>L97&gt;0</formula>
    </cfRule>
    <cfRule type="expression" dxfId="961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60.12</v>
      </c>
      <c r="R4" s="477">
        <v>3.3E-3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224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235</v>
      </c>
      <c r="M55" s="252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193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0" priority="9">
      <formula>F39&gt;0</formula>
    </cfRule>
    <cfRule type="expression" dxfId="959" priority="10">
      <formula>F39&lt;0</formula>
    </cfRule>
  </conditionalFormatting>
  <conditionalFormatting sqref="F25:F38">
    <cfRule type="expression" dxfId="958" priority="7">
      <formula>F25&gt;0</formula>
    </cfRule>
    <cfRule type="expression" dxfId="957" priority="8">
      <formula>F25&lt;0</formula>
    </cfRule>
  </conditionalFormatting>
  <conditionalFormatting sqref="H25:H38">
    <cfRule type="expression" dxfId="956" priority="5">
      <formula>H25&gt;0</formula>
    </cfRule>
    <cfRule type="expression" dxfId="955" priority="6">
      <formula>H25&lt;0</formula>
    </cfRule>
  </conditionalFormatting>
  <conditionalFormatting sqref="Q7">
    <cfRule type="expression" dxfId="954" priority="3">
      <formula>Q7&gt;0</formula>
    </cfRule>
    <cfRule type="expression" dxfId="953" priority="4">
      <formula>Q7&lt;0</formula>
    </cfRule>
  </conditionalFormatting>
  <conditionalFormatting sqref="Q8">
    <cfRule type="expression" dxfId="952" priority="1">
      <formula>Q8&gt;0</formula>
    </cfRule>
    <cfRule type="expression" dxfId="95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438.58</v>
      </c>
      <c r="R4" s="497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178</v>
      </c>
      <c r="L24" s="222"/>
      <c r="O24" s="81">
        <v>1.01</v>
      </c>
      <c r="P24" s="81">
        <f t="shared" si="0"/>
        <v>442.9658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438.58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434.19419999999997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429.80839999999995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425.42259999999999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421.03679999999997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416.65099999999995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412.26519999999994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399.1078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394.72199999999998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5401.7800000000007</v>
      </c>
      <c r="G84" s="518"/>
      <c r="H84" s="540">
        <f>SUM(H68:H71)</f>
        <v>20</v>
      </c>
      <c r="I84" s="519"/>
      <c r="J84" s="519"/>
      <c r="K84" s="519">
        <f>SUM(K68:K71)</f>
        <v>6666.64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0" priority="29">
      <formula>F29&gt;0</formula>
    </cfRule>
    <cfRule type="expression" dxfId="949" priority="30">
      <formula>F29&lt;0</formula>
    </cfRule>
  </conditionalFormatting>
  <conditionalFormatting sqref="Q7">
    <cfRule type="expression" dxfId="948" priority="27">
      <formula>Q7&gt;0</formula>
    </cfRule>
    <cfRule type="expression" dxfId="947" priority="28">
      <formula>Q7&lt;0</formula>
    </cfRule>
  </conditionalFormatting>
  <conditionalFormatting sqref="Q8">
    <cfRule type="expression" dxfId="946" priority="25">
      <formula>Q8&gt;0</formula>
    </cfRule>
    <cfRule type="expression" dxfId="945" priority="26">
      <formula>Q8&lt;0</formula>
    </cfRule>
  </conditionalFormatting>
  <conditionalFormatting sqref="F96:F110">
    <cfRule type="expression" dxfId="944" priority="19">
      <formula>F96&gt;0</formula>
    </cfRule>
    <cfRule type="expression" dxfId="943" priority="20">
      <formula>F96&lt;0</formula>
    </cfRule>
  </conditionalFormatting>
  <conditionalFormatting sqref="H96:H110">
    <cfRule type="expression" dxfId="942" priority="17">
      <formula>H96&gt;0</formula>
    </cfRule>
    <cfRule type="expression" dxfId="941" priority="18">
      <formula>H96&lt;0</formula>
    </cfRule>
  </conditionalFormatting>
  <conditionalFormatting sqref="Q10">
    <cfRule type="expression" dxfId="940" priority="15">
      <formula>Q10&gt;0</formula>
    </cfRule>
    <cfRule type="expression" dxfId="939" priority="16">
      <formula>Q10&lt;0</formula>
    </cfRule>
  </conditionalFormatting>
  <conditionalFormatting sqref="L29:L38">
    <cfRule type="expression" dxfId="938" priority="9">
      <formula>L29&gt;0</formula>
    </cfRule>
    <cfRule type="expression" dxfId="937" priority="10">
      <formula>L29&lt;0</formula>
    </cfRule>
  </conditionalFormatting>
  <conditionalFormatting sqref="F27:F29 H27:H29 J25:K29">
    <cfRule type="expression" dxfId="936" priority="7">
      <formula>F25&gt;0</formula>
    </cfRule>
    <cfRule type="expression" dxfId="935" priority="8">
      <formula>F25&lt;0</formula>
    </cfRule>
  </conditionalFormatting>
  <conditionalFormatting sqref="L25:L29">
    <cfRule type="expression" dxfId="934" priority="5">
      <formula>L25&gt;0</formula>
    </cfRule>
    <cfRule type="expression" dxfId="933" priority="6">
      <formula>L25&lt;0</formula>
    </cfRule>
  </conditionalFormatting>
  <conditionalFormatting sqref="F25:F26">
    <cfRule type="expression" dxfId="932" priority="3">
      <formula>F25&gt;0</formula>
    </cfRule>
    <cfRule type="expression" dxfId="931" priority="4">
      <formula>F25&lt;0</formula>
    </cfRule>
  </conditionalFormatting>
  <conditionalFormatting sqref="H25:H26">
    <cfRule type="expression" dxfId="930" priority="1">
      <formula>H25&gt;0</formula>
    </cfRule>
    <cfRule type="expression" dxfId="92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859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895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3">
        <f>IF(Q2=0, Q4, (F18-K18-M18)/Q2)</f>
        <v>86.579599999999985</v>
      </c>
      <c r="T3" s="1">
        <v>43114</v>
      </c>
      <c r="U3" t="s">
        <v>896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88.669899999999998</v>
      </c>
      <c r="R4" s="497">
        <v>4.4000000000000003E-3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8866.99</v>
      </c>
      <c r="T5" s="1">
        <v>43121</v>
      </c>
      <c r="U5" t="s">
        <v>914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209.03000000000065</v>
      </c>
      <c r="R7">
        <v>20</v>
      </c>
      <c r="T7" s="1">
        <v>43138</v>
      </c>
      <c r="U7" t="s">
        <v>996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209.03000000000065</v>
      </c>
      <c r="T8" s="1"/>
      <c r="U8" t="s">
        <v>997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2.4143100684225923E-2</v>
      </c>
      <c r="U9" t="s">
        <v>998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2.5713348047082491E-2</v>
      </c>
      <c r="R11">
        <f>0.57</f>
        <v>0.56999999999999995</v>
      </c>
      <c r="W11" s="134"/>
    </row>
    <row r="12" spans="1:23" x14ac:dyDescent="0.25">
      <c r="H12" s="70"/>
      <c r="O12" s="11" t="s">
        <v>958</v>
      </c>
      <c r="Q12" s="1"/>
      <c r="W12" s="134"/>
    </row>
    <row r="13" spans="1:23" x14ac:dyDescent="0.25">
      <c r="H13" s="70"/>
      <c r="O13" s="11" t="s">
        <v>986</v>
      </c>
      <c r="Q13" s="2">
        <f>Q4/6.6</f>
        <v>13.434833333333334</v>
      </c>
      <c r="T13" s="1">
        <v>43213</v>
      </c>
      <c r="U13" t="s">
        <v>999</v>
      </c>
      <c r="W13" s="134"/>
    </row>
    <row r="14" spans="1:23" x14ac:dyDescent="0.25">
      <c r="H14" s="70"/>
      <c r="U14" t="s">
        <v>1041</v>
      </c>
      <c r="W14" s="134"/>
    </row>
    <row r="15" spans="1:23" x14ac:dyDescent="0.25">
      <c r="H15" s="70"/>
      <c r="U15" t="s">
        <v>1042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97.53689</v>
      </c>
      <c r="W19" s="134"/>
    </row>
    <row r="20" spans="1:23" x14ac:dyDescent="0.25">
      <c r="O20" s="81">
        <v>1.0900000000000001</v>
      </c>
      <c r="P20" s="81">
        <f t="shared" ref="P20:P39" si="0">O20*$Q$4</f>
        <v>96.650191000000007</v>
      </c>
      <c r="W20" s="134"/>
    </row>
    <row r="21" spans="1:23" x14ac:dyDescent="0.25">
      <c r="O21" s="81">
        <v>1.08</v>
      </c>
      <c r="P21" s="81">
        <f t="shared" si="0"/>
        <v>95.763491999999999</v>
      </c>
      <c r="W21" s="134"/>
    </row>
    <row r="22" spans="1:23" x14ac:dyDescent="0.25">
      <c r="O22" s="81">
        <v>1.07</v>
      </c>
      <c r="P22" s="81">
        <f t="shared" si="0"/>
        <v>94.876793000000006</v>
      </c>
      <c r="W22" s="134"/>
    </row>
    <row r="23" spans="1:23" x14ac:dyDescent="0.25">
      <c r="O23" s="81">
        <v>1.06</v>
      </c>
      <c r="P23" s="81">
        <f t="shared" si="0"/>
        <v>93.990093999999999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986</v>
      </c>
      <c r="L24" s="222"/>
      <c r="O24" s="81">
        <v>1.05</v>
      </c>
      <c r="P24" s="81">
        <f t="shared" si="0"/>
        <v>93.103395000000006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92.216695999999999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91.329997000000006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90.443297999999999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89.556599000000006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88.669899999999998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87.783200999999991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86.896501999999998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86.009802999999991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85.123103999999998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84.236404999999991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83.349705999999998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82.463007000000005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4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81.576307999999997</v>
      </c>
      <c r="W37" s="134"/>
    </row>
    <row r="38" spans="1:23" x14ac:dyDescent="0.25">
      <c r="A38">
        <v>20</v>
      </c>
      <c r="B38" s="186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4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80.689609000000004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79.802909999999997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859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8" priority="25">
      <formula>F47&gt;0</formula>
    </cfRule>
    <cfRule type="expression" dxfId="927" priority="26">
      <formula>F47&lt;0</formula>
    </cfRule>
  </conditionalFormatting>
  <conditionalFormatting sqref="Q7">
    <cfRule type="expression" dxfId="926" priority="23">
      <formula>Q7&gt;0</formula>
    </cfRule>
    <cfRule type="expression" dxfId="925" priority="24">
      <formula>Q7&lt;0</formula>
    </cfRule>
  </conditionalFormatting>
  <conditionalFormatting sqref="Q8">
    <cfRule type="expression" dxfId="924" priority="21">
      <formula>Q8&gt;0</formula>
    </cfRule>
    <cfRule type="expression" dxfId="923" priority="22">
      <formula>Q8&lt;0</formula>
    </cfRule>
  </conditionalFormatting>
  <conditionalFormatting sqref="F25:F29 F34:F46">
    <cfRule type="expression" dxfId="922" priority="19">
      <formula>F25&gt;0</formula>
    </cfRule>
    <cfRule type="expression" dxfId="921" priority="20">
      <formula>F25&lt;0</formula>
    </cfRule>
  </conditionalFormatting>
  <conditionalFormatting sqref="H25:H29 H34:H46">
    <cfRule type="expression" dxfId="920" priority="17">
      <formula>H25&gt;0</formula>
    </cfRule>
    <cfRule type="expression" dxfId="919" priority="18">
      <formula>H25&lt;0</formula>
    </cfRule>
  </conditionalFormatting>
  <conditionalFormatting sqref="F89:F110">
    <cfRule type="expression" dxfId="918" priority="15">
      <formula>F89&gt;0</formula>
    </cfRule>
    <cfRule type="expression" dxfId="917" priority="16">
      <formula>F89&lt;0</formula>
    </cfRule>
  </conditionalFormatting>
  <conditionalFormatting sqref="H89:H110">
    <cfRule type="expression" dxfId="916" priority="13">
      <formula>H89&gt;0</formula>
    </cfRule>
    <cfRule type="expression" dxfId="915" priority="14">
      <formula>H89&lt;0</formula>
    </cfRule>
  </conditionalFormatting>
  <conditionalFormatting sqref="Q10">
    <cfRule type="expression" dxfId="914" priority="11">
      <formula>Q10&gt;0</formula>
    </cfRule>
    <cfRule type="expression" dxfId="913" priority="12">
      <formula>Q10&lt;0</formula>
    </cfRule>
  </conditionalFormatting>
  <conditionalFormatting sqref="J25:J32 J34:J38">
    <cfRule type="expression" dxfId="912" priority="9">
      <formula>J25&gt;0</formula>
    </cfRule>
    <cfRule type="expression" dxfId="911" priority="10">
      <formula>J25&lt;0</formula>
    </cfRule>
  </conditionalFormatting>
  <conditionalFormatting sqref="K25:K30">
    <cfRule type="expression" dxfId="910" priority="7">
      <formula>K25&gt;0</formula>
    </cfRule>
    <cfRule type="expression" dxfId="909" priority="8">
      <formula>K25&lt;0</formula>
    </cfRule>
  </conditionalFormatting>
  <conditionalFormatting sqref="L25:L38">
    <cfRule type="expression" dxfId="908" priority="5">
      <formula>L25&gt;0</formula>
    </cfRule>
    <cfRule type="expression" dxfId="907" priority="6">
      <formula>L25&lt;0</formula>
    </cfRule>
  </conditionalFormatting>
  <conditionalFormatting sqref="F30:F33">
    <cfRule type="expression" dxfId="906" priority="3">
      <formula>F30&gt;0</formula>
    </cfRule>
    <cfRule type="expression" dxfId="905" priority="4">
      <formula>F30&lt;0</formula>
    </cfRule>
  </conditionalFormatting>
  <conditionalFormatting sqref="H30:H33">
    <cfRule type="expression" dxfId="904" priority="1">
      <formula>H30&gt;0</formula>
    </cfRule>
    <cfRule type="expression" dxfId="903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742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1035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72.28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7">
        <v>-1.6999999999999999E-3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822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821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958</v>
      </c>
      <c r="Q12" s="1" t="s">
        <v>1059</v>
      </c>
      <c r="T12" s="1">
        <v>43114</v>
      </c>
      <c r="U12" t="s">
        <v>877</v>
      </c>
      <c r="W12" s="134"/>
    </row>
    <row r="13" spans="1:23" x14ac:dyDescent="0.25">
      <c r="H13" s="70"/>
      <c r="O13" s="11" t="s">
        <v>986</v>
      </c>
      <c r="Q13" s="2">
        <f>Q4/(4.03+4.14)*2</f>
        <v>17.694002447980417</v>
      </c>
      <c r="U13" t="s">
        <v>878</v>
      </c>
      <c r="W13" s="134"/>
    </row>
    <row r="14" spans="1:23" x14ac:dyDescent="0.25">
      <c r="H14" s="70"/>
      <c r="U14" t="s">
        <v>880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879</v>
      </c>
      <c r="L34" s="157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905</v>
      </c>
      <c r="L35" s="157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928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742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2" priority="25">
      <formula>F25&gt;0</formula>
    </cfRule>
    <cfRule type="expression" dxfId="901" priority="26">
      <formula>F25&lt;0</formula>
    </cfRule>
  </conditionalFormatting>
  <conditionalFormatting sqref="Q7">
    <cfRule type="expression" dxfId="900" priority="23">
      <formula>Q7&gt;0</formula>
    </cfRule>
    <cfRule type="expression" dxfId="899" priority="24">
      <formula>Q7&lt;0</formula>
    </cfRule>
  </conditionalFormatting>
  <conditionalFormatting sqref="Q8">
    <cfRule type="expression" dxfId="898" priority="21">
      <formula>Q8&gt;0</formula>
    </cfRule>
    <cfRule type="expression" dxfId="897" priority="22">
      <formula>Q8&lt;0</formula>
    </cfRule>
  </conditionalFormatting>
  <conditionalFormatting sqref="F25:F43 F49:F58">
    <cfRule type="expression" dxfId="896" priority="19">
      <formula>F25&gt;0</formula>
    </cfRule>
    <cfRule type="expression" dxfId="895" priority="20">
      <formula>F25&lt;0</formula>
    </cfRule>
  </conditionalFormatting>
  <conditionalFormatting sqref="H25:H43 H49:H58">
    <cfRule type="expression" dxfId="894" priority="17">
      <formula>H25&gt;0</formula>
    </cfRule>
    <cfRule type="expression" dxfId="893" priority="18">
      <formula>H25&lt;0</formula>
    </cfRule>
  </conditionalFormatting>
  <conditionalFormatting sqref="F89:F110">
    <cfRule type="expression" dxfId="892" priority="15">
      <formula>F89&gt;0</formula>
    </cfRule>
    <cfRule type="expression" dxfId="891" priority="16">
      <formula>F89&lt;0</formula>
    </cfRule>
  </conditionalFormatting>
  <conditionalFormatting sqref="H89:H110">
    <cfRule type="expression" dxfId="890" priority="13">
      <formula>H89&gt;0</formula>
    </cfRule>
    <cfRule type="expression" dxfId="889" priority="14">
      <formula>H89&lt;0</formula>
    </cfRule>
  </conditionalFormatting>
  <conditionalFormatting sqref="Q10">
    <cfRule type="expression" dxfId="888" priority="11">
      <formula>Q10&gt;0</formula>
    </cfRule>
    <cfRule type="expression" dxfId="887" priority="12">
      <formula>Q10&lt;0</formula>
    </cfRule>
  </conditionalFormatting>
  <conditionalFormatting sqref="J36:J38">
    <cfRule type="expression" dxfId="886" priority="9">
      <formula>J36&gt;0</formula>
    </cfRule>
    <cfRule type="expression" dxfId="885" priority="10">
      <formula>J36&lt;0</formula>
    </cfRule>
  </conditionalFormatting>
  <conditionalFormatting sqref="K36:K38">
    <cfRule type="expression" dxfId="884" priority="7">
      <formula>K36&gt;0</formula>
    </cfRule>
    <cfRule type="expression" dxfId="883" priority="8">
      <formula>K36&lt;0</formula>
    </cfRule>
  </conditionalFormatting>
  <conditionalFormatting sqref="L25:L38">
    <cfRule type="expression" dxfId="882" priority="5">
      <formula>L25&gt;0</formula>
    </cfRule>
    <cfRule type="expression" dxfId="881" priority="6">
      <formula>L25&lt;0</formula>
    </cfRule>
  </conditionalFormatting>
  <conditionalFormatting sqref="F44:F48">
    <cfRule type="expression" dxfId="880" priority="3">
      <formula>F44&gt;0</formula>
    </cfRule>
    <cfRule type="expression" dxfId="879" priority="4">
      <formula>F44&lt;0</formula>
    </cfRule>
  </conditionalFormatting>
  <conditionalFormatting sqref="H44:H48">
    <cfRule type="expression" dxfId="878" priority="1">
      <formula>H44&gt;0</formula>
    </cfRule>
    <cfRule type="expression" dxfId="877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1032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22.66</v>
      </c>
      <c r="R4" s="497">
        <v>-7.4999999999999997E-3</v>
      </c>
      <c r="U4" t="s">
        <v>1033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13596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894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-3886.5900000000038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-3886.5900000000038</v>
      </c>
      <c r="T8" s="1">
        <v>43121</v>
      </c>
      <c r="U8" t="s">
        <v>913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-0.22231202584971693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4.5895851721094442E-2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958</v>
      </c>
      <c r="Q12" s="1" t="s">
        <v>1034</v>
      </c>
      <c r="T12" s="1">
        <v>43223</v>
      </c>
      <c r="U12" t="s">
        <v>1076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986</v>
      </c>
      <c r="Q13">
        <f>Q4/(1.65+1.75)*2</f>
        <v>13.329411764705883</v>
      </c>
      <c r="U13" t="s">
        <v>1077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1079</v>
      </c>
      <c r="Q14" s="29">
        <v>43226</v>
      </c>
      <c r="U14" t="s">
        <v>1078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1091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1106</v>
      </c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24.926000000000002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24.699400000000001</v>
      </c>
      <c r="W20" s="134"/>
    </row>
    <row r="21" spans="1:23" x14ac:dyDescent="0.25">
      <c r="O21" s="81">
        <v>1.08</v>
      </c>
      <c r="P21" s="81">
        <f t="shared" si="3"/>
        <v>24.472800000000003</v>
      </c>
      <c r="W21" s="134"/>
    </row>
    <row r="22" spans="1:23" x14ac:dyDescent="0.25">
      <c r="O22" s="81">
        <v>1.07</v>
      </c>
      <c r="P22" s="81">
        <f t="shared" si="3"/>
        <v>24.246200000000002</v>
      </c>
      <c r="W22" s="134"/>
    </row>
    <row r="23" spans="1:23" x14ac:dyDescent="0.25">
      <c r="O23" s="81">
        <v>1.06</v>
      </c>
      <c r="P23" s="81">
        <f t="shared" si="3"/>
        <v>24.019600000000001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1.05</v>
      </c>
      <c r="P24" s="81">
        <f t="shared" si="3"/>
        <v>23.793000000000003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23.566400000000002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23.3398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23.113199999999999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22.886600000000001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22.66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22.433399999999999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22.206800000000001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21.9802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21.753599999999999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2" t="s">
        <v>955</v>
      </c>
      <c r="L34" s="157"/>
      <c r="O34" s="81">
        <v>0.95</v>
      </c>
      <c r="P34" s="81">
        <f t="shared" si="3"/>
        <v>21.526999999999997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21.3004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21.073800000000002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20.847200000000001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20.6206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20.394000000000002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833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6" priority="21">
      <formula>F25&gt;0</formula>
    </cfRule>
    <cfRule type="expression" dxfId="875" priority="22">
      <formula>F25&lt;0</formula>
    </cfRule>
  </conditionalFormatting>
  <conditionalFormatting sqref="Q7">
    <cfRule type="expression" dxfId="874" priority="19">
      <formula>Q7&gt;0</formula>
    </cfRule>
    <cfRule type="expression" dxfId="873" priority="20">
      <formula>Q7&lt;0</formula>
    </cfRule>
  </conditionalFormatting>
  <conditionalFormatting sqref="Q8">
    <cfRule type="expression" dxfId="872" priority="17">
      <formula>Q8&gt;0</formula>
    </cfRule>
    <cfRule type="expression" dxfId="871" priority="18">
      <formula>Q8&lt;0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241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54.7</v>
      </c>
      <c r="T3" s="1">
        <v>42621</v>
      </c>
      <c r="U3" s="33" t="s">
        <v>257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54.7</v>
      </c>
      <c r="R4" s="477">
        <v>-3.1899999999999998E-2</v>
      </c>
      <c r="T4" s="1">
        <v>42627</v>
      </c>
      <c r="U4" s="33" t="s">
        <v>257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468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523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209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193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2" t="s">
        <v>78</v>
      </c>
      <c r="P24" s="662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718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503</v>
      </c>
      <c r="K29" s="222" t="s">
        <v>470</v>
      </c>
      <c r="L29" s="222" t="s">
        <v>678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289</v>
      </c>
      <c r="N46" s="4"/>
      <c r="S46" s="4"/>
      <c r="T46" s="4"/>
      <c r="U46" s="107"/>
    </row>
    <row r="47" spans="1:32" x14ac:dyDescent="0.25">
      <c r="B47" s="524">
        <v>42304</v>
      </c>
      <c r="C47" s="528">
        <v>5100</v>
      </c>
      <c r="D47" s="575">
        <v>17.29</v>
      </c>
      <c r="E47" s="529">
        <v>16.68</v>
      </c>
      <c r="F47" s="529">
        <f t="shared" ref="F47:F84" si="1">-C47*(D47-E47)</f>
        <v>-3110.9999999999973</v>
      </c>
      <c r="G47" s="529">
        <f t="shared" ref="G47:G56" si="2">IF(C47=0, 0,D47*C47)</f>
        <v>88179</v>
      </c>
      <c r="H47" s="576">
        <f t="shared" ref="H47:H61" si="3">IF(C47=0, D47, (E47-D47)/D47)</f>
        <v>-3.5280508964719459E-2</v>
      </c>
      <c r="I47" s="529"/>
      <c r="J47" s="529"/>
      <c r="N47" s="4"/>
      <c r="S47" s="4"/>
      <c r="T47" s="4"/>
      <c r="U47" s="107"/>
    </row>
    <row r="48" spans="1:32" x14ac:dyDescent="0.25">
      <c r="B48" s="524">
        <v>42305</v>
      </c>
      <c r="C48" s="528">
        <v>4900</v>
      </c>
      <c r="D48" s="575">
        <v>17.29</v>
      </c>
      <c r="E48" s="529">
        <v>16.920000000000002</v>
      </c>
      <c r="F48" s="529">
        <f t="shared" si="1"/>
        <v>-1812.9999999999875</v>
      </c>
      <c r="G48" s="529">
        <f t="shared" si="2"/>
        <v>84721</v>
      </c>
      <c r="H48" s="576">
        <f t="shared" si="3"/>
        <v>-2.1399652978600199E-2</v>
      </c>
      <c r="I48" s="529"/>
      <c r="J48" s="529"/>
      <c r="N48" s="4"/>
      <c r="S48" s="414"/>
      <c r="T48" s="414"/>
      <c r="U48" s="415"/>
    </row>
    <row r="49" spans="2:32" x14ac:dyDescent="0.25">
      <c r="B49" s="524">
        <v>42306</v>
      </c>
      <c r="C49" s="528">
        <v>5100</v>
      </c>
      <c r="D49" s="575">
        <v>17.25</v>
      </c>
      <c r="E49" s="529">
        <v>16.21</v>
      </c>
      <c r="F49" s="529">
        <f t="shared" si="1"/>
        <v>-5303.9999999999955</v>
      </c>
      <c r="G49" s="529">
        <f t="shared" si="2"/>
        <v>87975</v>
      </c>
      <c r="H49" s="576">
        <f t="shared" si="3"/>
        <v>-6.0289855072463719E-2</v>
      </c>
      <c r="I49" s="529"/>
      <c r="J49" s="529"/>
      <c r="N49" s="4"/>
      <c r="S49" s="4"/>
      <c r="T49" s="4"/>
      <c r="U49" s="226"/>
    </row>
    <row r="50" spans="2:32" x14ac:dyDescent="0.25">
      <c r="B50" s="524">
        <v>42311</v>
      </c>
      <c r="C50" s="528">
        <v>2710</v>
      </c>
      <c r="D50" s="575">
        <v>16.989999999999998</v>
      </c>
      <c r="E50" s="529">
        <v>17.84</v>
      </c>
      <c r="F50" s="529">
        <f t="shared" si="1"/>
        <v>2303.5000000000036</v>
      </c>
      <c r="G50" s="529">
        <f t="shared" si="2"/>
        <v>46042.899999999994</v>
      </c>
      <c r="H50" s="576">
        <f t="shared" si="3"/>
        <v>5.0029429075927105E-2</v>
      </c>
      <c r="I50" s="529"/>
      <c r="J50" s="529"/>
      <c r="N50" s="4"/>
      <c r="S50" s="4"/>
      <c r="T50" s="4"/>
      <c r="U50" s="226"/>
      <c r="AC50" s="227"/>
      <c r="AF50" s="227"/>
    </row>
    <row r="51" spans="2:32" x14ac:dyDescent="0.25">
      <c r="B51" s="524">
        <v>42312</v>
      </c>
      <c r="C51" s="528">
        <v>2902</v>
      </c>
      <c r="D51" s="575">
        <v>16.989999999999998</v>
      </c>
      <c r="E51" s="529">
        <v>17.440000000000001</v>
      </c>
      <c r="F51" s="529">
        <f t="shared" si="1"/>
        <v>1305.9000000000083</v>
      </c>
      <c r="G51" s="529">
        <f t="shared" si="2"/>
        <v>49304.979999999996</v>
      </c>
      <c r="H51" s="576">
        <f t="shared" si="3"/>
        <v>2.6486168334314473E-2</v>
      </c>
      <c r="I51" s="529"/>
      <c r="J51" s="529"/>
      <c r="N51" s="4"/>
      <c r="S51" s="4"/>
      <c r="T51" s="4"/>
      <c r="U51" s="226"/>
    </row>
    <row r="52" spans="2:32" x14ac:dyDescent="0.25">
      <c r="B52" s="524">
        <v>42313</v>
      </c>
      <c r="C52" s="528">
        <v>5710</v>
      </c>
      <c r="D52" s="575">
        <v>16.91</v>
      </c>
      <c r="E52" s="529">
        <v>16.510000000000002</v>
      </c>
      <c r="F52" s="529">
        <f t="shared" si="1"/>
        <v>-2283.9999999999918</v>
      </c>
      <c r="G52" s="529">
        <f t="shared" si="2"/>
        <v>96556.1</v>
      </c>
      <c r="H52" s="576">
        <f t="shared" si="3"/>
        <v>-2.3654642223536283E-2</v>
      </c>
      <c r="I52" s="529"/>
      <c r="J52" s="529"/>
      <c r="N52" s="4"/>
      <c r="S52" s="4"/>
      <c r="T52" s="4"/>
      <c r="U52" s="226"/>
    </row>
    <row r="53" spans="2:32" x14ac:dyDescent="0.25">
      <c r="B53" s="524">
        <v>42314</v>
      </c>
      <c r="C53" s="528">
        <v>4710</v>
      </c>
      <c r="D53" s="575">
        <v>16.95</v>
      </c>
      <c r="E53" s="529">
        <v>16.45</v>
      </c>
      <c r="F53" s="529">
        <f t="shared" si="1"/>
        <v>-2355</v>
      </c>
      <c r="G53" s="529">
        <f t="shared" si="2"/>
        <v>79834.5</v>
      </c>
      <c r="H53" s="576">
        <f t="shared" si="3"/>
        <v>-2.9498525073746312E-2</v>
      </c>
      <c r="I53" s="529"/>
      <c r="J53" s="529"/>
      <c r="N53" s="4"/>
      <c r="S53" s="4"/>
      <c r="T53" s="4"/>
      <c r="U53" s="226"/>
    </row>
    <row r="54" spans="2:32" x14ac:dyDescent="0.25">
      <c r="B54" s="524">
        <v>42317</v>
      </c>
      <c r="C54" s="528">
        <v>5060</v>
      </c>
      <c r="D54" s="575">
        <v>16.87</v>
      </c>
      <c r="E54" s="529">
        <v>15.84</v>
      </c>
      <c r="F54" s="529">
        <f t="shared" si="1"/>
        <v>-5211.8000000000056</v>
      </c>
      <c r="G54" s="529">
        <f t="shared" si="2"/>
        <v>85362.200000000012</v>
      </c>
      <c r="H54" s="576">
        <f t="shared" si="3"/>
        <v>-6.1055127445169E-2</v>
      </c>
      <c r="I54" s="529"/>
      <c r="J54" s="529"/>
      <c r="N54" s="4"/>
      <c r="S54" s="4"/>
      <c r="T54" s="4"/>
      <c r="U54" s="416"/>
      <c r="AC54" s="227"/>
      <c r="AF54" s="227"/>
    </row>
    <row r="55" spans="2:32" x14ac:dyDescent="0.25">
      <c r="B55" s="524">
        <v>42324</v>
      </c>
      <c r="C55" s="528">
        <v>6000</v>
      </c>
      <c r="D55" s="575">
        <v>16.54</v>
      </c>
      <c r="E55" s="529">
        <v>14.89</v>
      </c>
      <c r="F55" s="529">
        <f t="shared" si="1"/>
        <v>-9899.9999999999909</v>
      </c>
      <c r="G55" s="529">
        <f t="shared" si="2"/>
        <v>99240</v>
      </c>
      <c r="H55" s="576">
        <f t="shared" si="3"/>
        <v>-9.9758162031438849E-2</v>
      </c>
      <c r="I55" s="529"/>
      <c r="J55" s="529"/>
      <c r="N55" s="4"/>
      <c r="S55" s="4"/>
      <c r="T55" s="4"/>
      <c r="U55" s="107"/>
    </row>
    <row r="56" spans="2:32" x14ac:dyDescent="0.25">
      <c r="B56" s="524">
        <v>42325</v>
      </c>
      <c r="C56" s="528">
        <v>5060</v>
      </c>
      <c r="D56" s="575">
        <v>16.73</v>
      </c>
      <c r="E56" s="529">
        <v>15.28</v>
      </c>
      <c r="F56" s="529">
        <f t="shared" si="1"/>
        <v>-7337.0000000000055</v>
      </c>
      <c r="G56" s="529">
        <f t="shared" si="2"/>
        <v>84653.8</v>
      </c>
      <c r="H56" s="576">
        <f t="shared" si="3"/>
        <v>-8.6670651524208067E-2</v>
      </c>
      <c r="I56" s="529"/>
      <c r="J56" s="529"/>
      <c r="N56" s="4"/>
      <c r="S56" s="4"/>
      <c r="T56" s="4"/>
      <c r="U56" s="107"/>
    </row>
    <row r="57" spans="2:32" x14ac:dyDescent="0.25">
      <c r="B57" s="524">
        <v>42328</v>
      </c>
      <c r="C57" s="528">
        <v>6000</v>
      </c>
      <c r="D57" s="575">
        <v>16.52</v>
      </c>
      <c r="E57" s="529">
        <v>15.39</v>
      </c>
      <c r="F57" s="529">
        <f t="shared" si="1"/>
        <v>-6779.9999999999936</v>
      </c>
      <c r="G57" s="529">
        <f t="shared" ref="G57:G84" si="4">IF(C57=0, 0,D57*C57)</f>
        <v>99120</v>
      </c>
      <c r="H57" s="576">
        <f t="shared" si="3"/>
        <v>-6.8401937046004779E-2</v>
      </c>
      <c r="I57" s="529"/>
      <c r="J57" s="529"/>
      <c r="N57" s="4"/>
      <c r="S57" s="414"/>
      <c r="T57" s="414"/>
      <c r="U57" s="415"/>
    </row>
    <row r="58" spans="2:32" x14ac:dyDescent="0.25">
      <c r="B58" s="524">
        <v>42331</v>
      </c>
      <c r="C58" s="528">
        <v>5060</v>
      </c>
      <c r="D58" s="575">
        <v>16.68</v>
      </c>
      <c r="E58" s="529">
        <v>15.32</v>
      </c>
      <c r="F58" s="529">
        <f t="shared" si="1"/>
        <v>-6881.5999999999967</v>
      </c>
      <c r="G58" s="529">
        <f t="shared" si="4"/>
        <v>84400.8</v>
      </c>
      <c r="H58" s="576">
        <f t="shared" si="3"/>
        <v>-8.1534772182254162E-2</v>
      </c>
      <c r="I58" s="529"/>
      <c r="J58" s="529"/>
      <c r="N58" s="4"/>
      <c r="S58" s="4"/>
      <c r="T58" s="4"/>
      <c r="U58" s="226"/>
      <c r="AC58" s="227"/>
      <c r="AF58" s="227"/>
    </row>
    <row r="59" spans="2:32" x14ac:dyDescent="0.25">
      <c r="B59" s="524">
        <v>42338</v>
      </c>
      <c r="C59" s="528">
        <v>4710</v>
      </c>
      <c r="D59" s="575">
        <v>16.73</v>
      </c>
      <c r="E59" s="529">
        <v>15.93</v>
      </c>
      <c r="F59" s="529">
        <f t="shared" si="1"/>
        <v>-3768.0000000000032</v>
      </c>
      <c r="G59" s="529">
        <f t="shared" si="4"/>
        <v>78798.3</v>
      </c>
      <c r="H59" s="576">
        <f t="shared" si="3"/>
        <v>-4.7818290496114808E-2</v>
      </c>
      <c r="I59" s="529"/>
      <c r="J59" s="529"/>
      <c r="N59" s="4"/>
      <c r="S59" s="4"/>
      <c r="T59" s="4"/>
      <c r="U59" s="226"/>
    </row>
    <row r="60" spans="2:32" x14ac:dyDescent="0.25">
      <c r="B60" s="524">
        <v>42340</v>
      </c>
      <c r="C60" s="528">
        <v>5060</v>
      </c>
      <c r="D60" s="575">
        <v>16.670000000000002</v>
      </c>
      <c r="E60" s="529">
        <v>15.82</v>
      </c>
      <c r="F60" s="529">
        <f t="shared" si="1"/>
        <v>-4301.0000000000073</v>
      </c>
      <c r="G60" s="529">
        <f t="shared" si="4"/>
        <v>84350.200000000012</v>
      </c>
      <c r="H60" s="576">
        <f t="shared" si="3"/>
        <v>-5.0989802039592164E-2</v>
      </c>
      <c r="I60" s="529"/>
      <c r="J60" s="529"/>
      <c r="N60" s="4"/>
      <c r="S60" s="4"/>
      <c r="T60" s="4"/>
      <c r="U60" s="416"/>
    </row>
    <row r="61" spans="2:32" x14ac:dyDescent="0.25">
      <c r="B61" s="524">
        <v>42341</v>
      </c>
      <c r="C61" s="528">
        <v>5060</v>
      </c>
      <c r="D61" s="575">
        <v>16.64</v>
      </c>
      <c r="E61" s="529">
        <v>15.61</v>
      </c>
      <c r="F61" s="529">
        <f t="shared" si="1"/>
        <v>-5211.8000000000056</v>
      </c>
      <c r="G61" s="529">
        <f t="shared" si="4"/>
        <v>84198.400000000009</v>
      </c>
      <c r="H61" s="576">
        <f t="shared" si="3"/>
        <v>-6.1899038461538526E-2</v>
      </c>
      <c r="I61" s="529"/>
      <c r="J61" s="529"/>
      <c r="N61" s="4"/>
      <c r="S61" s="4"/>
      <c r="T61" s="4"/>
      <c r="U61" s="107"/>
    </row>
    <row r="62" spans="2:32" x14ac:dyDescent="0.25">
      <c r="B62" s="524">
        <v>42347</v>
      </c>
      <c r="C62" s="528">
        <v>5260</v>
      </c>
      <c r="D62" s="575">
        <v>16.559999999999999</v>
      </c>
      <c r="E62" s="529">
        <v>14.32</v>
      </c>
      <c r="F62" s="529">
        <f t="shared" si="1"/>
        <v>-11782.399999999992</v>
      </c>
      <c r="G62" s="529">
        <f t="shared" si="4"/>
        <v>87105.599999999991</v>
      </c>
      <c r="H62" s="576">
        <f t="shared" ref="H62:H84" si="5">IF(C62=0, D62, (E62-D62)/D62)</f>
        <v>-0.13526570048309169</v>
      </c>
      <c r="I62" s="529"/>
      <c r="J62" s="529"/>
      <c r="N62" s="4"/>
      <c r="S62" s="4"/>
      <c r="T62" s="4"/>
      <c r="U62" s="107"/>
    </row>
    <row r="63" spans="2:32" x14ac:dyDescent="0.25">
      <c r="B63" s="524">
        <v>42348</v>
      </c>
      <c r="C63" s="528">
        <v>5060</v>
      </c>
      <c r="D63" s="575">
        <v>16.63</v>
      </c>
      <c r="E63" s="529">
        <v>14.66</v>
      </c>
      <c r="F63" s="529">
        <f t="shared" si="1"/>
        <v>-9968.1999999999935</v>
      </c>
      <c r="G63" s="529">
        <f t="shared" si="4"/>
        <v>84147.799999999988</v>
      </c>
      <c r="H63" s="576">
        <f t="shared" si="5"/>
        <v>-0.11846061334936855</v>
      </c>
      <c r="I63" s="529"/>
      <c r="J63" s="529"/>
      <c r="N63" s="4"/>
      <c r="S63" s="4"/>
      <c r="T63" s="4"/>
      <c r="U63" s="107"/>
    </row>
    <row r="64" spans="2:32" x14ac:dyDescent="0.25">
      <c r="B64" s="524">
        <v>42349</v>
      </c>
      <c r="C64" s="528">
        <v>5060</v>
      </c>
      <c r="D64" s="575">
        <v>16.62</v>
      </c>
      <c r="E64" s="529">
        <v>14.04</v>
      </c>
      <c r="F64" s="529">
        <f t="shared" si="1"/>
        <v>-13054.80000000001</v>
      </c>
      <c r="G64" s="529">
        <f t="shared" si="4"/>
        <v>84097.200000000012</v>
      </c>
      <c r="H64" s="576">
        <f t="shared" si="5"/>
        <v>-0.15523465703971129</v>
      </c>
      <c r="I64" s="529"/>
      <c r="J64" s="529"/>
      <c r="N64" s="4"/>
    </row>
    <row r="65" spans="2:18" x14ac:dyDescent="0.25">
      <c r="B65" s="524">
        <v>42349</v>
      </c>
      <c r="C65" s="528">
        <v>6000</v>
      </c>
      <c r="D65" s="575">
        <v>16.22</v>
      </c>
      <c r="E65" s="529">
        <v>14.04</v>
      </c>
      <c r="F65" s="529">
        <f t="shared" si="1"/>
        <v>-13079.999999999998</v>
      </c>
      <c r="G65" s="529">
        <f t="shared" si="4"/>
        <v>97320</v>
      </c>
      <c r="H65" s="576">
        <f t="shared" si="5"/>
        <v>-0.13440197287299629</v>
      </c>
      <c r="I65" s="529"/>
      <c r="J65" s="529"/>
      <c r="N65" s="4"/>
    </row>
    <row r="66" spans="2:18" x14ac:dyDescent="0.25">
      <c r="B66" s="524">
        <v>42349</v>
      </c>
      <c r="C66" s="528">
        <v>6200</v>
      </c>
      <c r="D66" s="575">
        <v>16.14</v>
      </c>
      <c r="E66" s="529">
        <v>14.04</v>
      </c>
      <c r="F66" s="529">
        <f t="shared" si="1"/>
        <v>-13020.000000000009</v>
      </c>
      <c r="G66" s="529">
        <f t="shared" si="4"/>
        <v>100068</v>
      </c>
      <c r="H66" s="576">
        <f t="shared" si="5"/>
        <v>-0.13011152416356886</v>
      </c>
      <c r="I66" s="529"/>
      <c r="J66" s="529"/>
      <c r="N66" s="4"/>
    </row>
    <row r="67" spans="2:18" x14ac:dyDescent="0.25">
      <c r="B67" s="524">
        <v>42349</v>
      </c>
      <c r="C67" s="528">
        <v>5721</v>
      </c>
      <c r="D67" s="575">
        <v>16.32</v>
      </c>
      <c r="E67" s="529">
        <v>14.04</v>
      </c>
      <c r="F67" s="529">
        <f t="shared" si="1"/>
        <v>-13043.880000000006</v>
      </c>
      <c r="G67" s="529">
        <f t="shared" si="4"/>
        <v>93366.720000000001</v>
      </c>
      <c r="H67" s="576">
        <f t="shared" si="5"/>
        <v>-0.13970588235294124</v>
      </c>
      <c r="I67" s="529"/>
      <c r="J67" s="529"/>
      <c r="N67" s="4"/>
      <c r="O67" s="4"/>
      <c r="P67" s="4"/>
      <c r="Q67" s="4"/>
      <c r="R67" s="4"/>
    </row>
    <row r="68" spans="2:18" x14ac:dyDescent="0.25">
      <c r="B68" s="524">
        <v>42349</v>
      </c>
      <c r="C68" s="528">
        <v>5060</v>
      </c>
      <c r="D68" s="575">
        <v>16.6143</v>
      </c>
      <c r="E68" s="529">
        <v>14.04</v>
      </c>
      <c r="F68" s="529">
        <f t="shared" si="1"/>
        <v>-13025.958000000004</v>
      </c>
      <c r="G68" s="529">
        <f t="shared" si="4"/>
        <v>84068.358000000007</v>
      </c>
      <c r="H68" s="576">
        <f t="shared" si="5"/>
        <v>-0.15494483667683867</v>
      </c>
      <c r="I68" s="529"/>
      <c r="J68" s="529"/>
      <c r="O68" s="414"/>
      <c r="P68" s="4"/>
      <c r="Q68" s="4"/>
      <c r="R68" s="4"/>
    </row>
    <row r="69" spans="2:18" x14ac:dyDescent="0.25">
      <c r="B69" s="524">
        <v>42356</v>
      </c>
      <c r="C69" s="528">
        <v>5060</v>
      </c>
      <c r="D69" s="575">
        <v>16.596900000000002</v>
      </c>
      <c r="E69" s="529">
        <v>14.32</v>
      </c>
      <c r="F69" s="529">
        <f t="shared" si="1"/>
        <v>-11521.114000000007</v>
      </c>
      <c r="G69" s="529">
        <f t="shared" si="4"/>
        <v>83980.314000000013</v>
      </c>
      <c r="H69" s="576">
        <f t="shared" si="5"/>
        <v>-0.13718827009863294</v>
      </c>
      <c r="I69" s="529"/>
      <c r="J69" s="529"/>
      <c r="Q69" s="414"/>
      <c r="R69" s="414"/>
    </row>
    <row r="70" spans="2:18" x14ac:dyDescent="0.25">
      <c r="B70" s="524">
        <v>42356</v>
      </c>
      <c r="C70" s="528">
        <v>7000</v>
      </c>
      <c r="D70" s="575">
        <v>15.97</v>
      </c>
      <c r="E70" s="529">
        <v>14.34</v>
      </c>
      <c r="F70" s="529">
        <f t="shared" si="1"/>
        <v>-11410.000000000005</v>
      </c>
      <c r="G70" s="529">
        <f t="shared" si="4"/>
        <v>111790</v>
      </c>
      <c r="H70" s="576">
        <f t="shared" si="5"/>
        <v>-0.10206637445209772</v>
      </c>
      <c r="I70" s="529"/>
      <c r="J70" s="529"/>
      <c r="Q70" s="4"/>
      <c r="R70" s="4"/>
    </row>
    <row r="71" spans="2:18" x14ac:dyDescent="0.25">
      <c r="B71" s="524">
        <v>42356</v>
      </c>
      <c r="C71" s="528">
        <v>6000</v>
      </c>
      <c r="D71" s="575">
        <v>16.23</v>
      </c>
      <c r="E71" s="529">
        <v>14.36</v>
      </c>
      <c r="F71" s="529">
        <f t="shared" si="1"/>
        <v>-11220.000000000005</v>
      </c>
      <c r="G71" s="529">
        <f t="shared" si="4"/>
        <v>97380</v>
      </c>
      <c r="H71" s="576">
        <f t="shared" si="5"/>
        <v>-0.11521873074553302</v>
      </c>
      <c r="I71" s="529"/>
      <c r="J71" s="529"/>
      <c r="Q71" s="4"/>
      <c r="R71" s="4"/>
    </row>
    <row r="72" spans="2:18" x14ac:dyDescent="0.25">
      <c r="B72" s="524">
        <v>42357</v>
      </c>
      <c r="C72" s="528">
        <v>5500</v>
      </c>
      <c r="D72" s="575">
        <v>16.398399999999999</v>
      </c>
      <c r="E72" s="529">
        <v>14.36</v>
      </c>
      <c r="F72" s="529">
        <f t="shared" si="1"/>
        <v>-11211.199999999997</v>
      </c>
      <c r="G72" s="529">
        <f t="shared" si="4"/>
        <v>90191.2</v>
      </c>
      <c r="H72" s="576">
        <f t="shared" si="5"/>
        <v>-0.12430481022538781</v>
      </c>
      <c r="I72" s="529"/>
      <c r="J72" s="529"/>
      <c r="Q72" s="4"/>
      <c r="R72" s="4"/>
    </row>
    <row r="73" spans="2:18" x14ac:dyDescent="0.25">
      <c r="B73" s="524">
        <v>42359</v>
      </c>
      <c r="C73" s="528">
        <v>5060</v>
      </c>
      <c r="D73" s="575">
        <v>16.55</v>
      </c>
      <c r="E73" s="529">
        <v>14.64</v>
      </c>
      <c r="F73" s="529">
        <f t="shared" si="1"/>
        <v>-9664.6</v>
      </c>
      <c r="G73" s="529">
        <f t="shared" si="4"/>
        <v>83743</v>
      </c>
      <c r="H73" s="576">
        <f t="shared" si="5"/>
        <v>-0.11540785498489427</v>
      </c>
      <c r="I73" s="529"/>
      <c r="J73" s="529"/>
      <c r="Q73" s="4"/>
      <c r="R73" s="4"/>
    </row>
    <row r="74" spans="2:18" x14ac:dyDescent="0.25">
      <c r="B74" s="524">
        <v>42361</v>
      </c>
      <c r="C74" s="528">
        <v>5060</v>
      </c>
      <c r="D74" s="575">
        <v>16.5456</v>
      </c>
      <c r="E74" s="529">
        <v>14.61</v>
      </c>
      <c r="F74" s="529">
        <f t="shared" si="1"/>
        <v>-9794.1360000000041</v>
      </c>
      <c r="G74" s="529">
        <f t="shared" si="4"/>
        <v>83720.736000000004</v>
      </c>
      <c r="H74" s="576">
        <f t="shared" si="5"/>
        <v>-0.11698578474035398</v>
      </c>
      <c r="I74" s="529"/>
      <c r="J74" s="529"/>
      <c r="Q74" s="4"/>
      <c r="R74" s="4"/>
    </row>
    <row r="75" spans="2:18" x14ac:dyDescent="0.25">
      <c r="B75" s="524">
        <v>42377</v>
      </c>
      <c r="C75" s="528">
        <v>5260</v>
      </c>
      <c r="D75" s="575">
        <v>16.424099999999999</v>
      </c>
      <c r="E75" s="529">
        <v>13.33</v>
      </c>
      <c r="F75" s="529">
        <f t="shared" si="1"/>
        <v>-16274.965999999995</v>
      </c>
      <c r="G75" s="529">
        <f t="shared" si="4"/>
        <v>86390.766000000003</v>
      </c>
      <c r="H75" s="576">
        <f t="shared" si="5"/>
        <v>-0.18838779598273264</v>
      </c>
      <c r="I75" s="529"/>
      <c r="J75" s="529"/>
      <c r="Q75" s="4"/>
      <c r="R75" s="4"/>
    </row>
    <row r="76" spans="2:18" x14ac:dyDescent="0.25">
      <c r="B76" s="524">
        <v>42398</v>
      </c>
      <c r="C76" s="528">
        <v>5000</v>
      </c>
      <c r="D76" s="575">
        <v>16.72</v>
      </c>
      <c r="E76" s="529">
        <v>10.74</v>
      </c>
      <c r="F76" s="529">
        <f t="shared" si="1"/>
        <v>-29899.999999999993</v>
      </c>
      <c r="G76" s="529">
        <f t="shared" si="4"/>
        <v>83600</v>
      </c>
      <c r="H76" s="576">
        <f t="shared" si="5"/>
        <v>-0.35765550239234445</v>
      </c>
      <c r="I76" s="529"/>
      <c r="J76" s="529"/>
      <c r="Q76" s="4"/>
      <c r="R76" s="4"/>
    </row>
    <row r="77" spans="2:18" x14ac:dyDescent="0.25">
      <c r="B77" s="524">
        <v>42401</v>
      </c>
      <c r="C77" s="528">
        <v>5260</v>
      </c>
      <c r="D77" s="575">
        <v>16.419699999999999</v>
      </c>
      <c r="E77" s="529">
        <v>10.96</v>
      </c>
      <c r="F77" s="529">
        <f t="shared" si="1"/>
        <v>-28718.02199999999</v>
      </c>
      <c r="G77" s="529">
        <f t="shared" si="4"/>
        <v>86367.621999999988</v>
      </c>
      <c r="H77" s="576">
        <f t="shared" si="5"/>
        <v>-0.33250912014226802</v>
      </c>
      <c r="I77" s="529"/>
      <c r="J77" s="529"/>
      <c r="Q77" s="4"/>
      <c r="R77" s="4"/>
    </row>
    <row r="78" spans="2:18" x14ac:dyDescent="0.25">
      <c r="B78" s="524">
        <v>42416</v>
      </c>
      <c r="C78" s="528">
        <v>4760</v>
      </c>
      <c r="D78" s="575">
        <v>17.02</v>
      </c>
      <c r="E78" s="529">
        <v>10.65</v>
      </c>
      <c r="F78" s="529">
        <f t="shared" si="1"/>
        <v>-30321.199999999997</v>
      </c>
      <c r="G78" s="529">
        <f t="shared" si="4"/>
        <v>81015.199999999997</v>
      </c>
      <c r="H78" s="576">
        <f t="shared" si="5"/>
        <v>-0.37426556991774379</v>
      </c>
      <c r="I78" s="529"/>
      <c r="J78" s="529"/>
      <c r="Q78" s="414"/>
      <c r="R78" s="414"/>
    </row>
    <row r="79" spans="2:18" x14ac:dyDescent="0.25">
      <c r="B79" s="524">
        <v>42416</v>
      </c>
      <c r="C79" s="528">
        <v>4000</v>
      </c>
      <c r="D79" s="575">
        <v>18.1967</v>
      </c>
      <c r="E79" s="529">
        <v>10.744999999999999</v>
      </c>
      <c r="F79" s="529">
        <f t="shared" si="1"/>
        <v>-29806.800000000003</v>
      </c>
      <c r="G79" s="529">
        <f t="shared" si="4"/>
        <v>72786.8</v>
      </c>
      <c r="H79" s="576">
        <f t="shared" si="5"/>
        <v>-0.40950831744217364</v>
      </c>
      <c r="I79" s="529"/>
      <c r="J79" s="529"/>
      <c r="Q79" s="4"/>
      <c r="R79" s="4"/>
    </row>
    <row r="80" spans="2:18" x14ac:dyDescent="0.25">
      <c r="B80" s="524">
        <v>42418</v>
      </c>
      <c r="C80" s="528">
        <v>3600</v>
      </c>
      <c r="D80" s="575">
        <v>18.931999999999999</v>
      </c>
      <c r="E80" s="529">
        <v>10.81</v>
      </c>
      <c r="F80" s="529">
        <f t="shared" si="1"/>
        <v>-29239.199999999993</v>
      </c>
      <c r="G80" s="529">
        <f t="shared" si="4"/>
        <v>68155.199999999997</v>
      </c>
      <c r="H80" s="576">
        <f t="shared" si="5"/>
        <v>-0.42900908514684127</v>
      </c>
      <c r="I80" s="529"/>
      <c r="J80" s="529"/>
      <c r="Q80" s="4"/>
      <c r="R80" s="4"/>
    </row>
    <row r="81" spans="2:18" x14ac:dyDescent="0.25">
      <c r="B81" s="524">
        <v>42423</v>
      </c>
      <c r="C81" s="528">
        <v>5260</v>
      </c>
      <c r="D81" s="575">
        <v>16.356200000000001</v>
      </c>
      <c r="E81" s="529">
        <v>10.49</v>
      </c>
      <c r="F81" s="529">
        <f t="shared" si="1"/>
        <v>-30856.212000000007</v>
      </c>
      <c r="G81" s="529">
        <f t="shared" si="4"/>
        <v>86033.612000000008</v>
      </c>
      <c r="H81" s="576">
        <f t="shared" si="5"/>
        <v>-0.35865298785781541</v>
      </c>
      <c r="I81" s="529"/>
      <c r="J81" s="529"/>
      <c r="Q81" s="4"/>
      <c r="R81" s="4"/>
    </row>
    <row r="82" spans="2:18" x14ac:dyDescent="0.25">
      <c r="B82" s="524">
        <v>42431</v>
      </c>
      <c r="C82" s="528">
        <v>4760</v>
      </c>
      <c r="D82" s="575">
        <v>16.858899999999998</v>
      </c>
      <c r="E82" s="529">
        <v>11.68</v>
      </c>
      <c r="F82" s="529">
        <f t="shared" si="1"/>
        <v>-24651.563999999995</v>
      </c>
      <c r="G82" s="529">
        <f t="shared" si="4"/>
        <v>80248.363999999987</v>
      </c>
      <c r="H82" s="576">
        <f t="shared" si="5"/>
        <v>-0.30719086061368173</v>
      </c>
      <c r="I82" s="529"/>
      <c r="J82" s="529"/>
      <c r="Q82" s="4"/>
      <c r="R82" s="4"/>
    </row>
    <row r="83" spans="2:18" x14ac:dyDescent="0.25">
      <c r="B83" s="524">
        <v>42436</v>
      </c>
      <c r="C83" s="528">
        <v>5290</v>
      </c>
      <c r="D83" s="575">
        <v>16.258900000000001</v>
      </c>
      <c r="E83" s="529">
        <v>11.58</v>
      </c>
      <c r="F83" s="529">
        <f t="shared" si="1"/>
        <v>-24751.381000000001</v>
      </c>
      <c r="G83" s="529">
        <f t="shared" si="4"/>
        <v>86009.581000000006</v>
      </c>
      <c r="H83" s="576">
        <f t="shared" si="5"/>
        <v>-0.28777469570512154</v>
      </c>
      <c r="I83" s="529"/>
      <c r="J83" s="529"/>
      <c r="Q83" s="4"/>
      <c r="R83" s="4"/>
    </row>
    <row r="84" spans="2:18" x14ac:dyDescent="0.25">
      <c r="B84" s="524">
        <v>42444</v>
      </c>
      <c r="C84" s="528">
        <v>5290</v>
      </c>
      <c r="D84" s="575">
        <v>16.259</v>
      </c>
      <c r="E84" s="529">
        <v>10.85</v>
      </c>
      <c r="F84" s="529">
        <f t="shared" si="1"/>
        <v>-28613.610000000004</v>
      </c>
      <c r="G84" s="529">
        <f t="shared" si="4"/>
        <v>86010.11</v>
      </c>
      <c r="H84" s="576">
        <f t="shared" si="5"/>
        <v>-0.33267728642597949</v>
      </c>
      <c r="I84" s="529"/>
      <c r="J84" s="529"/>
      <c r="Q84" s="4"/>
      <c r="R84" s="4"/>
    </row>
    <row r="85" spans="2:18" x14ac:dyDescent="0.25">
      <c r="B85" s="524">
        <v>42446</v>
      </c>
      <c r="C85" s="528">
        <v>5295</v>
      </c>
      <c r="D85" s="575">
        <v>16.2348</v>
      </c>
      <c r="E85" s="529">
        <v>10.87</v>
      </c>
      <c r="F85" s="529">
        <f t="shared" ref="F85:F123" si="6">-C85*(D85-E85)</f>
        <v>-28406.616000000002</v>
      </c>
      <c r="G85" s="529">
        <f t="shared" ref="G85:G123" si="7">IF(C85=0, 0,D85*C85)</f>
        <v>85963.266000000003</v>
      </c>
      <c r="H85" s="576">
        <f t="shared" ref="H85:H123" si="8">IF(C85=0, D85, (E85-D85)/D85)</f>
        <v>-0.33045063690344201</v>
      </c>
      <c r="I85" s="529"/>
      <c r="J85" s="529"/>
    </row>
    <row r="86" spans="2:18" x14ac:dyDescent="0.25">
      <c r="B86" s="524">
        <v>42447</v>
      </c>
      <c r="C86" s="528">
        <v>5300</v>
      </c>
      <c r="D86" s="575">
        <v>16.211200000000002</v>
      </c>
      <c r="E86" s="529">
        <v>11.07</v>
      </c>
      <c r="F86" s="529">
        <f t="shared" si="6"/>
        <v>-27248.360000000008</v>
      </c>
      <c r="G86" s="529">
        <f t="shared" si="7"/>
        <v>85919.360000000015</v>
      </c>
      <c r="H86" s="576">
        <f t="shared" si="8"/>
        <v>-0.31713876825898152</v>
      </c>
      <c r="I86" s="529"/>
      <c r="J86" s="529"/>
    </row>
    <row r="87" spans="2:18" x14ac:dyDescent="0.25">
      <c r="B87" s="524">
        <v>42447</v>
      </c>
      <c r="C87" s="528">
        <v>5155</v>
      </c>
      <c r="D87" s="575">
        <v>16.352699999999999</v>
      </c>
      <c r="E87" s="529">
        <v>11.14</v>
      </c>
      <c r="F87" s="529">
        <f t="shared" si="6"/>
        <v>-26871.468499999992</v>
      </c>
      <c r="G87" s="529">
        <f t="shared" si="7"/>
        <v>84298.1685</v>
      </c>
      <c r="H87" s="576">
        <f t="shared" si="8"/>
        <v>-0.31876693145474438</v>
      </c>
      <c r="I87" s="529"/>
      <c r="J87" s="529"/>
    </row>
    <row r="88" spans="2:18" x14ac:dyDescent="0.25">
      <c r="B88" s="524">
        <v>42450</v>
      </c>
      <c r="C88" s="528">
        <v>3955</v>
      </c>
      <c r="D88" s="575">
        <v>17.7959</v>
      </c>
      <c r="E88" s="529">
        <v>11.54</v>
      </c>
      <c r="F88" s="529">
        <f t="shared" si="6"/>
        <v>-24742.084500000001</v>
      </c>
      <c r="G88" s="529">
        <f t="shared" si="7"/>
        <v>70382.784499999994</v>
      </c>
      <c r="H88" s="576">
        <f t="shared" si="8"/>
        <v>-0.3515360279614968</v>
      </c>
      <c r="I88" s="529"/>
      <c r="J88" s="529"/>
      <c r="N88" s="4"/>
    </row>
    <row r="89" spans="2:18" x14ac:dyDescent="0.25">
      <c r="B89" s="524">
        <v>42451</v>
      </c>
      <c r="C89" s="528">
        <v>5260</v>
      </c>
      <c r="D89" s="575">
        <v>16.2089</v>
      </c>
      <c r="E89" s="529">
        <v>11.44</v>
      </c>
      <c r="F89" s="529">
        <f t="shared" si="6"/>
        <v>-25084.414000000001</v>
      </c>
      <c r="G89" s="529">
        <f t="shared" si="7"/>
        <v>85258.813999999998</v>
      </c>
      <c r="H89" s="576">
        <f t="shared" si="8"/>
        <v>-0.29421490662537253</v>
      </c>
      <c r="I89" s="577"/>
      <c r="J89" s="577"/>
    </row>
    <row r="90" spans="2:18" x14ac:dyDescent="0.25">
      <c r="B90" s="524">
        <v>42451</v>
      </c>
      <c r="C90" s="528">
        <v>5360</v>
      </c>
      <c r="D90" s="575">
        <v>16.1083</v>
      </c>
      <c r="E90" s="529">
        <v>10.65</v>
      </c>
      <c r="F90" s="529">
        <f t="shared" si="6"/>
        <v>-29256.487999999998</v>
      </c>
      <c r="G90" s="529">
        <f t="shared" si="7"/>
        <v>86340.487999999998</v>
      </c>
      <c r="H90" s="576">
        <f t="shared" si="8"/>
        <v>-0.33885015799308427</v>
      </c>
      <c r="I90" s="577"/>
      <c r="J90" s="577"/>
    </row>
    <row r="91" spans="2:18" x14ac:dyDescent="0.25">
      <c r="B91" s="524">
        <v>42461</v>
      </c>
      <c r="C91" s="528">
        <v>5260</v>
      </c>
      <c r="D91" s="575">
        <v>16.207000000000001</v>
      </c>
      <c r="E91" s="529">
        <v>10.92</v>
      </c>
      <c r="F91" s="529">
        <f t="shared" si="6"/>
        <v>-27809.620000000003</v>
      </c>
      <c r="G91" s="529">
        <f t="shared" si="7"/>
        <v>85248.82</v>
      </c>
      <c r="H91" s="576">
        <f t="shared" si="8"/>
        <v>-0.32621706669957429</v>
      </c>
      <c r="I91" s="529"/>
      <c r="J91" s="529"/>
    </row>
    <row r="92" spans="2:18" x14ac:dyDescent="0.25">
      <c r="B92" s="524">
        <v>42465</v>
      </c>
      <c r="C92" s="528">
        <v>5260</v>
      </c>
      <c r="D92" s="575">
        <v>16.207000000000001</v>
      </c>
      <c r="E92" s="529">
        <v>10.4</v>
      </c>
      <c r="F92" s="529">
        <f t="shared" si="6"/>
        <v>-30544.820000000003</v>
      </c>
      <c r="G92" s="529">
        <f t="shared" si="7"/>
        <v>85248.82</v>
      </c>
      <c r="H92" s="576">
        <f t="shared" si="8"/>
        <v>-0.3583019682853088</v>
      </c>
      <c r="I92" s="529"/>
      <c r="J92" s="529"/>
    </row>
    <row r="93" spans="2:18" x14ac:dyDescent="0.25">
      <c r="B93" s="524">
        <v>42467</v>
      </c>
      <c r="C93" s="528">
        <v>5760</v>
      </c>
      <c r="D93" s="575">
        <v>15.703799999999999</v>
      </c>
      <c r="E93" s="529">
        <v>10.4</v>
      </c>
      <c r="F93" s="529">
        <f t="shared" si="6"/>
        <v>-30549.887999999995</v>
      </c>
      <c r="G93" s="529">
        <f t="shared" si="7"/>
        <v>90453.887999999992</v>
      </c>
      <c r="H93" s="576">
        <f t="shared" si="8"/>
        <v>-0.33773991008545695</v>
      </c>
      <c r="I93" s="529"/>
      <c r="J93" s="529"/>
    </row>
    <row r="94" spans="2:18" x14ac:dyDescent="0.25">
      <c r="B94" s="524">
        <v>42468</v>
      </c>
      <c r="C94" s="528">
        <v>5260</v>
      </c>
      <c r="D94" s="575">
        <v>16.167100000000001</v>
      </c>
      <c r="E94" s="529">
        <v>10.76</v>
      </c>
      <c r="F94" s="529">
        <f t="shared" si="6"/>
        <v>-28441.346000000009</v>
      </c>
      <c r="G94" s="529">
        <f t="shared" si="7"/>
        <v>85038.946000000011</v>
      </c>
      <c r="H94" s="576">
        <f t="shared" si="8"/>
        <v>-0.33445082915303309</v>
      </c>
      <c r="I94" s="577" t="s">
        <v>191</v>
      </c>
      <c r="J94" s="577"/>
    </row>
    <row r="95" spans="2:18" x14ac:dyDescent="0.25">
      <c r="B95" s="524">
        <v>42472</v>
      </c>
      <c r="C95" s="528">
        <v>5860</v>
      </c>
      <c r="D95" s="575">
        <v>15.567399999999999</v>
      </c>
      <c r="E95" s="529">
        <v>10.17</v>
      </c>
      <c r="F95" s="529">
        <f t="shared" si="6"/>
        <v>-31628.763999999996</v>
      </c>
      <c r="G95" s="529">
        <f t="shared" si="7"/>
        <v>91224.963999999993</v>
      </c>
      <c r="H95" s="576">
        <f t="shared" si="8"/>
        <v>-0.34671171807752094</v>
      </c>
      <c r="I95" s="529"/>
      <c r="J95" s="529"/>
    </row>
    <row r="96" spans="2:18" x14ac:dyDescent="0.25">
      <c r="B96" s="524">
        <v>42473</v>
      </c>
      <c r="C96" s="528">
        <v>5260</v>
      </c>
      <c r="D96" s="575">
        <v>16.1158</v>
      </c>
      <c r="E96" s="529">
        <v>10.88</v>
      </c>
      <c r="F96" s="529">
        <f t="shared" si="6"/>
        <v>-27540.307999999997</v>
      </c>
      <c r="G96" s="529">
        <f t="shared" si="7"/>
        <v>84769.108000000007</v>
      </c>
      <c r="H96" s="576">
        <f t="shared" si="8"/>
        <v>-0.32488613658645549</v>
      </c>
      <c r="I96" s="529"/>
      <c r="J96" s="529"/>
    </row>
    <row r="97" spans="2:16" x14ac:dyDescent="0.25">
      <c r="B97" s="524">
        <v>42484</v>
      </c>
      <c r="C97" s="528">
        <v>5260</v>
      </c>
      <c r="D97" s="575">
        <v>16.1158</v>
      </c>
      <c r="E97" s="529">
        <v>10.66</v>
      </c>
      <c r="F97" s="529">
        <f t="shared" si="6"/>
        <v>-28697.508000000002</v>
      </c>
      <c r="G97" s="529">
        <f t="shared" si="7"/>
        <v>84769.108000000007</v>
      </c>
      <c r="H97" s="576">
        <f t="shared" si="8"/>
        <v>-0.33853733603047942</v>
      </c>
      <c r="I97" s="529"/>
      <c r="J97" s="529"/>
    </row>
    <row r="98" spans="2:16" x14ac:dyDescent="0.25">
      <c r="B98" s="524">
        <v>42486</v>
      </c>
      <c r="C98" s="528">
        <v>4260</v>
      </c>
      <c r="D98" s="575">
        <v>17.2287</v>
      </c>
      <c r="E98" s="529">
        <v>11.51</v>
      </c>
      <c r="F98" s="529">
        <f t="shared" si="6"/>
        <v>-24361.662</v>
      </c>
      <c r="G98" s="529">
        <f t="shared" si="7"/>
        <v>73394.262000000002</v>
      </c>
      <c r="H98" s="576">
        <f t="shared" si="8"/>
        <v>-0.33192870036624933</v>
      </c>
      <c r="I98" s="529"/>
      <c r="J98" s="529"/>
    </row>
    <row r="99" spans="2:16" x14ac:dyDescent="0.25">
      <c r="B99" s="524">
        <v>42487</v>
      </c>
      <c r="C99" s="528">
        <v>5260</v>
      </c>
      <c r="D99" s="575">
        <v>16.099699999999999</v>
      </c>
      <c r="E99" s="529">
        <v>11.56</v>
      </c>
      <c r="F99" s="529">
        <f t="shared" si="6"/>
        <v>-23878.821999999989</v>
      </c>
      <c r="G99" s="529">
        <f t="shared" si="7"/>
        <v>84684.421999999991</v>
      </c>
      <c r="H99" s="576">
        <f t="shared" si="8"/>
        <v>-0.28197419827698644</v>
      </c>
      <c r="I99" s="529"/>
      <c r="J99" s="529"/>
      <c r="O99" s="4"/>
      <c r="P99" s="233"/>
    </row>
    <row r="100" spans="2:16" x14ac:dyDescent="0.25">
      <c r="B100" s="524">
        <v>42488</v>
      </c>
      <c r="C100" s="528">
        <v>5260</v>
      </c>
      <c r="D100" s="575">
        <v>16.078399999999998</v>
      </c>
      <c r="E100" s="529">
        <v>11.62</v>
      </c>
      <c r="F100" s="529">
        <f t="shared" si="6"/>
        <v>-23451.183999999997</v>
      </c>
      <c r="G100" s="529">
        <f t="shared" si="7"/>
        <v>84572.383999999991</v>
      </c>
      <c r="H100" s="576">
        <f t="shared" si="8"/>
        <v>-0.27729127276345905</v>
      </c>
      <c r="I100" s="529"/>
      <c r="J100" s="529"/>
      <c r="O100" s="4"/>
      <c r="P100" s="4"/>
    </row>
    <row r="101" spans="2:16" x14ac:dyDescent="0.25">
      <c r="B101" s="524">
        <v>42489</v>
      </c>
      <c r="C101" s="528">
        <v>5500</v>
      </c>
      <c r="D101" s="575">
        <v>15.848599999999999</v>
      </c>
      <c r="E101" s="529">
        <v>10.75</v>
      </c>
      <c r="F101" s="529">
        <f t="shared" si="6"/>
        <v>-28042.299999999996</v>
      </c>
      <c r="G101" s="529">
        <f t="shared" si="7"/>
        <v>87167.3</v>
      </c>
      <c r="H101" s="576">
        <f t="shared" si="8"/>
        <v>-0.32170664916774983</v>
      </c>
      <c r="I101" s="529"/>
      <c r="J101" s="529"/>
      <c r="O101" s="4"/>
      <c r="P101" s="4"/>
    </row>
    <row r="102" spans="2:16" x14ac:dyDescent="0.25">
      <c r="B102" s="524">
        <v>42494</v>
      </c>
      <c r="C102" s="528">
        <v>6500</v>
      </c>
      <c r="D102" s="575">
        <v>14.9526</v>
      </c>
      <c r="E102" s="529">
        <v>10</v>
      </c>
      <c r="F102" s="529">
        <f t="shared" si="6"/>
        <v>-32191.9</v>
      </c>
      <c r="G102" s="529">
        <f t="shared" si="7"/>
        <v>97191.900000000009</v>
      </c>
      <c r="H102" s="576">
        <f t="shared" si="8"/>
        <v>-0.33121998849698381</v>
      </c>
      <c r="I102" s="529"/>
      <c r="J102" s="529"/>
    </row>
    <row r="103" spans="2:16" x14ac:dyDescent="0.25">
      <c r="B103" s="524">
        <v>42495</v>
      </c>
      <c r="C103" s="528">
        <v>5500</v>
      </c>
      <c r="D103" s="575">
        <v>15.7966</v>
      </c>
      <c r="E103" s="529">
        <v>10.06</v>
      </c>
      <c r="F103" s="529">
        <f t="shared" si="6"/>
        <v>-31551.299999999996</v>
      </c>
      <c r="G103" s="529">
        <f t="shared" si="7"/>
        <v>86881.3</v>
      </c>
      <c r="H103" s="576">
        <f t="shared" si="8"/>
        <v>-0.363154096451135</v>
      </c>
      <c r="I103" s="529"/>
      <c r="J103" s="529"/>
    </row>
    <row r="104" spans="2:16" x14ac:dyDescent="0.25">
      <c r="B104" s="524">
        <v>42502</v>
      </c>
      <c r="C104" s="528">
        <v>8500</v>
      </c>
      <c r="D104" s="575">
        <v>13.6378</v>
      </c>
      <c r="E104" s="529">
        <v>9.6199999999999992</v>
      </c>
      <c r="F104" s="529">
        <f t="shared" si="6"/>
        <v>-34151.30000000001</v>
      </c>
      <c r="G104" s="529">
        <f t="shared" si="7"/>
        <v>115921.3</v>
      </c>
      <c r="H104" s="576">
        <f t="shared" si="8"/>
        <v>-0.2946076346624823</v>
      </c>
      <c r="I104" s="529"/>
      <c r="J104" s="529"/>
    </row>
    <row r="105" spans="2:16" x14ac:dyDescent="0.25">
      <c r="B105" s="524">
        <v>42503</v>
      </c>
      <c r="C105" s="528">
        <v>5500</v>
      </c>
      <c r="D105" s="575">
        <v>15.754899999999999</v>
      </c>
      <c r="E105" s="529">
        <v>9.58</v>
      </c>
      <c r="F105" s="529">
        <f t="shared" si="6"/>
        <v>-33961.949999999997</v>
      </c>
      <c r="G105" s="529">
        <f t="shared" si="7"/>
        <v>86651.95</v>
      </c>
      <c r="H105" s="576">
        <f t="shared" si="8"/>
        <v>-0.39193520745926663</v>
      </c>
      <c r="I105" s="529"/>
      <c r="J105" s="529"/>
    </row>
    <row r="106" spans="2:16" x14ac:dyDescent="0.25">
      <c r="B106" s="524">
        <v>42510</v>
      </c>
      <c r="C106" s="578">
        <v>5000</v>
      </c>
      <c r="D106" s="579">
        <v>16.255400000000002</v>
      </c>
      <c r="E106" s="529">
        <v>10.8</v>
      </c>
      <c r="F106" s="529">
        <f t="shared" si="6"/>
        <v>-27277.000000000004</v>
      </c>
      <c r="G106" s="529">
        <f t="shared" si="7"/>
        <v>81277.000000000015</v>
      </c>
      <c r="H106" s="576">
        <f t="shared" si="8"/>
        <v>-0.33560539882131479</v>
      </c>
      <c r="I106" s="529"/>
      <c r="J106" s="529"/>
    </row>
    <row r="107" spans="2:16" x14ac:dyDescent="0.25">
      <c r="B107" s="524">
        <v>42514</v>
      </c>
      <c r="C107" s="528">
        <v>4500</v>
      </c>
      <c r="D107" s="575">
        <v>16.752199999999998</v>
      </c>
      <c r="E107" s="529">
        <v>11.49</v>
      </c>
      <c r="F107" s="529">
        <f t="shared" si="6"/>
        <v>-23679.899999999991</v>
      </c>
      <c r="G107" s="529">
        <f t="shared" si="7"/>
        <v>75384.899999999994</v>
      </c>
      <c r="H107" s="576">
        <f t="shared" si="8"/>
        <v>-0.31411993648595399</v>
      </c>
      <c r="I107" s="529"/>
      <c r="J107" s="529"/>
    </row>
    <row r="108" spans="2:16" x14ac:dyDescent="0.25">
      <c r="B108" s="524">
        <v>42515</v>
      </c>
      <c r="C108" s="528">
        <v>4500</v>
      </c>
      <c r="D108" s="575">
        <v>16.746700000000001</v>
      </c>
      <c r="E108" s="529">
        <v>11.6</v>
      </c>
      <c r="F108" s="529">
        <f t="shared" si="6"/>
        <v>-23160.150000000005</v>
      </c>
      <c r="G108" s="529">
        <f t="shared" si="7"/>
        <v>75360.150000000009</v>
      </c>
      <c r="H108" s="576">
        <f t="shared" si="8"/>
        <v>-0.30732621949398992</v>
      </c>
      <c r="I108" s="529"/>
      <c r="J108" s="529"/>
    </row>
    <row r="109" spans="2:16" x14ac:dyDescent="0.25">
      <c r="B109" s="524">
        <v>42516</v>
      </c>
      <c r="C109" s="528">
        <v>4000</v>
      </c>
      <c r="D109" s="575">
        <v>17.344999999999999</v>
      </c>
      <c r="E109" s="529">
        <v>11.95</v>
      </c>
      <c r="F109" s="529">
        <f t="shared" si="6"/>
        <v>-21580</v>
      </c>
      <c r="G109" s="529">
        <f t="shared" si="7"/>
        <v>69380</v>
      </c>
      <c r="H109" s="576">
        <f t="shared" si="8"/>
        <v>-0.31104064571922746</v>
      </c>
      <c r="I109" s="529"/>
      <c r="J109" s="529"/>
    </row>
    <row r="110" spans="2:16" x14ac:dyDescent="0.25">
      <c r="B110" s="524">
        <v>42517</v>
      </c>
      <c r="C110" s="528">
        <v>4000</v>
      </c>
      <c r="D110" s="575">
        <v>17.322700000000001</v>
      </c>
      <c r="E110" s="529">
        <v>12.31</v>
      </c>
      <c r="F110" s="529">
        <f t="shared" si="6"/>
        <v>-20050.800000000003</v>
      </c>
      <c r="G110" s="529">
        <f t="shared" si="7"/>
        <v>69290.8</v>
      </c>
      <c r="H110" s="576">
        <f t="shared" si="8"/>
        <v>-0.28937174920768705</v>
      </c>
      <c r="I110" s="529"/>
      <c r="J110" s="529"/>
    </row>
    <row r="111" spans="2:16" x14ac:dyDescent="0.25">
      <c r="B111" s="524">
        <v>42522</v>
      </c>
      <c r="C111" s="528">
        <v>3375</v>
      </c>
      <c r="D111" s="575">
        <v>18.078900000000001</v>
      </c>
      <c r="E111" s="529">
        <v>13.09</v>
      </c>
      <c r="F111" s="529">
        <f t="shared" si="6"/>
        <v>-16837.537500000002</v>
      </c>
      <c r="G111" s="529">
        <f t="shared" si="7"/>
        <v>61016.287500000006</v>
      </c>
      <c r="H111" s="576">
        <f t="shared" si="8"/>
        <v>-0.27595152359933406</v>
      </c>
      <c r="I111" s="529"/>
      <c r="J111" s="529"/>
    </row>
    <row r="112" spans="2:16" x14ac:dyDescent="0.25">
      <c r="B112" s="524">
        <v>42524</v>
      </c>
      <c r="C112" s="528">
        <v>4000</v>
      </c>
      <c r="D112" s="575">
        <v>17.229099999999999</v>
      </c>
      <c r="E112" s="529">
        <v>12.86</v>
      </c>
      <c r="F112" s="529">
        <f t="shared" si="6"/>
        <v>-17476.399999999998</v>
      </c>
      <c r="G112" s="529">
        <f t="shared" si="7"/>
        <v>68916.399999999994</v>
      </c>
      <c r="H112" s="576">
        <f t="shared" si="8"/>
        <v>-0.25358840566251284</v>
      </c>
      <c r="I112" s="529"/>
      <c r="J112" s="529"/>
    </row>
    <row r="113" spans="2:10" x14ac:dyDescent="0.25">
      <c r="B113" s="524">
        <v>42530</v>
      </c>
      <c r="C113" s="528">
        <v>4000</v>
      </c>
      <c r="D113" s="575">
        <v>17.184100000000001</v>
      </c>
      <c r="E113" s="529">
        <v>12.51</v>
      </c>
      <c r="F113" s="529">
        <f t="shared" si="6"/>
        <v>-18696.400000000005</v>
      </c>
      <c r="G113" s="529">
        <f t="shared" si="7"/>
        <v>68736.400000000009</v>
      </c>
      <c r="H113" s="576">
        <f t="shared" si="8"/>
        <v>-0.27200144319458108</v>
      </c>
      <c r="I113" s="529"/>
      <c r="J113" s="529"/>
    </row>
    <row r="114" spans="2:10" x14ac:dyDescent="0.25">
      <c r="B114" s="524">
        <v>42532</v>
      </c>
      <c r="C114" s="528">
        <v>4760</v>
      </c>
      <c r="D114" s="575">
        <v>16.386800000000001</v>
      </c>
      <c r="E114" s="529">
        <v>12.14</v>
      </c>
      <c r="F114" s="529">
        <f t="shared" si="6"/>
        <v>-20214.768</v>
      </c>
      <c r="G114" s="529">
        <f t="shared" si="7"/>
        <v>78001.168000000005</v>
      </c>
      <c r="H114" s="576">
        <f t="shared" si="8"/>
        <v>-0.25915981155564233</v>
      </c>
      <c r="I114" s="529"/>
      <c r="J114" s="529"/>
    </row>
    <row r="115" spans="2:10" x14ac:dyDescent="0.25">
      <c r="B115" s="524">
        <v>42535</v>
      </c>
      <c r="C115" s="528">
        <v>4760</v>
      </c>
      <c r="D115" s="575">
        <v>16.387</v>
      </c>
      <c r="E115" s="529">
        <v>11.92</v>
      </c>
      <c r="F115" s="529">
        <f t="shared" si="6"/>
        <v>-21262.920000000002</v>
      </c>
      <c r="G115" s="529">
        <f t="shared" si="7"/>
        <v>78002.12</v>
      </c>
      <c r="H115" s="576">
        <f t="shared" si="8"/>
        <v>-0.27259412949289075</v>
      </c>
      <c r="I115" s="529"/>
      <c r="J115" s="529"/>
    </row>
    <row r="116" spans="2:10" x14ac:dyDescent="0.25">
      <c r="B116" s="524">
        <v>42537</v>
      </c>
      <c r="C116" s="528">
        <v>4760</v>
      </c>
      <c r="D116" s="575">
        <v>16.361599999999999</v>
      </c>
      <c r="E116" s="529">
        <v>11.95</v>
      </c>
      <c r="F116" s="529">
        <f t="shared" si="6"/>
        <v>-20999.216</v>
      </c>
      <c r="G116" s="529">
        <f t="shared" si="7"/>
        <v>77881.216</v>
      </c>
      <c r="H116" s="576">
        <f t="shared" si="8"/>
        <v>-0.26963133189908078</v>
      </c>
      <c r="I116" s="529"/>
      <c r="J116" s="529"/>
    </row>
    <row r="117" spans="2:10" x14ac:dyDescent="0.25">
      <c r="B117" s="524">
        <v>42541</v>
      </c>
      <c r="C117" s="528">
        <v>4600</v>
      </c>
      <c r="D117" s="575">
        <v>16.459700000000002</v>
      </c>
      <c r="E117" s="529">
        <v>12.32</v>
      </c>
      <c r="F117" s="529">
        <f t="shared" si="6"/>
        <v>-19042.620000000006</v>
      </c>
      <c r="G117" s="529">
        <f t="shared" si="7"/>
        <v>75714.62000000001</v>
      </c>
      <c r="H117" s="576">
        <f t="shared" si="8"/>
        <v>-0.25150519146764527</v>
      </c>
      <c r="I117" s="529"/>
      <c r="J117" s="529"/>
    </row>
    <row r="118" spans="2:10" x14ac:dyDescent="0.25">
      <c r="B118" s="524">
        <v>42542</v>
      </c>
      <c r="C118" s="528">
        <v>4000</v>
      </c>
      <c r="D118" s="575">
        <v>17.010200000000001</v>
      </c>
      <c r="E118" s="529">
        <v>12.75</v>
      </c>
      <c r="F118" s="529">
        <f t="shared" si="6"/>
        <v>-17040.800000000003</v>
      </c>
      <c r="G118" s="529">
        <f t="shared" si="7"/>
        <v>68040.800000000003</v>
      </c>
      <c r="H118" s="576">
        <f t="shared" si="8"/>
        <v>-0.25044973016190292</v>
      </c>
      <c r="I118" s="529"/>
      <c r="J118" s="529"/>
    </row>
    <row r="119" spans="2:10" x14ac:dyDescent="0.25">
      <c r="B119" s="524">
        <v>42544</v>
      </c>
      <c r="C119" s="528">
        <v>2500</v>
      </c>
      <c r="D119" s="575">
        <v>18.952100000000002</v>
      </c>
      <c r="E119" s="529">
        <v>14.05</v>
      </c>
      <c r="F119" s="529">
        <f t="shared" si="6"/>
        <v>-12255.250000000002</v>
      </c>
      <c r="G119" s="529">
        <f t="shared" si="7"/>
        <v>47380.250000000007</v>
      </c>
      <c r="H119" s="576">
        <f t="shared" si="8"/>
        <v>-0.25865735195571998</v>
      </c>
      <c r="I119" s="529"/>
      <c r="J119" s="529"/>
    </row>
    <row r="120" spans="2:10" x14ac:dyDescent="0.25">
      <c r="B120" s="524">
        <v>42545</v>
      </c>
      <c r="C120" s="528">
        <v>3000</v>
      </c>
      <c r="D120" s="575">
        <v>18.046700000000001</v>
      </c>
      <c r="E120" s="529">
        <v>13.52</v>
      </c>
      <c r="F120" s="529">
        <f t="shared" si="6"/>
        <v>-13580.100000000006</v>
      </c>
      <c r="G120" s="529">
        <f t="shared" si="7"/>
        <v>54140.100000000006</v>
      </c>
      <c r="H120" s="576">
        <f t="shared" si="8"/>
        <v>-0.25083256218588446</v>
      </c>
      <c r="I120" s="529"/>
      <c r="J120" s="529"/>
    </row>
    <row r="121" spans="2:10" x14ac:dyDescent="0.25">
      <c r="B121" s="524">
        <v>42545</v>
      </c>
      <c r="C121" s="528">
        <v>3500</v>
      </c>
      <c r="D121" s="575">
        <v>17.391500000000001</v>
      </c>
      <c r="E121" s="529">
        <v>13.46</v>
      </c>
      <c r="F121" s="529">
        <f t="shared" si="6"/>
        <v>-13760.25</v>
      </c>
      <c r="G121" s="529">
        <f t="shared" si="7"/>
        <v>60870.25</v>
      </c>
      <c r="H121" s="576">
        <f t="shared" si="8"/>
        <v>-0.22605870683954804</v>
      </c>
      <c r="I121" s="529"/>
      <c r="J121" s="529"/>
    </row>
    <row r="122" spans="2:10" x14ac:dyDescent="0.25">
      <c r="B122" s="524">
        <v>42545</v>
      </c>
      <c r="C122" s="528">
        <v>4000</v>
      </c>
      <c r="D122" s="575">
        <v>16.8825</v>
      </c>
      <c r="E122" s="529">
        <v>13.32</v>
      </c>
      <c r="F122" s="529">
        <f t="shared" si="6"/>
        <v>-14250</v>
      </c>
      <c r="G122" s="529">
        <f t="shared" si="7"/>
        <v>67530</v>
      </c>
      <c r="H122" s="576">
        <f t="shared" si="8"/>
        <v>-0.21101732563305198</v>
      </c>
      <c r="I122" s="529"/>
      <c r="J122" s="529"/>
    </row>
    <row r="123" spans="2:10" x14ac:dyDescent="0.25">
      <c r="B123" s="524">
        <v>42548</v>
      </c>
      <c r="C123" s="528">
        <v>4760</v>
      </c>
      <c r="D123" s="575">
        <v>16.2315</v>
      </c>
      <c r="E123" s="529">
        <v>12.23</v>
      </c>
      <c r="F123" s="529">
        <f t="shared" si="6"/>
        <v>-19047.14</v>
      </c>
      <c r="G123" s="529">
        <f t="shared" si="7"/>
        <v>77261.94</v>
      </c>
      <c r="H123" s="576">
        <f t="shared" si="8"/>
        <v>-0.246526815143394</v>
      </c>
      <c r="I123" s="529"/>
      <c r="J123" s="529"/>
    </row>
    <row r="124" spans="2:10" x14ac:dyDescent="0.25">
      <c r="B124" s="524">
        <v>42548</v>
      </c>
      <c r="C124" s="528">
        <v>5260</v>
      </c>
      <c r="D124" s="575">
        <v>15.884399999999999</v>
      </c>
      <c r="E124" s="529">
        <v>12.23</v>
      </c>
      <c r="F124" s="529">
        <f t="shared" ref="F124:F171" si="9">-C124*(D124-E124)</f>
        <v>-19222.143999999993</v>
      </c>
      <c r="G124" s="529">
        <f t="shared" ref="G124:G171" si="10">IF(C124=0, 0,D124*C124)</f>
        <v>83551.944000000003</v>
      </c>
      <c r="H124" s="576">
        <f t="shared" ref="H124:H171" si="11">IF(C124=0, D124, (E124-D124)/D124)</f>
        <v>-0.23006219939059702</v>
      </c>
      <c r="I124" s="529"/>
      <c r="J124" s="529"/>
    </row>
    <row r="125" spans="2:10" x14ac:dyDescent="0.25">
      <c r="B125" s="524">
        <v>42549</v>
      </c>
      <c r="C125" s="528">
        <v>4500</v>
      </c>
      <c r="D125" s="575">
        <v>16.3767</v>
      </c>
      <c r="E125" s="529">
        <v>12.99</v>
      </c>
      <c r="F125" s="529">
        <f t="shared" si="9"/>
        <v>-15240.149999999998</v>
      </c>
      <c r="G125" s="529">
        <f t="shared" si="10"/>
        <v>73695.149999999994</v>
      </c>
      <c r="H125" s="576">
        <f t="shared" si="11"/>
        <v>-0.2067999047427137</v>
      </c>
      <c r="I125" s="529"/>
      <c r="J125" s="529"/>
    </row>
    <row r="126" spans="2:10" x14ac:dyDescent="0.25">
      <c r="B126" s="524">
        <v>42550</v>
      </c>
      <c r="C126" s="528">
        <v>4500</v>
      </c>
      <c r="D126" s="575">
        <v>16.3767</v>
      </c>
      <c r="E126" s="529">
        <v>13.19</v>
      </c>
      <c r="F126" s="529">
        <f t="shared" si="9"/>
        <v>-14340.15</v>
      </c>
      <c r="G126" s="529">
        <f t="shared" si="10"/>
        <v>73695.149999999994</v>
      </c>
      <c r="H126" s="576">
        <f t="shared" si="11"/>
        <v>-0.19458743214444912</v>
      </c>
      <c r="I126" s="529">
        <v>16</v>
      </c>
      <c r="J126" s="529"/>
    </row>
    <row r="127" spans="2:10" x14ac:dyDescent="0.25">
      <c r="B127" s="524">
        <v>42551</v>
      </c>
      <c r="C127" s="528">
        <v>4000</v>
      </c>
      <c r="D127" s="575">
        <v>16.708500000000001</v>
      </c>
      <c r="E127" s="529">
        <v>13.76</v>
      </c>
      <c r="F127" s="529">
        <f t="shared" si="9"/>
        <v>-11794.000000000004</v>
      </c>
      <c r="G127" s="529">
        <f t="shared" si="10"/>
        <v>66834</v>
      </c>
      <c r="H127" s="576">
        <f t="shared" si="11"/>
        <v>-0.176467067660173</v>
      </c>
      <c r="I127" s="529"/>
      <c r="J127" s="529"/>
    </row>
    <row r="128" spans="2:10" x14ac:dyDescent="0.25">
      <c r="B128" s="524">
        <v>42551</v>
      </c>
      <c r="C128" s="528">
        <v>4500</v>
      </c>
      <c r="D128" s="575">
        <v>16.23</v>
      </c>
      <c r="E128" s="529">
        <v>13.76</v>
      </c>
      <c r="F128" s="529">
        <f t="shared" si="9"/>
        <v>-11115.000000000004</v>
      </c>
      <c r="G128" s="529">
        <f t="shared" si="10"/>
        <v>73035</v>
      </c>
      <c r="H128" s="576">
        <f t="shared" si="11"/>
        <v>-0.15218730745532968</v>
      </c>
      <c r="I128" s="529" t="s">
        <v>229</v>
      </c>
      <c r="J128" s="529"/>
    </row>
    <row r="129" spans="2:10" x14ac:dyDescent="0.25">
      <c r="B129" s="524">
        <v>42552</v>
      </c>
      <c r="C129" s="528">
        <v>4500</v>
      </c>
      <c r="D129" s="575">
        <v>16.23</v>
      </c>
      <c r="E129" s="529">
        <v>12.5</v>
      </c>
      <c r="F129" s="529">
        <f t="shared" si="9"/>
        <v>-16785.000000000004</v>
      </c>
      <c r="G129" s="529">
        <f t="shared" si="10"/>
        <v>73035</v>
      </c>
      <c r="H129" s="576">
        <f t="shared" si="11"/>
        <v>-0.22982131854590268</v>
      </c>
      <c r="I129" s="529"/>
      <c r="J129" s="529"/>
    </row>
    <row r="130" spans="2:10" x14ac:dyDescent="0.25">
      <c r="B130" s="524">
        <v>42556</v>
      </c>
      <c r="C130" s="578">
        <v>5000</v>
      </c>
      <c r="D130" s="579">
        <v>15.7963</v>
      </c>
      <c r="E130" s="529">
        <v>11.91</v>
      </c>
      <c r="F130" s="529">
        <f t="shared" si="9"/>
        <v>-19431.5</v>
      </c>
      <c r="G130" s="529">
        <f t="shared" si="10"/>
        <v>78981.5</v>
      </c>
      <c r="H130" s="576">
        <f t="shared" si="11"/>
        <v>-0.24602596810645533</v>
      </c>
      <c r="I130" s="529">
        <v>15.6</v>
      </c>
      <c r="J130" s="529"/>
    </row>
    <row r="131" spans="2:10" x14ac:dyDescent="0.25">
      <c r="B131" s="524">
        <v>42557</v>
      </c>
      <c r="C131" s="528">
        <v>4500</v>
      </c>
      <c r="D131" s="575">
        <v>16.142600000000002</v>
      </c>
      <c r="E131" s="529">
        <v>12.2</v>
      </c>
      <c r="F131" s="529">
        <f t="shared" si="9"/>
        <v>-17741.700000000012</v>
      </c>
      <c r="G131" s="529">
        <f t="shared" si="10"/>
        <v>72641.700000000012</v>
      </c>
      <c r="H131" s="576">
        <f t="shared" si="11"/>
        <v>-0.24423574888803551</v>
      </c>
      <c r="I131" s="529"/>
      <c r="J131" s="529"/>
    </row>
    <row r="132" spans="2:10" x14ac:dyDescent="0.25">
      <c r="B132" s="524">
        <v>42559</v>
      </c>
      <c r="C132" s="528">
        <v>4500</v>
      </c>
      <c r="D132" s="575">
        <v>16.142600000000002</v>
      </c>
      <c r="E132" s="529">
        <v>12.62</v>
      </c>
      <c r="F132" s="529">
        <f t="shared" si="9"/>
        <v>-15851.700000000012</v>
      </c>
      <c r="G132" s="529">
        <f t="shared" si="10"/>
        <v>72641.700000000012</v>
      </c>
      <c r="H132" s="576">
        <f t="shared" si="11"/>
        <v>-0.21821763532516461</v>
      </c>
      <c r="I132" s="529"/>
      <c r="J132" s="529"/>
    </row>
    <row r="133" spans="2:10" x14ac:dyDescent="0.25">
      <c r="B133" s="524">
        <v>42562</v>
      </c>
      <c r="C133" s="528">
        <v>4500</v>
      </c>
      <c r="D133" s="575">
        <v>16.143000000000001</v>
      </c>
      <c r="E133" s="529">
        <v>12.64</v>
      </c>
      <c r="F133" s="529">
        <f t="shared" si="9"/>
        <v>-15763.5</v>
      </c>
      <c r="G133" s="529">
        <f t="shared" si="10"/>
        <v>72643.5</v>
      </c>
      <c r="H133" s="576">
        <f t="shared" si="11"/>
        <v>-0.21699807966301182</v>
      </c>
      <c r="I133" s="529"/>
      <c r="J133" s="529"/>
    </row>
    <row r="134" spans="2:10" x14ac:dyDescent="0.25">
      <c r="B134" s="524">
        <v>42572</v>
      </c>
      <c r="C134" s="528">
        <v>4500</v>
      </c>
      <c r="D134" s="575">
        <v>16.143000000000001</v>
      </c>
      <c r="E134" s="529">
        <v>13.18</v>
      </c>
      <c r="F134" s="529">
        <f t="shared" si="9"/>
        <v>-13333.500000000004</v>
      </c>
      <c r="G134" s="529">
        <f t="shared" si="10"/>
        <v>72643.5</v>
      </c>
      <c r="H134" s="576">
        <f t="shared" si="11"/>
        <v>-0.18354704825621018</v>
      </c>
      <c r="I134" s="529"/>
      <c r="J134" s="529"/>
    </row>
    <row r="135" spans="2:10" x14ac:dyDescent="0.25">
      <c r="B135" s="524">
        <v>42576</v>
      </c>
      <c r="C135" s="528">
        <v>4000</v>
      </c>
      <c r="D135" s="575">
        <v>16.433</v>
      </c>
      <c r="E135" s="529">
        <v>13.92</v>
      </c>
      <c r="F135" s="529">
        <f t="shared" si="9"/>
        <v>-10052</v>
      </c>
      <c r="G135" s="529">
        <f t="shared" si="10"/>
        <v>65732</v>
      </c>
      <c r="H135" s="576">
        <f t="shared" si="11"/>
        <v>-0.15292399440150917</v>
      </c>
      <c r="I135" s="529"/>
      <c r="J135" s="529"/>
    </row>
    <row r="136" spans="2:10" x14ac:dyDescent="0.25">
      <c r="B136" s="524">
        <v>42577</v>
      </c>
      <c r="C136" s="528">
        <v>3200</v>
      </c>
      <c r="D136" s="575">
        <v>16.935400000000001</v>
      </c>
      <c r="E136" s="529">
        <v>14.67</v>
      </c>
      <c r="F136" s="529">
        <f t="shared" si="9"/>
        <v>-7249.2800000000043</v>
      </c>
      <c r="G136" s="529">
        <f t="shared" si="10"/>
        <v>54193.280000000006</v>
      </c>
      <c r="H136" s="576">
        <f t="shared" si="11"/>
        <v>-0.1337671386563058</v>
      </c>
      <c r="I136" s="529"/>
      <c r="J136" s="529"/>
    </row>
    <row r="137" spans="2:10" x14ac:dyDescent="0.25">
      <c r="B137" s="524">
        <v>42578</v>
      </c>
      <c r="C137" s="528">
        <v>3400</v>
      </c>
      <c r="D137" s="575">
        <v>16.7698</v>
      </c>
      <c r="E137" s="529">
        <v>14.19</v>
      </c>
      <c r="F137" s="529">
        <f t="shared" si="9"/>
        <v>-8771.3200000000015</v>
      </c>
      <c r="G137" s="529">
        <f t="shared" si="10"/>
        <v>57017.32</v>
      </c>
      <c r="H137" s="576">
        <f t="shared" si="11"/>
        <v>-0.15383606244558673</v>
      </c>
      <c r="I137" s="529"/>
      <c r="J137" s="529"/>
    </row>
    <row r="138" spans="2:10" x14ac:dyDescent="0.25">
      <c r="B138" s="524">
        <v>42579</v>
      </c>
      <c r="C138" s="528">
        <v>4000</v>
      </c>
      <c r="D138" s="575">
        <v>16.327300000000001</v>
      </c>
      <c r="E138" s="529">
        <v>13.81</v>
      </c>
      <c r="F138" s="529">
        <f t="shared" si="9"/>
        <v>-10069.200000000003</v>
      </c>
      <c r="G138" s="529">
        <f t="shared" si="10"/>
        <v>65309.200000000004</v>
      </c>
      <c r="H138" s="576">
        <f t="shared" si="11"/>
        <v>-0.15417735939193869</v>
      </c>
      <c r="I138" s="529"/>
      <c r="J138" s="529"/>
    </row>
    <row r="139" spans="2:10" x14ac:dyDescent="0.25">
      <c r="B139" s="524">
        <v>42580</v>
      </c>
      <c r="C139" s="528">
        <v>4500</v>
      </c>
      <c r="D139" s="575">
        <v>16.026499999999999</v>
      </c>
      <c r="E139" s="529">
        <v>13.74</v>
      </c>
      <c r="F139" s="529">
        <f t="shared" si="9"/>
        <v>-10289.249999999993</v>
      </c>
      <c r="G139" s="529">
        <f t="shared" si="10"/>
        <v>72119.25</v>
      </c>
      <c r="H139" s="576">
        <f t="shared" si="11"/>
        <v>-0.14266995289052498</v>
      </c>
      <c r="I139" s="529"/>
      <c r="J139" s="529"/>
    </row>
    <row r="140" spans="2:10" x14ac:dyDescent="0.25">
      <c r="B140" s="524">
        <v>42585</v>
      </c>
      <c r="C140" s="528">
        <v>4700</v>
      </c>
      <c r="D140" s="575">
        <v>15.9011</v>
      </c>
      <c r="E140" s="529">
        <v>13.4</v>
      </c>
      <c r="F140" s="529">
        <f t="shared" si="9"/>
        <v>-11755.169999999996</v>
      </c>
      <c r="G140" s="529">
        <f t="shared" si="10"/>
        <v>74735.17</v>
      </c>
      <c r="H140" s="576">
        <f t="shared" si="11"/>
        <v>-0.15729100502480955</v>
      </c>
      <c r="I140" s="529"/>
      <c r="J140" s="529"/>
    </row>
    <row r="141" spans="2:10" x14ac:dyDescent="0.25">
      <c r="B141" s="524">
        <v>42586</v>
      </c>
      <c r="C141" s="528">
        <v>4500</v>
      </c>
      <c r="D141" s="575">
        <v>15.990399999999999</v>
      </c>
      <c r="E141" s="529">
        <v>14.03</v>
      </c>
      <c r="F141" s="529">
        <f t="shared" si="9"/>
        <v>-8821.7999999999993</v>
      </c>
      <c r="G141" s="529">
        <f t="shared" si="10"/>
        <v>71956.800000000003</v>
      </c>
      <c r="H141" s="576">
        <f t="shared" si="11"/>
        <v>-0.12259855913548129</v>
      </c>
      <c r="I141" s="529" t="s">
        <v>262</v>
      </c>
      <c r="J141" s="529"/>
    </row>
    <row r="142" spans="2:10" x14ac:dyDescent="0.25">
      <c r="B142" s="524">
        <v>42587</v>
      </c>
      <c r="C142" s="528">
        <v>4000</v>
      </c>
      <c r="D142" s="575">
        <v>16.158000000000001</v>
      </c>
      <c r="E142" s="529">
        <v>14.52</v>
      </c>
      <c r="F142" s="529">
        <f t="shared" si="9"/>
        <v>-6552.0000000000064</v>
      </c>
      <c r="G142" s="529">
        <f t="shared" si="10"/>
        <v>64632.000000000007</v>
      </c>
      <c r="H142" s="576">
        <f t="shared" si="11"/>
        <v>-0.10137393241737848</v>
      </c>
      <c r="I142" s="529">
        <v>16</v>
      </c>
      <c r="J142" s="529"/>
    </row>
    <row r="143" spans="2:10" x14ac:dyDescent="0.25">
      <c r="B143" s="524">
        <v>42593</v>
      </c>
      <c r="C143" s="528">
        <v>4000</v>
      </c>
      <c r="D143" s="575">
        <v>16.158000000000001</v>
      </c>
      <c r="E143" s="529">
        <v>14.2</v>
      </c>
      <c r="F143" s="529">
        <f t="shared" si="9"/>
        <v>-7832.0000000000082</v>
      </c>
      <c r="G143" s="529">
        <f t="shared" si="10"/>
        <v>64632.000000000007</v>
      </c>
      <c r="H143" s="576">
        <f t="shared" si="11"/>
        <v>-0.12117836365886879</v>
      </c>
      <c r="I143" s="529"/>
      <c r="J143" s="529"/>
    </row>
    <row r="144" spans="2:10" x14ac:dyDescent="0.25">
      <c r="B144" s="524">
        <v>42597</v>
      </c>
      <c r="C144" s="528">
        <v>2000</v>
      </c>
      <c r="D144" s="575">
        <v>17.3687</v>
      </c>
      <c r="E144" s="529">
        <v>15.53</v>
      </c>
      <c r="F144" s="529">
        <f t="shared" si="9"/>
        <v>-3677.4000000000024</v>
      </c>
      <c r="G144" s="529">
        <f t="shared" si="10"/>
        <v>34737.4</v>
      </c>
      <c r="H144" s="576">
        <f t="shared" si="11"/>
        <v>-0.10586284523309177</v>
      </c>
      <c r="I144" s="529">
        <v>17</v>
      </c>
      <c r="J144" s="529"/>
    </row>
    <row r="145" spans="2:10" x14ac:dyDescent="0.25">
      <c r="B145" s="524">
        <v>42599</v>
      </c>
      <c r="C145" s="528">
        <v>2000</v>
      </c>
      <c r="D145" s="575">
        <v>17.331299999999999</v>
      </c>
      <c r="E145" s="529">
        <v>15.52</v>
      </c>
      <c r="F145" s="529">
        <f t="shared" si="9"/>
        <v>-3622.5999999999985</v>
      </c>
      <c r="G145" s="529">
        <f t="shared" si="10"/>
        <v>34662.6</v>
      </c>
      <c r="H145" s="576">
        <f t="shared" si="11"/>
        <v>-0.10451033678950797</v>
      </c>
      <c r="I145" s="529"/>
      <c r="J145" s="529"/>
    </row>
    <row r="146" spans="2:10" x14ac:dyDescent="0.25">
      <c r="B146" s="524">
        <v>42600</v>
      </c>
      <c r="C146" s="528">
        <v>2000</v>
      </c>
      <c r="D146" s="575">
        <v>17.331299999999999</v>
      </c>
      <c r="E146" s="529">
        <v>15.77</v>
      </c>
      <c r="F146" s="529">
        <f t="shared" si="9"/>
        <v>-3122.5999999999985</v>
      </c>
      <c r="G146" s="529">
        <f t="shared" si="10"/>
        <v>34662.6</v>
      </c>
      <c r="H146" s="576">
        <f t="shared" si="11"/>
        <v>-9.0085567730060601E-2</v>
      </c>
      <c r="I146" s="529"/>
      <c r="J146" s="529"/>
    </row>
    <row r="147" spans="2:10" x14ac:dyDescent="0.25">
      <c r="B147" s="524">
        <v>42601</v>
      </c>
      <c r="C147" s="528">
        <v>2000</v>
      </c>
      <c r="D147" s="575">
        <v>17.331299999999999</v>
      </c>
      <c r="E147" s="529">
        <v>16.25</v>
      </c>
      <c r="F147" s="529">
        <f t="shared" si="9"/>
        <v>-2162.5999999999976</v>
      </c>
      <c r="G147" s="529">
        <f t="shared" si="10"/>
        <v>34662.6</v>
      </c>
      <c r="H147" s="576">
        <f t="shared" si="11"/>
        <v>-6.2390011135921651E-2</v>
      </c>
      <c r="I147" s="529"/>
      <c r="J147" s="529"/>
    </row>
    <row r="148" spans="2:10" x14ac:dyDescent="0.25">
      <c r="B148" s="524">
        <v>42604</v>
      </c>
      <c r="C148" s="528">
        <v>2000</v>
      </c>
      <c r="D148" s="575">
        <v>17.331299999999999</v>
      </c>
      <c r="E148" s="529">
        <v>16.190000000000001</v>
      </c>
      <c r="F148" s="529">
        <f t="shared" si="9"/>
        <v>-2282.5999999999949</v>
      </c>
      <c r="G148" s="529">
        <f t="shared" si="10"/>
        <v>34662.6</v>
      </c>
      <c r="H148" s="576">
        <f t="shared" si="11"/>
        <v>-6.5851955710188939E-2</v>
      </c>
      <c r="I148" s="529"/>
      <c r="J148" s="529"/>
    </row>
    <row r="149" spans="2:10" x14ac:dyDescent="0.25">
      <c r="B149" s="524">
        <v>42607</v>
      </c>
      <c r="C149" s="528">
        <v>2000</v>
      </c>
      <c r="D149" s="575">
        <v>17.331299999999999</v>
      </c>
      <c r="E149" s="529">
        <v>16.2</v>
      </c>
      <c r="F149" s="529">
        <f t="shared" si="9"/>
        <v>-2262.599999999999</v>
      </c>
      <c r="G149" s="529">
        <f t="shared" si="10"/>
        <v>34662.6</v>
      </c>
      <c r="H149" s="576">
        <f t="shared" si="11"/>
        <v>-6.5274964947811168E-2</v>
      </c>
      <c r="I149" s="529"/>
      <c r="J149" s="529"/>
    </row>
    <row r="150" spans="2:10" x14ac:dyDescent="0.25">
      <c r="B150" s="524">
        <v>42609</v>
      </c>
      <c r="C150" s="528">
        <v>2000</v>
      </c>
      <c r="D150" s="575">
        <v>17.331299999999999</v>
      </c>
      <c r="E150" s="529">
        <v>16.91</v>
      </c>
      <c r="F150" s="529">
        <f t="shared" si="9"/>
        <v>-842.59999999999741</v>
      </c>
      <c r="G150" s="529">
        <f t="shared" si="10"/>
        <v>34662.6</v>
      </c>
      <c r="H150" s="576">
        <f t="shared" si="11"/>
        <v>-2.4308620818980612E-2</v>
      </c>
      <c r="I150" s="529"/>
      <c r="J150" s="529"/>
    </row>
    <row r="151" spans="2:10" x14ac:dyDescent="0.25">
      <c r="B151" s="524">
        <v>42612</v>
      </c>
      <c r="C151" s="528">
        <v>2000</v>
      </c>
      <c r="D151" s="575">
        <v>17.331299999999999</v>
      </c>
      <c r="E151" s="529">
        <v>16.739999999999998</v>
      </c>
      <c r="F151" s="529">
        <f t="shared" si="9"/>
        <v>-1182.6000000000008</v>
      </c>
      <c r="G151" s="529">
        <f t="shared" si="10"/>
        <v>34662.6</v>
      </c>
      <c r="H151" s="576">
        <f t="shared" si="11"/>
        <v>-3.4117463779404916E-2</v>
      </c>
      <c r="I151" s="529"/>
      <c r="J151" s="529"/>
    </row>
    <row r="152" spans="2:10" x14ac:dyDescent="0.25">
      <c r="B152" s="524">
        <v>42615</v>
      </c>
      <c r="C152" s="528">
        <v>2000</v>
      </c>
      <c r="D152" s="575">
        <v>17.331299999999999</v>
      </c>
      <c r="E152" s="529">
        <v>16.7</v>
      </c>
      <c r="F152" s="529">
        <f t="shared" si="9"/>
        <v>-1262.599999999999</v>
      </c>
      <c r="G152" s="529">
        <f t="shared" si="10"/>
        <v>34662.6</v>
      </c>
      <c r="H152" s="576">
        <f t="shared" si="11"/>
        <v>-3.6425426828916446E-2</v>
      </c>
      <c r="I152" s="529"/>
      <c r="J152" s="529"/>
    </row>
    <row r="153" spans="2:10" x14ac:dyDescent="0.25">
      <c r="B153" s="524">
        <v>42619</v>
      </c>
      <c r="C153" s="528">
        <v>2000</v>
      </c>
      <c r="D153" s="575">
        <v>17.273900000000001</v>
      </c>
      <c r="E153" s="529">
        <v>17.010000000000002</v>
      </c>
      <c r="F153" s="529">
        <f t="shared" si="9"/>
        <v>-527.79999999999916</v>
      </c>
      <c r="G153" s="529">
        <f t="shared" si="10"/>
        <v>34547.800000000003</v>
      </c>
      <c r="H153" s="576">
        <f t="shared" si="11"/>
        <v>-1.5277383798678906E-2</v>
      </c>
      <c r="I153" s="529">
        <v>17</v>
      </c>
      <c r="J153" s="529"/>
    </row>
    <row r="154" spans="2:10" x14ac:dyDescent="0.25">
      <c r="B154" s="524">
        <v>42620</v>
      </c>
      <c r="C154" s="528">
        <v>2000</v>
      </c>
      <c r="D154" s="575">
        <v>17.234000000000002</v>
      </c>
      <c r="E154" s="529">
        <v>17.16</v>
      </c>
      <c r="F154" s="529">
        <f t="shared" si="9"/>
        <v>-148.00000000000324</v>
      </c>
      <c r="G154" s="529">
        <f t="shared" si="10"/>
        <v>34468</v>
      </c>
      <c r="H154" s="576">
        <f t="shared" si="11"/>
        <v>-4.2938377625624706E-3</v>
      </c>
      <c r="I154" s="529">
        <v>17</v>
      </c>
      <c r="J154" s="529"/>
    </row>
    <row r="155" spans="2:10" x14ac:dyDescent="0.25">
      <c r="B155" s="524">
        <v>42621</v>
      </c>
      <c r="C155" s="528">
        <v>1500</v>
      </c>
      <c r="D155" s="575">
        <v>17.168800000000001</v>
      </c>
      <c r="E155" s="529">
        <v>17.45</v>
      </c>
      <c r="F155" s="529">
        <f t="shared" si="9"/>
        <v>421.79999999999751</v>
      </c>
      <c r="G155" s="529">
        <f t="shared" si="10"/>
        <v>25753.200000000001</v>
      </c>
      <c r="H155" s="576">
        <f t="shared" si="11"/>
        <v>1.6378547132006798E-2</v>
      </c>
      <c r="I155" s="529"/>
      <c r="J155" s="529"/>
    </row>
    <row r="156" spans="2:10" x14ac:dyDescent="0.25">
      <c r="B156" s="524">
        <v>42622</v>
      </c>
      <c r="C156" s="528">
        <v>2000</v>
      </c>
      <c r="D156" s="575">
        <v>17.137899999999998</v>
      </c>
      <c r="E156" s="529">
        <v>16.809999999999999</v>
      </c>
      <c r="F156" s="529">
        <f t="shared" si="9"/>
        <v>-655.79999999999927</v>
      </c>
      <c r="G156" s="529">
        <f t="shared" si="10"/>
        <v>34275.799999999996</v>
      </c>
      <c r="H156" s="576">
        <f t="shared" si="11"/>
        <v>-1.9133032635270348E-2</v>
      </c>
      <c r="I156" s="529">
        <v>17</v>
      </c>
      <c r="J156" s="529"/>
    </row>
    <row r="157" spans="2:10" x14ac:dyDescent="0.25">
      <c r="B157" s="524">
        <v>42625</v>
      </c>
      <c r="C157" s="528">
        <v>2000</v>
      </c>
      <c r="D157" s="575">
        <v>17.137899999999998</v>
      </c>
      <c r="E157" s="529">
        <v>17.149999999999999</v>
      </c>
      <c r="F157" s="529">
        <f t="shared" si="9"/>
        <v>24.200000000000443</v>
      </c>
      <c r="G157" s="529">
        <f t="shared" si="10"/>
        <v>34275.799999999996</v>
      </c>
      <c r="H157" s="576">
        <f t="shared" si="11"/>
        <v>7.0603749584256077E-4</v>
      </c>
      <c r="I157" s="529"/>
      <c r="J157" s="529"/>
    </row>
    <row r="158" spans="2:10" x14ac:dyDescent="0.25">
      <c r="B158" s="524">
        <v>42626</v>
      </c>
      <c r="C158" s="528">
        <v>2100</v>
      </c>
      <c r="D158" s="575">
        <v>17.1065</v>
      </c>
      <c r="E158" s="529">
        <v>16.75</v>
      </c>
      <c r="F158" s="529">
        <f t="shared" si="9"/>
        <v>-748.650000000001</v>
      </c>
      <c r="G158" s="529">
        <f t="shared" si="10"/>
        <v>35923.65</v>
      </c>
      <c r="H158" s="576">
        <f t="shared" si="11"/>
        <v>-2.0840031566948265E-2</v>
      </c>
      <c r="I158" s="529"/>
      <c r="J158" s="529"/>
    </row>
    <row r="159" spans="2:10" x14ac:dyDescent="0.25">
      <c r="B159" s="524">
        <v>42627</v>
      </c>
      <c r="C159" s="528">
        <v>2100</v>
      </c>
      <c r="D159" s="575">
        <v>17.1065</v>
      </c>
      <c r="E159" s="529">
        <v>16.93</v>
      </c>
      <c r="F159" s="529">
        <f t="shared" si="9"/>
        <v>-370.65000000000163</v>
      </c>
      <c r="G159" s="529">
        <f t="shared" si="10"/>
        <v>35923.65</v>
      </c>
      <c r="H159" s="576">
        <f t="shared" si="11"/>
        <v>-1.0317715488264739E-2</v>
      </c>
      <c r="I159" s="529"/>
      <c r="J159" s="529"/>
    </row>
    <row r="160" spans="2:10" x14ac:dyDescent="0.25">
      <c r="B160" s="524">
        <v>42628</v>
      </c>
      <c r="C160" s="528">
        <v>2100</v>
      </c>
      <c r="D160" s="575">
        <v>17.1065</v>
      </c>
      <c r="E160" s="529">
        <v>17.45</v>
      </c>
      <c r="F160" s="529">
        <f t="shared" si="9"/>
        <v>721.34999999999752</v>
      </c>
      <c r="G160" s="529">
        <f t="shared" si="10"/>
        <v>35923.65</v>
      </c>
      <c r="H160" s="576">
        <f t="shared" si="11"/>
        <v>2.008008651682102E-2</v>
      </c>
      <c r="I160" s="529"/>
      <c r="J160" s="529"/>
    </row>
    <row r="161" spans="2:10" x14ac:dyDescent="0.25">
      <c r="B161" s="524">
        <v>42629</v>
      </c>
      <c r="C161" s="528">
        <v>2100</v>
      </c>
      <c r="D161" s="575">
        <v>17.1065</v>
      </c>
      <c r="E161" s="529">
        <v>17.48</v>
      </c>
      <c r="F161" s="529">
        <f t="shared" si="9"/>
        <v>784.34999999999991</v>
      </c>
      <c r="G161" s="529">
        <f t="shared" si="10"/>
        <v>35923.65</v>
      </c>
      <c r="H161" s="576">
        <f t="shared" si="11"/>
        <v>2.1833805863268343E-2</v>
      </c>
      <c r="I161" s="529"/>
      <c r="J161" s="529"/>
    </row>
    <row r="162" spans="2:10" x14ac:dyDescent="0.25">
      <c r="B162" s="524">
        <v>42632</v>
      </c>
      <c r="C162" s="528">
        <v>2100</v>
      </c>
      <c r="D162" s="575">
        <v>17.106529999999999</v>
      </c>
      <c r="E162" s="529">
        <v>16.95</v>
      </c>
      <c r="F162" s="529">
        <f t="shared" si="9"/>
        <v>-328.71300000000014</v>
      </c>
      <c r="G162" s="529">
        <f t="shared" si="10"/>
        <v>35923.712999999996</v>
      </c>
      <c r="H162" s="576">
        <f t="shared" si="11"/>
        <v>-9.150306929576019E-3</v>
      </c>
      <c r="I162" s="529"/>
      <c r="J162" s="529"/>
    </row>
    <row r="163" spans="2:10" x14ac:dyDescent="0.25">
      <c r="B163" s="524">
        <v>42634</v>
      </c>
      <c r="C163" s="528">
        <v>1600</v>
      </c>
      <c r="D163" s="575">
        <v>16.943059999999999</v>
      </c>
      <c r="E163" s="529">
        <v>17.66</v>
      </c>
      <c r="F163" s="529">
        <f t="shared" si="9"/>
        <v>1147.1040000000016</v>
      </c>
      <c r="G163" s="529">
        <f t="shared" si="10"/>
        <v>27108.895999999997</v>
      </c>
      <c r="H163" s="576">
        <f t="shared" si="11"/>
        <v>4.2314670431433346E-2</v>
      </c>
      <c r="I163" s="529"/>
      <c r="J163" s="529"/>
    </row>
    <row r="164" spans="2:10" x14ac:dyDescent="0.25">
      <c r="B164" s="524">
        <v>42635</v>
      </c>
      <c r="C164" s="528">
        <v>1600</v>
      </c>
      <c r="D164" s="575">
        <v>16.943059999999999</v>
      </c>
      <c r="E164" s="529">
        <v>17.59</v>
      </c>
      <c r="F164" s="529">
        <f t="shared" si="9"/>
        <v>1035.1040000000012</v>
      </c>
      <c r="G164" s="529">
        <f t="shared" si="10"/>
        <v>27108.895999999997</v>
      </c>
      <c r="H164" s="576">
        <f t="shared" si="11"/>
        <v>3.8183185327797978E-2</v>
      </c>
      <c r="I164" s="529"/>
      <c r="J164" s="529"/>
    </row>
    <row r="165" spans="2:10" x14ac:dyDescent="0.25">
      <c r="B165" s="524">
        <v>42640</v>
      </c>
      <c r="C165" s="528">
        <v>1600</v>
      </c>
      <c r="D165" s="575">
        <v>16.943059999999999</v>
      </c>
      <c r="E165" s="529">
        <v>18</v>
      </c>
      <c r="F165" s="529">
        <f t="shared" si="9"/>
        <v>1691.1040000000014</v>
      </c>
      <c r="G165" s="529">
        <f t="shared" si="10"/>
        <v>27108.895999999997</v>
      </c>
      <c r="H165" s="576">
        <f t="shared" si="11"/>
        <v>6.2381883791947909E-2</v>
      </c>
      <c r="I165" s="529"/>
      <c r="J165" s="529"/>
    </row>
    <row r="166" spans="2:10" x14ac:dyDescent="0.25">
      <c r="B166" s="524">
        <v>42641</v>
      </c>
      <c r="C166" s="528">
        <v>1800</v>
      </c>
      <c r="D166" s="575">
        <v>16.979289999999999</v>
      </c>
      <c r="E166" s="529">
        <v>17.440000000000001</v>
      </c>
      <c r="F166" s="529">
        <f t="shared" si="9"/>
        <v>829.27800000000434</v>
      </c>
      <c r="G166" s="529">
        <f t="shared" si="10"/>
        <v>30562.721999999998</v>
      </c>
      <c r="H166" s="576">
        <f t="shared" si="11"/>
        <v>2.71336433973389E-2</v>
      </c>
      <c r="I166" s="529"/>
      <c r="J166" s="529"/>
    </row>
    <row r="167" spans="2:10" x14ac:dyDescent="0.25">
      <c r="B167" s="524">
        <v>42643</v>
      </c>
      <c r="C167" s="528">
        <v>1800</v>
      </c>
      <c r="D167" s="575">
        <v>16.979289999999999</v>
      </c>
      <c r="E167" s="529">
        <v>17.78</v>
      </c>
      <c r="F167" s="529">
        <f t="shared" si="9"/>
        <v>1441.2780000000041</v>
      </c>
      <c r="G167" s="529">
        <f t="shared" si="10"/>
        <v>30562.721999999998</v>
      </c>
      <c r="H167" s="576">
        <f t="shared" si="11"/>
        <v>4.7158037821369583E-2</v>
      </c>
      <c r="I167" s="529"/>
      <c r="J167" s="529"/>
    </row>
    <row r="168" spans="2:10" x14ac:dyDescent="0.25">
      <c r="B168" s="524">
        <v>42647</v>
      </c>
      <c r="C168" s="528">
        <v>2000</v>
      </c>
      <c r="D168" s="575">
        <v>16.989360000000001</v>
      </c>
      <c r="E168" s="529">
        <v>17.8</v>
      </c>
      <c r="F168" s="529">
        <f t="shared" si="9"/>
        <v>1621.2799999999988</v>
      </c>
      <c r="G168" s="529">
        <f t="shared" si="10"/>
        <v>33978.720000000001</v>
      </c>
      <c r="H168" s="576">
        <f t="shared" si="11"/>
        <v>4.7714569589437116E-2</v>
      </c>
      <c r="I168" s="580" t="s">
        <v>290</v>
      </c>
      <c r="J168" s="580" t="s">
        <v>288</v>
      </c>
    </row>
    <row r="169" spans="2:10" x14ac:dyDescent="0.25">
      <c r="B169" s="524">
        <v>42648</v>
      </c>
      <c r="C169" s="528">
        <v>2000</v>
      </c>
      <c r="D169" s="575">
        <v>16.989360000000001</v>
      </c>
      <c r="E169" s="529">
        <v>17.7</v>
      </c>
      <c r="F169" s="529">
        <f t="shared" si="9"/>
        <v>1421.2799999999959</v>
      </c>
      <c r="G169" s="529">
        <f t="shared" si="10"/>
        <v>33978.720000000001</v>
      </c>
      <c r="H169" s="576">
        <f t="shared" si="11"/>
        <v>4.1828532681631204E-2</v>
      </c>
      <c r="I169" s="529"/>
      <c r="J169" s="529"/>
    </row>
    <row r="170" spans="2:10" x14ac:dyDescent="0.25">
      <c r="B170" s="524">
        <v>42661</v>
      </c>
      <c r="C170" s="528">
        <v>2200</v>
      </c>
      <c r="D170" s="575">
        <v>16.96123</v>
      </c>
      <c r="E170" s="529">
        <v>17.41</v>
      </c>
      <c r="F170" s="529">
        <f t="shared" si="9"/>
        <v>987.2939999999993</v>
      </c>
      <c r="G170" s="529">
        <f t="shared" si="10"/>
        <v>37314.705999999998</v>
      </c>
      <c r="H170" s="576">
        <f t="shared" si="11"/>
        <v>2.6458576412205934E-2</v>
      </c>
      <c r="I170" s="529"/>
      <c r="J170" s="529"/>
    </row>
    <row r="171" spans="2:10" x14ac:dyDescent="0.25">
      <c r="B171" s="524">
        <v>42662</v>
      </c>
      <c r="C171" s="528">
        <v>2000</v>
      </c>
      <c r="D171" s="575">
        <v>16.933399999999999</v>
      </c>
      <c r="E171" s="529">
        <v>17.215</v>
      </c>
      <c r="F171" s="529">
        <f t="shared" si="9"/>
        <v>563.20000000000186</v>
      </c>
      <c r="G171" s="529">
        <f t="shared" si="10"/>
        <v>33866.799999999996</v>
      </c>
      <c r="H171" s="576">
        <f t="shared" si="11"/>
        <v>1.6629855787969397E-2</v>
      </c>
      <c r="I171" s="580">
        <v>16.8</v>
      </c>
      <c r="J171" s="529"/>
    </row>
    <row r="172" spans="2:10" x14ac:dyDescent="0.25">
      <c r="B172" s="524">
        <v>42664</v>
      </c>
      <c r="C172" s="528">
        <v>2000</v>
      </c>
      <c r="D172" s="575">
        <v>16.933399999999999</v>
      </c>
      <c r="E172" s="529">
        <v>16.940000000000001</v>
      </c>
      <c r="F172" s="529">
        <f t="shared" ref="F172:F177" si="12">-C172*(D172-E172)</f>
        <v>13.200000000004763</v>
      </c>
      <c r="G172" s="529">
        <f t="shared" ref="G172:G177" si="13">IF(C172=0, 0,D172*C172)</f>
        <v>33866.799999999996</v>
      </c>
      <c r="H172" s="576">
        <f t="shared" ref="H172:H177" si="14">IF(C172=0, D172, (E172-D172)/D172)</f>
        <v>3.8976224503067206E-4</v>
      </c>
      <c r="I172" s="529"/>
      <c r="J172" s="529"/>
    </row>
    <row r="173" spans="2:10" x14ac:dyDescent="0.25">
      <c r="B173" s="524">
        <v>42668</v>
      </c>
      <c r="C173" s="528">
        <v>1800</v>
      </c>
      <c r="D173" s="575">
        <v>16.864930000000001</v>
      </c>
      <c r="E173" s="529">
        <v>17.54</v>
      </c>
      <c r="F173" s="529">
        <f t="shared" si="12"/>
        <v>1215.1259999999966</v>
      </c>
      <c r="G173" s="529">
        <f t="shared" si="13"/>
        <v>30356.874000000003</v>
      </c>
      <c r="H173" s="576">
        <f t="shared" si="14"/>
        <v>4.0028034507110198E-2</v>
      </c>
      <c r="I173" s="529"/>
      <c r="J173" s="529"/>
    </row>
    <row r="174" spans="2:10" x14ac:dyDescent="0.25">
      <c r="B174" s="524">
        <v>42669</v>
      </c>
      <c r="C174" s="528">
        <v>1000</v>
      </c>
      <c r="D174" s="575">
        <v>16.149180000000001</v>
      </c>
      <c r="E174" s="529">
        <v>17.64</v>
      </c>
      <c r="F174" s="529">
        <f t="shared" si="12"/>
        <v>1490.8199999999993</v>
      </c>
      <c r="G174" s="529">
        <f t="shared" si="13"/>
        <v>16149.18</v>
      </c>
      <c r="H174" s="576">
        <f t="shared" si="14"/>
        <v>9.2315523141113007E-2</v>
      </c>
      <c r="I174" s="529"/>
      <c r="J174" s="529"/>
    </row>
    <row r="175" spans="2:10" x14ac:dyDescent="0.25">
      <c r="B175" s="524">
        <v>42670</v>
      </c>
      <c r="C175" s="528">
        <v>1800</v>
      </c>
      <c r="D175" s="575">
        <v>16.753990000000002</v>
      </c>
      <c r="E175" s="529">
        <v>17.53</v>
      </c>
      <c r="F175" s="529">
        <f t="shared" si="12"/>
        <v>1396.8179999999988</v>
      </c>
      <c r="G175" s="529">
        <f t="shared" si="13"/>
        <v>30157.182000000004</v>
      </c>
      <c r="H175" s="576">
        <f t="shared" si="14"/>
        <v>4.6317921880101358E-2</v>
      </c>
      <c r="I175" s="529"/>
      <c r="J175" s="529"/>
    </row>
    <row r="176" spans="2:10" x14ac:dyDescent="0.25">
      <c r="B176" s="524">
        <v>42670</v>
      </c>
      <c r="C176" s="528">
        <v>2000</v>
      </c>
      <c r="D176" s="575">
        <v>16.820589999999999</v>
      </c>
      <c r="E176" s="529">
        <v>17.53</v>
      </c>
      <c r="F176" s="529">
        <f t="shared" si="12"/>
        <v>1418.8200000000038</v>
      </c>
      <c r="G176" s="529">
        <f t="shared" si="13"/>
        <v>33641.18</v>
      </c>
      <c r="H176" s="576">
        <f t="shared" si="14"/>
        <v>4.2175096117318234E-2</v>
      </c>
      <c r="I176" s="580">
        <v>16.8</v>
      </c>
      <c r="J176" s="529"/>
    </row>
    <row r="177" spans="2:17" x14ac:dyDescent="0.25">
      <c r="B177" s="524">
        <v>42671</v>
      </c>
      <c r="C177" s="528">
        <v>2000</v>
      </c>
      <c r="D177" s="575">
        <v>16.752666999999999</v>
      </c>
      <c r="E177" s="529">
        <v>17.2</v>
      </c>
      <c r="F177" s="529">
        <f t="shared" si="12"/>
        <v>894.66600000000085</v>
      </c>
      <c r="G177" s="529">
        <f t="shared" si="13"/>
        <v>33505.333999999995</v>
      </c>
      <c r="H177" s="576">
        <f t="shared" si="14"/>
        <v>2.6702196133905155E-2</v>
      </c>
      <c r="I177" s="580" t="s">
        <v>300</v>
      </c>
      <c r="J177" s="529"/>
    </row>
    <row r="178" spans="2:17" x14ac:dyDescent="0.25">
      <c r="B178" s="524">
        <v>42672</v>
      </c>
      <c r="C178" s="528">
        <v>2000</v>
      </c>
      <c r="D178" s="575">
        <v>16.752666999999999</v>
      </c>
      <c r="E178" s="529">
        <v>17.16</v>
      </c>
      <c r="F178" s="529">
        <f>-C178*(D178-E178)</f>
        <v>814.66600000000255</v>
      </c>
      <c r="G178" s="529">
        <f>IF(C178=0, 0,D178*C178)</f>
        <v>33505.333999999995</v>
      </c>
      <c r="H178" s="576">
        <f>IF(C178=0, D178, (E178-D178)/D178)</f>
        <v>2.4314516608012402E-2</v>
      </c>
      <c r="I178" s="580" t="s">
        <v>300</v>
      </c>
      <c r="J178" s="529"/>
    </row>
    <row r="179" spans="2:17" x14ac:dyDescent="0.25">
      <c r="B179" s="524">
        <v>42675</v>
      </c>
      <c r="C179" s="528">
        <v>2000</v>
      </c>
      <c r="D179" s="575">
        <v>16.742699999999999</v>
      </c>
      <c r="E179" s="529">
        <v>17.2</v>
      </c>
      <c r="F179" s="529">
        <f>-C179*(D179-E179)</f>
        <v>914.60000000000014</v>
      </c>
      <c r="G179" s="529">
        <f>IF(C179=0, 0,D179*C179)</f>
        <v>33485.4</v>
      </c>
      <c r="H179" s="576">
        <f>IF(C179=0, D179, (E179-D179)/D179)</f>
        <v>2.731339628614262E-2</v>
      </c>
      <c r="I179" s="580" t="s">
        <v>300</v>
      </c>
      <c r="J179" s="529"/>
    </row>
    <row r="180" spans="2:17" x14ac:dyDescent="0.25">
      <c r="B180" s="524">
        <v>42676</v>
      </c>
      <c r="C180" s="528">
        <v>2000</v>
      </c>
      <c r="D180" s="575">
        <v>16.742699999999999</v>
      </c>
      <c r="E180" s="529">
        <v>16.675000000000001</v>
      </c>
      <c r="F180" s="529">
        <f t="shared" ref="F180:F191" si="15">-C180*(D180-E180)</f>
        <v>-135.39999999999708</v>
      </c>
      <c r="G180" s="529">
        <f t="shared" ref="G180:G191" si="16">IF(C180=0, 0,D180*C180)</f>
        <v>33485.4</v>
      </c>
      <c r="H180" s="576">
        <f t="shared" ref="H180:H191" si="17">IF(C180=0, D180, (E180-D180)/D180)</f>
        <v>-4.0435533098006019E-3</v>
      </c>
      <c r="I180" s="529"/>
      <c r="J180" s="529"/>
    </row>
    <row r="181" spans="2:17" x14ac:dyDescent="0.25">
      <c r="B181" s="524">
        <v>42678</v>
      </c>
      <c r="C181" s="528">
        <v>2000</v>
      </c>
      <c r="D181" s="575">
        <v>16.7227</v>
      </c>
      <c r="E181" s="529">
        <v>16.68</v>
      </c>
      <c r="F181" s="529">
        <f t="shared" si="15"/>
        <v>-85.39999999999992</v>
      </c>
      <c r="G181" s="529">
        <f t="shared" si="16"/>
        <v>33445.4</v>
      </c>
      <c r="H181" s="576">
        <f t="shared" si="17"/>
        <v>-2.5534154173668102E-3</v>
      </c>
      <c r="I181" s="580" t="s">
        <v>300</v>
      </c>
      <c r="J181" s="529"/>
    </row>
    <row r="182" spans="2:17" x14ac:dyDescent="0.25">
      <c r="B182" s="524">
        <v>42701</v>
      </c>
      <c r="C182" s="528">
        <v>1800</v>
      </c>
      <c r="D182" s="575">
        <v>16.627528999999999</v>
      </c>
      <c r="E182" s="529">
        <v>20.13</v>
      </c>
      <c r="F182" s="529">
        <f t="shared" si="15"/>
        <v>6304.4477999999999</v>
      </c>
      <c r="G182" s="529">
        <f t="shared" si="16"/>
        <v>29929.552199999998</v>
      </c>
      <c r="H182" s="576">
        <f t="shared" si="17"/>
        <v>0.21064290430646671</v>
      </c>
      <c r="I182" s="529"/>
      <c r="J182" s="529"/>
    </row>
    <row r="183" spans="2:17" x14ac:dyDescent="0.25">
      <c r="B183" s="524">
        <v>42702</v>
      </c>
      <c r="C183" s="528">
        <v>1650</v>
      </c>
      <c r="D183" s="575">
        <v>16.310980000000001</v>
      </c>
      <c r="E183" s="529">
        <v>20.059999999999999</v>
      </c>
      <c r="F183" s="529">
        <f t="shared" si="15"/>
        <v>6185.8829999999971</v>
      </c>
      <c r="G183" s="529">
        <f t="shared" si="16"/>
        <v>26913.117000000002</v>
      </c>
      <c r="H183" s="576">
        <f t="shared" si="17"/>
        <v>0.22984639794788528</v>
      </c>
      <c r="I183" s="529"/>
      <c r="J183" s="529"/>
    </row>
    <row r="184" spans="2:17" x14ac:dyDescent="0.25">
      <c r="B184" s="524">
        <v>42705</v>
      </c>
      <c r="C184" s="528">
        <v>1800</v>
      </c>
      <c r="D184" s="575">
        <v>16.541699999999999</v>
      </c>
      <c r="E184" s="529">
        <v>18.48</v>
      </c>
      <c r="F184" s="529">
        <f t="shared" si="15"/>
        <v>3488.9400000000032</v>
      </c>
      <c r="G184" s="529">
        <f t="shared" si="16"/>
        <v>29775.059999999998</v>
      </c>
      <c r="H184" s="576">
        <f t="shared" si="17"/>
        <v>0.11717659007236268</v>
      </c>
      <c r="I184" s="529"/>
      <c r="J184" s="529"/>
    </row>
    <row r="185" spans="2:17" x14ac:dyDescent="0.25">
      <c r="B185" s="524">
        <v>42705</v>
      </c>
      <c r="C185" s="528">
        <v>2000</v>
      </c>
      <c r="D185" s="575">
        <v>16.707599999999999</v>
      </c>
      <c r="E185" s="529">
        <v>18.48</v>
      </c>
      <c r="F185" s="529">
        <f t="shared" si="15"/>
        <v>3544.800000000002</v>
      </c>
      <c r="G185" s="529">
        <f t="shared" si="16"/>
        <v>33415.199999999997</v>
      </c>
      <c r="H185" s="576">
        <f t="shared" si="17"/>
        <v>0.10608345902463556</v>
      </c>
      <c r="I185" s="580">
        <v>16.48</v>
      </c>
      <c r="J185" s="529"/>
    </row>
    <row r="186" spans="2:17" x14ac:dyDescent="0.25">
      <c r="B186" s="524">
        <v>42706</v>
      </c>
      <c r="C186" s="528">
        <v>1800</v>
      </c>
      <c r="D186" s="575">
        <v>16.476199999999999</v>
      </c>
      <c r="E186" s="529">
        <v>18.79</v>
      </c>
      <c r="F186" s="529">
        <f t="shared" si="15"/>
        <v>4164.8400000000011</v>
      </c>
      <c r="G186" s="529">
        <f t="shared" si="16"/>
        <v>29657.159999999996</v>
      </c>
      <c r="H186" s="576">
        <f t="shared" si="17"/>
        <v>0.14043286680181113</v>
      </c>
      <c r="I186" s="529"/>
      <c r="J186" s="529"/>
    </row>
    <row r="187" spans="2:17" x14ac:dyDescent="0.25">
      <c r="B187" s="524">
        <v>42710</v>
      </c>
      <c r="C187" s="528">
        <v>1800</v>
      </c>
      <c r="D187" s="575">
        <v>16.450700000000001</v>
      </c>
      <c r="E187" s="529">
        <v>19.059999999999999</v>
      </c>
      <c r="F187" s="529">
        <f t="shared" si="15"/>
        <v>4696.7399999999952</v>
      </c>
      <c r="G187" s="529">
        <f t="shared" si="16"/>
        <v>29611.260000000002</v>
      </c>
      <c r="H187" s="576">
        <f t="shared" si="17"/>
        <v>0.1586133112876654</v>
      </c>
      <c r="I187" s="529"/>
      <c r="J187" s="529"/>
    </row>
    <row r="188" spans="2:17" x14ac:dyDescent="0.25">
      <c r="B188" s="524">
        <v>42711</v>
      </c>
      <c r="C188" s="528">
        <v>1000</v>
      </c>
      <c r="D188" s="575">
        <v>13.444599999999999</v>
      </c>
      <c r="E188" s="529">
        <v>20.440000000000001</v>
      </c>
      <c r="F188" s="529">
        <f t="shared" si="15"/>
        <v>6995.4000000000015</v>
      </c>
      <c r="G188" s="529">
        <f t="shared" si="16"/>
        <v>13444.599999999999</v>
      </c>
      <c r="H188" s="576">
        <f t="shared" si="17"/>
        <v>0.52031298811418725</v>
      </c>
      <c r="I188" s="529"/>
      <c r="J188" s="529"/>
    </row>
    <row r="189" spans="2:17" x14ac:dyDescent="0.25">
      <c r="B189" s="524">
        <v>42716</v>
      </c>
      <c r="C189" s="528">
        <v>1800</v>
      </c>
      <c r="D189" s="575">
        <v>16.229800000000001</v>
      </c>
      <c r="E189" s="529">
        <v>20.02</v>
      </c>
      <c r="F189" s="529">
        <f t="shared" si="15"/>
        <v>6822.3599999999979</v>
      </c>
      <c r="G189" s="529">
        <f t="shared" si="16"/>
        <v>29213.640000000003</v>
      </c>
      <c r="H189" s="576">
        <f t="shared" si="17"/>
        <v>0.2335333768746379</v>
      </c>
      <c r="I189" s="529"/>
      <c r="J189" s="529"/>
    </row>
    <row r="190" spans="2:17" x14ac:dyDescent="0.25">
      <c r="B190" s="524">
        <v>42716</v>
      </c>
      <c r="C190" s="528">
        <v>1650</v>
      </c>
      <c r="D190" s="575">
        <v>15.888</v>
      </c>
      <c r="E190" s="529">
        <v>20.02</v>
      </c>
      <c r="F190" s="529">
        <f t="shared" si="15"/>
        <v>6817.7999999999993</v>
      </c>
      <c r="G190" s="529">
        <f t="shared" si="16"/>
        <v>26215.200000000001</v>
      </c>
      <c r="H190" s="576">
        <f t="shared" si="17"/>
        <v>0.26007049345417926</v>
      </c>
      <c r="I190" s="529"/>
      <c r="J190" s="529"/>
    </row>
    <row r="191" spans="2:17" x14ac:dyDescent="0.25">
      <c r="B191" s="524">
        <v>42717</v>
      </c>
      <c r="C191" s="528">
        <v>1550</v>
      </c>
      <c r="D191" s="575">
        <v>15.6</v>
      </c>
      <c r="E191" s="529">
        <v>20.13</v>
      </c>
      <c r="F191" s="529">
        <f t="shared" si="15"/>
        <v>7021.4999999999991</v>
      </c>
      <c r="G191" s="529">
        <f t="shared" si="16"/>
        <v>24180</v>
      </c>
      <c r="H191" s="576">
        <f t="shared" si="17"/>
        <v>0.29038461538461535</v>
      </c>
      <c r="I191" s="529"/>
      <c r="J191" s="529"/>
      <c r="Q191" s="4"/>
    </row>
    <row r="192" spans="2:17" x14ac:dyDescent="0.25">
      <c r="B192" s="524">
        <v>42726</v>
      </c>
      <c r="C192" s="528">
        <v>1550</v>
      </c>
      <c r="D192" s="575">
        <v>15.6</v>
      </c>
      <c r="E192" s="529">
        <v>23.2</v>
      </c>
      <c r="F192" s="529">
        <f>-C192*(D192-E192)</f>
        <v>11780</v>
      </c>
      <c r="G192" s="529">
        <f>IF(C192=0, 0,D192*C192)</f>
        <v>24180</v>
      </c>
      <c r="H192" s="576">
        <f>IF(C192=0, D192, (E192-D192)/D192)</f>
        <v>0.48717948717948717</v>
      </c>
      <c r="I192" s="529"/>
      <c r="J192" s="529"/>
      <c r="Q192" s="4"/>
    </row>
    <row r="193" spans="1:17" x14ac:dyDescent="0.25">
      <c r="B193" s="524">
        <v>42733</v>
      </c>
      <c r="C193" s="528">
        <v>1550</v>
      </c>
      <c r="D193" s="575">
        <v>15.6</v>
      </c>
      <c r="E193" s="529">
        <v>22.27</v>
      </c>
      <c r="F193" s="529">
        <f>-C193*(D193-E193)</f>
        <v>10338.5</v>
      </c>
      <c r="G193" s="529">
        <f>IF(C193=0, 0,D193*C193)</f>
        <v>24180</v>
      </c>
      <c r="H193" s="576">
        <f>IF(C193=0, D193, (E193-D193)/D193)</f>
        <v>0.42756410256410254</v>
      </c>
      <c r="I193" s="529"/>
      <c r="J193" s="529"/>
      <c r="Q193" s="4"/>
    </row>
    <row r="194" spans="1:17" x14ac:dyDescent="0.25">
      <c r="B194" s="524">
        <v>42738</v>
      </c>
      <c r="C194" s="528">
        <v>1550</v>
      </c>
      <c r="D194" s="575">
        <v>15.548634</v>
      </c>
      <c r="E194" s="529">
        <v>22.55</v>
      </c>
      <c r="F194" s="529">
        <f>-C194*(D194-E194)</f>
        <v>10852.117300000002</v>
      </c>
      <c r="G194" s="529">
        <f>IF(C194=0, 0,D194*C194)</f>
        <v>24100.382699999998</v>
      </c>
      <c r="H194" s="576">
        <f>IF(C194=0, D194, (E194-D194)/D194)</f>
        <v>0.4502881732247348</v>
      </c>
      <c r="I194" s="529"/>
      <c r="J194" s="529"/>
    </row>
    <row r="195" spans="1:17" x14ac:dyDescent="0.25">
      <c r="B195" s="524"/>
      <c r="C195" s="528"/>
      <c r="D195" s="575"/>
      <c r="E195" s="529"/>
      <c r="F195" s="529"/>
      <c r="G195" s="529"/>
      <c r="H195" s="576"/>
      <c r="I195" s="529"/>
      <c r="J195" s="529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503</v>
      </c>
      <c r="K200" s="222" t="s">
        <v>470</v>
      </c>
      <c r="L200" s="222" t="s">
        <v>678</v>
      </c>
      <c r="M200" s="4"/>
    </row>
    <row r="201" spans="1:17" x14ac:dyDescent="0.25">
      <c r="A201" s="364" t="s">
        <v>346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353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354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355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377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393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418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423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436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6" t="s">
        <v>436</v>
      </c>
      <c r="B211" s="637">
        <v>42788</v>
      </c>
      <c r="C211" s="636">
        <v>1550</v>
      </c>
      <c r="D211" s="646">
        <v>23.390999999999998</v>
      </c>
      <c r="E211" s="638">
        <v>23.75</v>
      </c>
      <c r="F211" s="638">
        <f t="shared" si="18"/>
        <v>556.45000000000277</v>
      </c>
      <c r="G211" s="638">
        <f t="shared" si="20"/>
        <v>36256.049999999996</v>
      </c>
      <c r="H211" s="647">
        <f t="shared" si="19"/>
        <v>1.5347783335470985E-2</v>
      </c>
      <c r="I211" s="638">
        <v>23</v>
      </c>
      <c r="J211" s="638"/>
      <c r="K211" s="638"/>
      <c r="L211" s="638"/>
      <c r="M211" s="4"/>
    </row>
    <row r="212" spans="1:13" x14ac:dyDescent="0.25">
      <c r="A212" s="636" t="s">
        <v>454</v>
      </c>
      <c r="B212" s="637">
        <v>42790</v>
      </c>
      <c r="C212" s="636">
        <v>1550</v>
      </c>
      <c r="D212" s="646">
        <v>23.390999999999998</v>
      </c>
      <c r="E212" s="638">
        <v>23.24</v>
      </c>
      <c r="F212" s="638">
        <f t="shared" si="18"/>
        <v>-234.0499999999997</v>
      </c>
      <c r="G212" s="638">
        <f t="shared" si="20"/>
        <v>36256.049999999996</v>
      </c>
      <c r="H212" s="647">
        <f t="shared" si="19"/>
        <v>-6.4554743277328809E-3</v>
      </c>
      <c r="I212" s="638"/>
      <c r="J212" s="638"/>
      <c r="K212" s="638"/>
      <c r="L212" s="638"/>
      <c r="M212" s="4"/>
    </row>
    <row r="213" spans="1:13" x14ac:dyDescent="0.25">
      <c r="A213" s="636"/>
      <c r="B213" s="637">
        <v>42793</v>
      </c>
      <c r="C213" s="636">
        <v>1550</v>
      </c>
      <c r="D213" s="646">
        <v>23.390999999999998</v>
      </c>
      <c r="E213" s="638">
        <v>23.76</v>
      </c>
      <c r="F213" s="638">
        <f t="shared" si="18"/>
        <v>571.95000000000516</v>
      </c>
      <c r="G213" s="638">
        <f t="shared" si="20"/>
        <v>36256.049999999996</v>
      </c>
      <c r="H213" s="647">
        <f t="shared" si="19"/>
        <v>1.5775298191612303E-2</v>
      </c>
      <c r="I213" s="638"/>
      <c r="J213" s="638"/>
      <c r="K213" s="638"/>
      <c r="L213" s="638"/>
      <c r="M213" s="4"/>
    </row>
    <row r="214" spans="1:13" x14ac:dyDescent="0.25">
      <c r="A214" s="636">
        <v>600</v>
      </c>
      <c r="B214" s="637">
        <v>42795</v>
      </c>
      <c r="C214" s="636">
        <v>1200</v>
      </c>
      <c r="D214" s="646">
        <v>23.166550000000001</v>
      </c>
      <c r="E214" s="638">
        <v>24.55</v>
      </c>
      <c r="F214" s="638">
        <f t="shared" si="18"/>
        <v>1660.1399999999999</v>
      </c>
      <c r="G214" s="638">
        <f t="shared" si="20"/>
        <v>27799.86</v>
      </c>
      <c r="H214" s="647">
        <f t="shared" si="19"/>
        <v>5.9717566922998885E-2</v>
      </c>
      <c r="I214" s="638">
        <v>23</v>
      </c>
      <c r="J214" s="638"/>
      <c r="K214" s="638">
        <v>14210</v>
      </c>
      <c r="L214" s="638">
        <f>(G214-K214)/C214</f>
        <v>11.324883333333334</v>
      </c>
    </row>
    <row r="215" spans="1:13" x14ac:dyDescent="0.25">
      <c r="A215" s="636">
        <v>200</v>
      </c>
      <c r="B215" s="637">
        <v>42796</v>
      </c>
      <c r="C215" s="636">
        <v>1200</v>
      </c>
      <c r="D215" s="646">
        <v>22.916799999999999</v>
      </c>
      <c r="E215" s="638">
        <v>24.7</v>
      </c>
      <c r="F215" s="638">
        <f t="shared" si="18"/>
        <v>2139.8400000000011</v>
      </c>
      <c r="G215" s="638">
        <f t="shared" si="20"/>
        <v>27500.16</v>
      </c>
      <c r="H215" s="647">
        <f t="shared" si="19"/>
        <v>7.7811910912518364E-2</v>
      </c>
      <c r="I215" s="638">
        <v>22.5</v>
      </c>
      <c r="J215" s="638"/>
      <c r="K215" s="638">
        <v>14690</v>
      </c>
      <c r="L215" s="638">
        <f t="shared" ref="L215:L230" si="21">(G215-K215)/C215</f>
        <v>10.675133333333333</v>
      </c>
    </row>
    <row r="216" spans="1:13" x14ac:dyDescent="0.25">
      <c r="A216" s="636">
        <v>100</v>
      </c>
      <c r="B216" s="637">
        <v>42798</v>
      </c>
      <c r="C216" s="636">
        <v>1000</v>
      </c>
      <c r="D216" s="646">
        <v>22.424299999999999</v>
      </c>
      <c r="E216" s="638">
        <v>25.57</v>
      </c>
      <c r="F216" s="638">
        <f t="shared" si="18"/>
        <v>3145.7000000000016</v>
      </c>
      <c r="G216" s="638">
        <f t="shared" si="20"/>
        <v>22424.3</v>
      </c>
      <c r="H216" s="647">
        <f t="shared" si="19"/>
        <v>0.14028085603563997</v>
      </c>
      <c r="I216" s="638"/>
      <c r="J216" s="638"/>
      <c r="K216" s="638">
        <v>15696</v>
      </c>
      <c r="L216" s="638">
        <f t="shared" si="21"/>
        <v>6.7282999999999991</v>
      </c>
    </row>
    <row r="217" spans="1:13" x14ac:dyDescent="0.25">
      <c r="A217" s="636">
        <v>100</v>
      </c>
      <c r="B217" s="637">
        <v>42803</v>
      </c>
      <c r="C217" s="636">
        <v>1100</v>
      </c>
      <c r="D217" s="646">
        <v>22.663</v>
      </c>
      <c r="E217" s="638">
        <v>25.15</v>
      </c>
      <c r="F217" s="638">
        <f t="shared" si="18"/>
        <v>2735.699999999998</v>
      </c>
      <c r="G217" s="638">
        <f t="shared" si="20"/>
        <v>24929.3</v>
      </c>
      <c r="H217" s="647">
        <f t="shared" si="19"/>
        <v>0.1097383400255923</v>
      </c>
      <c r="I217" s="638"/>
      <c r="J217" s="638"/>
      <c r="K217" s="638">
        <v>15286</v>
      </c>
      <c r="L217" s="638">
        <f t="shared" si="21"/>
        <v>8.7666363636363638</v>
      </c>
    </row>
    <row r="218" spans="1:13" x14ac:dyDescent="0.25">
      <c r="A218" s="636">
        <v>0</v>
      </c>
      <c r="B218" s="637">
        <v>42804</v>
      </c>
      <c r="C218" s="636">
        <v>1000</v>
      </c>
      <c r="D218" s="646">
        <v>22.371400000000001</v>
      </c>
      <c r="E218" s="638">
        <v>25.18</v>
      </c>
      <c r="F218" s="638">
        <f t="shared" si="18"/>
        <v>2808.5999999999985</v>
      </c>
      <c r="G218" s="638">
        <f t="shared" si="20"/>
        <v>22371.4</v>
      </c>
      <c r="H218" s="647">
        <f t="shared" si="19"/>
        <v>0.12554422164012974</v>
      </c>
      <c r="I218" s="638"/>
      <c r="J218" s="638"/>
      <c r="K218" s="638">
        <v>15359</v>
      </c>
      <c r="L218" s="638">
        <f t="shared" si="21"/>
        <v>7.0124000000000013</v>
      </c>
    </row>
    <row r="219" spans="1:13" x14ac:dyDescent="0.25">
      <c r="A219" s="636">
        <v>200</v>
      </c>
      <c r="B219" s="637">
        <v>42808</v>
      </c>
      <c r="C219" s="636">
        <v>1000</v>
      </c>
      <c r="D219" s="646">
        <v>22.371400000000001</v>
      </c>
      <c r="E219" s="638">
        <v>25.58</v>
      </c>
      <c r="F219" s="638">
        <f t="shared" si="18"/>
        <v>3208.5999999999972</v>
      </c>
      <c r="G219" s="638">
        <f t="shared" si="20"/>
        <v>22371.4</v>
      </c>
      <c r="H219" s="647">
        <f t="shared" si="19"/>
        <v>0.1434241933897743</v>
      </c>
      <c r="I219" s="638">
        <v>22</v>
      </c>
      <c r="J219" s="638"/>
      <c r="K219" s="638">
        <v>15759</v>
      </c>
      <c r="L219" s="638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6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49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6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49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6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49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49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49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49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49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49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49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49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49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49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49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49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49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69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49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69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49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49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49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49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49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49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49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49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49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49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49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49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49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49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49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49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49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49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49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49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49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49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49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69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49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69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49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69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49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49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49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49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49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49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49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49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49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49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49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1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69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1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69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1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1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1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1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49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49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49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49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49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49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49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49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49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49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49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49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49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1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1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1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49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49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49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49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49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1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1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1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1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1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1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49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49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49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49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49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49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49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49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2" t="s">
        <v>200</v>
      </c>
      <c r="B351" s="549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2"/>
      <c r="B352" s="549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2"/>
      <c r="B353" s="549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49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49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49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49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49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49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49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49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49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49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49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49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49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49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49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49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49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49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49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49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49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49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49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49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49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49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49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49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49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49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49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49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3" t="s">
        <v>255</v>
      </c>
    </row>
    <row r="386" spans="1:13" x14ac:dyDescent="0.25">
      <c r="A386" s="252"/>
      <c r="B386" s="549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3"/>
    </row>
    <row r="387" spans="1:13" x14ac:dyDescent="0.25">
      <c r="A387" s="252"/>
      <c r="B387" s="549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3"/>
    </row>
    <row r="388" spans="1:13" x14ac:dyDescent="0.25">
      <c r="A388" s="252"/>
      <c r="B388" s="549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3"/>
    </row>
    <row r="389" spans="1:13" x14ac:dyDescent="0.25">
      <c r="A389" s="252"/>
      <c r="B389" s="549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49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49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49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49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49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49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49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49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49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49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49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49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49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49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49"/>
      <c r="C404" s="252"/>
      <c r="D404" s="253"/>
      <c r="E404" s="253"/>
      <c r="F404" s="253">
        <f t="shared" si="29"/>
        <v>0</v>
      </c>
      <c r="G404" s="670" t="s">
        <v>311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49"/>
      <c r="C405" s="252"/>
      <c r="D405" s="253"/>
      <c r="E405" s="253"/>
      <c r="F405" s="253">
        <f t="shared" si="29"/>
        <v>0</v>
      </c>
      <c r="G405" s="670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49"/>
      <c r="C406" s="252"/>
      <c r="D406" s="253"/>
      <c r="E406" s="253"/>
      <c r="F406" s="253">
        <f t="shared" si="29"/>
        <v>0</v>
      </c>
      <c r="G406" s="670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49"/>
      <c r="C407" s="252"/>
      <c r="D407" s="253"/>
      <c r="E407" s="253"/>
      <c r="F407" s="253">
        <f t="shared" si="29"/>
        <v>0</v>
      </c>
      <c r="G407" s="670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49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49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49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49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49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49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49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49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49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49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49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49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49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49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49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49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193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8" priority="137">
      <formula>F30&gt;0</formula>
    </cfRule>
    <cfRule type="expression" dxfId="857" priority="138">
      <formula>F30&lt;0</formula>
    </cfRule>
  </conditionalFormatting>
  <conditionalFormatting sqref="H47:H58">
    <cfRule type="expression" dxfId="856" priority="129">
      <formula>H47&gt;0</formula>
    </cfRule>
    <cfRule type="expression" dxfId="855" priority="130">
      <formula>H47&lt;0</formula>
    </cfRule>
  </conditionalFormatting>
  <conditionalFormatting sqref="H59">
    <cfRule type="expression" dxfId="854" priority="119">
      <formula>H59&gt;0</formula>
    </cfRule>
    <cfRule type="expression" dxfId="853" priority="120">
      <formula>H59&lt;0</formula>
    </cfRule>
  </conditionalFormatting>
  <conditionalFormatting sqref="H60">
    <cfRule type="expression" dxfId="852" priority="115">
      <formula>H60&gt;0</formula>
    </cfRule>
    <cfRule type="expression" dxfId="851" priority="116">
      <formula>H60&lt;0</formula>
    </cfRule>
  </conditionalFormatting>
  <conditionalFormatting sqref="H61:H66">
    <cfRule type="expression" dxfId="850" priority="111">
      <formula>H61&gt;0</formula>
    </cfRule>
    <cfRule type="expression" dxfId="849" priority="112">
      <formula>H61&lt;0</formula>
    </cfRule>
  </conditionalFormatting>
  <conditionalFormatting sqref="Q8">
    <cfRule type="expression" dxfId="848" priority="95">
      <formula>Q8&gt;0</formula>
    </cfRule>
    <cfRule type="expression" dxfId="847" priority="96">
      <formula>Q8&lt;0</formula>
    </cfRule>
  </conditionalFormatting>
  <conditionalFormatting sqref="Q7">
    <cfRule type="expression" dxfId="846" priority="97">
      <formula>Q7&gt;0</formula>
    </cfRule>
    <cfRule type="expression" dxfId="845" priority="98">
      <formula>Q7&lt;0</formula>
    </cfRule>
  </conditionalFormatting>
  <conditionalFormatting sqref="F178 H178">
    <cfRule type="expression" dxfId="844" priority="93">
      <formula>F178&gt;0</formula>
    </cfRule>
    <cfRule type="expression" dxfId="843" priority="94">
      <formula>F178&lt;0</formula>
    </cfRule>
  </conditionalFormatting>
  <conditionalFormatting sqref="Q10">
    <cfRule type="expression" dxfId="842" priority="87">
      <formula>Q10&gt;0</formula>
    </cfRule>
    <cfRule type="expression" dxfId="841" priority="88">
      <formula>Q10&lt;0</formula>
    </cfRule>
  </conditionalFormatting>
  <conditionalFormatting sqref="Q9">
    <cfRule type="expression" dxfId="840" priority="81">
      <formula>Q9&gt;0</formula>
    </cfRule>
    <cfRule type="expression" dxfId="839" priority="82">
      <formula>Q9&lt;0</formula>
    </cfRule>
  </conditionalFormatting>
  <conditionalFormatting sqref="F201:F248">
    <cfRule type="expression" dxfId="838" priority="41">
      <formula>F201&gt;0</formula>
    </cfRule>
    <cfRule type="expression" dxfId="837" priority="42">
      <formula>F201&lt;0</formula>
    </cfRule>
  </conditionalFormatting>
  <conditionalFormatting sqref="H201:H248">
    <cfRule type="expression" dxfId="836" priority="39">
      <formula>H201&gt;0</formula>
    </cfRule>
    <cfRule type="expression" dxfId="835" priority="40">
      <formula>H201&lt;0</formula>
    </cfRule>
  </conditionalFormatting>
  <conditionalFormatting sqref="J208">
    <cfRule type="expression" dxfId="834" priority="37">
      <formula>J208&gt;0</formula>
    </cfRule>
    <cfRule type="expression" dxfId="833" priority="38">
      <formula>J208&lt;0</formula>
    </cfRule>
  </conditionalFormatting>
  <conditionalFormatting sqref="J214:J215">
    <cfRule type="expression" dxfId="832" priority="35">
      <formula>J214&gt;0</formula>
    </cfRule>
    <cfRule type="expression" dxfId="831" priority="36">
      <formula>J214&lt;0</formula>
    </cfRule>
  </conditionalFormatting>
  <conditionalFormatting sqref="J216">
    <cfRule type="expression" dxfId="830" priority="33">
      <formula>J216&gt;0</formula>
    </cfRule>
    <cfRule type="expression" dxfId="829" priority="34">
      <formula>J216&lt;0</formula>
    </cfRule>
  </conditionalFormatting>
  <conditionalFormatting sqref="J217:J219 J221:J224">
    <cfRule type="expression" dxfId="828" priority="31">
      <formula>J217&gt;0</formula>
    </cfRule>
    <cfRule type="expression" dxfId="827" priority="32">
      <formula>J217&lt;0</formula>
    </cfRule>
  </conditionalFormatting>
  <conditionalFormatting sqref="K208">
    <cfRule type="expression" dxfId="826" priority="29">
      <formula>K208&gt;0</formula>
    </cfRule>
    <cfRule type="expression" dxfId="825" priority="30">
      <formula>K208&lt;0</formula>
    </cfRule>
  </conditionalFormatting>
  <conditionalFormatting sqref="K214:K215">
    <cfRule type="expression" dxfId="824" priority="27">
      <formula>K214&gt;0</formula>
    </cfRule>
    <cfRule type="expression" dxfId="823" priority="28">
      <formula>K214&lt;0</formula>
    </cfRule>
  </conditionalFormatting>
  <conditionalFormatting sqref="K216">
    <cfRule type="expression" dxfId="822" priority="25">
      <formula>K216&gt;0</formula>
    </cfRule>
    <cfRule type="expression" dxfId="821" priority="26">
      <formula>K216&lt;0</formula>
    </cfRule>
  </conditionalFormatting>
  <conditionalFormatting sqref="K217:K224">
    <cfRule type="expression" dxfId="820" priority="23">
      <formula>K217&gt;0</formula>
    </cfRule>
    <cfRule type="expression" dxfId="819" priority="24">
      <formula>K217&lt;0</formula>
    </cfRule>
  </conditionalFormatting>
  <conditionalFormatting sqref="L208">
    <cfRule type="expression" dxfId="818" priority="21">
      <formula>L208&gt;0</formula>
    </cfRule>
    <cfRule type="expression" dxfId="817" priority="22">
      <formula>L208&lt;0</formula>
    </cfRule>
  </conditionalFormatting>
  <conditionalFormatting sqref="L214:L215">
    <cfRule type="expression" dxfId="816" priority="19">
      <formula>L214&gt;0</formula>
    </cfRule>
    <cfRule type="expression" dxfId="815" priority="20">
      <formula>L214&lt;0</formula>
    </cfRule>
  </conditionalFormatting>
  <conditionalFormatting sqref="L216">
    <cfRule type="expression" dxfId="814" priority="17">
      <formula>L216&gt;0</formula>
    </cfRule>
    <cfRule type="expression" dxfId="813" priority="18">
      <formula>L216&lt;0</formula>
    </cfRule>
  </conditionalFormatting>
  <conditionalFormatting sqref="L217:L224">
    <cfRule type="expression" dxfId="812" priority="15">
      <formula>L217&gt;0</formula>
    </cfRule>
    <cfRule type="expression" dxfId="811" priority="16">
      <formula>L217&lt;0</formula>
    </cfRule>
  </conditionalFormatting>
  <conditionalFormatting sqref="K225">
    <cfRule type="expression" dxfId="810" priority="13">
      <formula>K225&gt;0</formula>
    </cfRule>
    <cfRule type="expression" dxfId="809" priority="14">
      <formula>K225&lt;0</formula>
    </cfRule>
  </conditionalFormatting>
  <conditionalFormatting sqref="L225:L232">
    <cfRule type="expression" dxfId="808" priority="11">
      <formula>L225&gt;0</formula>
    </cfRule>
    <cfRule type="expression" dxfId="807" priority="12">
      <formula>L225&lt;0</formula>
    </cfRule>
  </conditionalFormatting>
  <conditionalFormatting sqref="K226">
    <cfRule type="expression" dxfId="806" priority="9">
      <formula>K226&gt;0</formula>
    </cfRule>
    <cfRule type="expression" dxfId="805" priority="10">
      <formula>K226&lt;0</formula>
    </cfRule>
  </conditionalFormatting>
  <conditionalFormatting sqref="K227">
    <cfRule type="expression" dxfId="804" priority="7">
      <formula>K227&gt;0</formula>
    </cfRule>
    <cfRule type="expression" dxfId="803" priority="8">
      <formula>K227&lt;0</formula>
    </cfRule>
  </conditionalFormatting>
  <conditionalFormatting sqref="K228:K248">
    <cfRule type="expression" dxfId="802" priority="5">
      <formula>K228&gt;0</formula>
    </cfRule>
    <cfRule type="expression" dxfId="801" priority="6">
      <formula>K228&lt;0</formula>
    </cfRule>
  </conditionalFormatting>
  <conditionalFormatting sqref="L233:L237">
    <cfRule type="expression" dxfId="800" priority="3">
      <formula>L233&gt;0</formula>
    </cfRule>
    <cfRule type="expression" dxfId="799" priority="4">
      <formula>L233&lt;0</formula>
    </cfRule>
  </conditionalFormatting>
  <conditionalFormatting sqref="L238:L243">
    <cfRule type="expression" dxfId="798" priority="1">
      <formula>L238&gt;0</formula>
    </cfRule>
    <cfRule type="expression" dxfId="79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55.06</v>
      </c>
      <c r="R4" s="492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610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6" priority="11">
      <formula>F27&gt;0</formula>
    </cfRule>
    <cfRule type="expression" dxfId="795" priority="12">
      <formula>F27&lt;0</formula>
    </cfRule>
  </conditionalFormatting>
  <conditionalFormatting sqref="H27:H29">
    <cfRule type="expression" dxfId="794" priority="9">
      <formula>H27&gt;0</formula>
    </cfRule>
    <cfRule type="expression" dxfId="793" priority="10">
      <formula>H27&lt;0</formula>
    </cfRule>
  </conditionalFormatting>
  <conditionalFormatting sqref="F23:F26">
    <cfRule type="expression" dxfId="792" priority="7">
      <formula>F23&gt;0</formula>
    </cfRule>
    <cfRule type="expression" dxfId="791" priority="8">
      <formula>F23&lt;0</formula>
    </cfRule>
  </conditionalFormatting>
  <conditionalFormatting sqref="H23:H26">
    <cfRule type="expression" dxfId="790" priority="5">
      <formula>H23&gt;0</formula>
    </cfRule>
    <cfRule type="expression" dxfId="789" priority="6">
      <formula>H23&lt;0</formula>
    </cfRule>
  </conditionalFormatting>
  <conditionalFormatting sqref="Q8">
    <cfRule type="expression" dxfId="788" priority="1">
      <formula>Q8&gt;0</formula>
    </cfRule>
    <cfRule type="expression" dxfId="787" priority="2">
      <formula>Q8&lt;0</formula>
    </cfRule>
  </conditionalFormatting>
  <conditionalFormatting sqref="Q7">
    <cfRule type="expression" dxfId="786" priority="3">
      <formula>Q7&gt;0</formula>
    </cfRule>
    <cfRule type="expression" dxfId="78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54.81</v>
      </c>
      <c r="R4" s="492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612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613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428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55.3581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54.81</v>
      </c>
      <c r="Q51" s="2"/>
      <c r="T51" s="85" t="s">
        <v>104</v>
      </c>
      <c r="U51" s="86" t="s">
        <v>614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513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52.617600000000003</v>
      </c>
      <c r="T55" s="85" t="s">
        <v>107</v>
      </c>
      <c r="U55" s="86" t="s">
        <v>615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548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4" priority="7">
      <formula>F21&gt;0</formula>
    </cfRule>
    <cfRule type="expression" dxfId="783" priority="8">
      <formula>F21&lt;0</formula>
    </cfRule>
  </conditionalFormatting>
  <conditionalFormatting sqref="F22">
    <cfRule type="expression" dxfId="782" priority="5">
      <formula>F22&gt;0</formula>
    </cfRule>
    <cfRule type="expression" dxfId="781" priority="6">
      <formula>F22&lt;0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65.17</v>
      </c>
      <c r="R4" s="477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6" priority="17">
      <formula>F38&gt;0</formula>
    </cfRule>
    <cfRule type="expression" dxfId="775" priority="18">
      <formula>F38&lt;0</formula>
    </cfRule>
  </conditionalFormatting>
  <conditionalFormatting sqref="H38:H72">
    <cfRule type="expression" dxfId="774" priority="9">
      <formula>H38&gt;0</formula>
    </cfRule>
    <cfRule type="expression" dxfId="773" priority="10">
      <formula>H38&lt;0</formula>
    </cfRule>
  </conditionalFormatting>
  <conditionalFormatting sqref="F21:F37">
    <cfRule type="expression" dxfId="772" priority="7">
      <formula>F21&gt;0</formula>
    </cfRule>
    <cfRule type="expression" dxfId="771" priority="8">
      <formula>F21&lt;0</formula>
    </cfRule>
  </conditionalFormatting>
  <conditionalFormatting sqref="H21:H37">
    <cfRule type="expression" dxfId="770" priority="5">
      <formula>H21&gt;0</formula>
    </cfRule>
    <cfRule type="expression" dxfId="769" priority="6">
      <formula>H21&lt;0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2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618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619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507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620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550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4" priority="11">
      <formula>F24&gt;0</formula>
    </cfRule>
    <cfRule type="expression" dxfId="763" priority="12">
      <formula>F24&lt;0</formula>
    </cfRule>
  </conditionalFormatting>
  <conditionalFormatting sqref="H27:H30">
    <cfRule type="expression" dxfId="762" priority="9">
      <formula>H27&gt;0</formula>
    </cfRule>
    <cfRule type="expression" dxfId="761" priority="10">
      <formula>H27&lt;0</formula>
    </cfRule>
  </conditionalFormatting>
  <conditionalFormatting sqref="F25">
    <cfRule type="expression" dxfId="760" priority="7">
      <formula>F25&gt;0</formula>
    </cfRule>
    <cfRule type="expression" dxfId="759" priority="8">
      <formula>F25&lt;0</formula>
    </cfRule>
  </conditionalFormatting>
  <conditionalFormatting sqref="H24:H26">
    <cfRule type="expression" dxfId="758" priority="5">
      <formula>H24&gt;0</formula>
    </cfRule>
    <cfRule type="expression" dxfId="757" priority="6">
      <formula>H24&lt;0</formula>
    </cfRule>
  </conditionalFormatting>
  <conditionalFormatting sqref="Q7">
    <cfRule type="expression" dxfId="756" priority="3">
      <formula>Q7&gt;0</formula>
    </cfRule>
    <cfRule type="expression" dxfId="755" priority="4">
      <formula>Q7&lt;0</formula>
    </cfRule>
  </conditionalFormatting>
  <conditionalFormatting sqref="Q8">
    <cfRule type="expression" dxfId="754" priority="1">
      <formula>Q8&gt;0</formula>
    </cfRule>
    <cfRule type="expression" dxfId="75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52.49</v>
      </c>
      <c r="R4" s="493">
        <v>2.0000000000000001E-4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268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621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622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5" t="s">
        <v>425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623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551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624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2" priority="17">
      <formula>F28&gt;0</formula>
    </cfRule>
    <cfRule type="expression" dxfId="751" priority="18">
      <formula>F28&lt;0</formula>
    </cfRule>
  </conditionalFormatting>
  <conditionalFormatting sqref="F28 F33:F35">
    <cfRule type="expression" dxfId="750" priority="19">
      <formula>F28&gt;0</formula>
    </cfRule>
    <cfRule type="expression" dxfId="749" priority="20">
      <formula>F28&lt;0</formula>
    </cfRule>
  </conditionalFormatting>
  <conditionalFormatting sqref="H28 H33:H35">
    <cfRule type="expression" dxfId="748" priority="15">
      <formula>H28&gt;0</formula>
    </cfRule>
    <cfRule type="expression" dxfId="747" priority="16">
      <formula>H28&lt;0</formula>
    </cfRule>
  </conditionalFormatting>
  <conditionalFormatting sqref="F21:F27">
    <cfRule type="expression" dxfId="746" priority="13">
      <formula>F21&gt;0</formula>
    </cfRule>
    <cfRule type="expression" dxfId="745" priority="14">
      <formula>F21&lt;0</formula>
    </cfRule>
  </conditionalFormatting>
  <conditionalFormatting sqref="H21:H27">
    <cfRule type="expression" dxfId="744" priority="11">
      <formula>H21&gt;0</formula>
    </cfRule>
    <cfRule type="expression" dxfId="743" priority="12">
      <formula>H21&lt;0</formula>
    </cfRule>
  </conditionalFormatting>
  <conditionalFormatting sqref="Q8">
    <cfRule type="expression" dxfId="742" priority="7">
      <formula>Q8&gt;0</formula>
    </cfRule>
    <cfRule type="expression" dxfId="741" priority="8">
      <formula>Q8&lt;0</formula>
    </cfRule>
  </conditionalFormatting>
  <conditionalFormatting sqref="Q7">
    <cfRule type="expression" dxfId="740" priority="9">
      <formula>Q7&gt;0</formula>
    </cfRule>
    <cfRule type="expression" dxfId="739" priority="10">
      <formula>Q7&lt;0</formula>
    </cfRule>
  </conditionalFormatting>
  <conditionalFormatting sqref="F29:F32">
    <cfRule type="expression" dxfId="738" priority="5">
      <formula>F29&gt;0</formula>
    </cfRule>
    <cfRule type="expression" dxfId="737" priority="6">
      <formula>F29&lt;0</formula>
    </cfRule>
  </conditionalFormatting>
  <conditionalFormatting sqref="H29:H32">
    <cfRule type="expression" dxfId="736" priority="3">
      <formula>H29&gt;0</formula>
    </cfRule>
    <cfRule type="expression" dxfId="735" priority="4">
      <formula>H29&lt;0</formula>
    </cfRule>
  </conditionalFormatting>
  <conditionalFormatting sqref="M37">
    <cfRule type="expression" dxfId="734" priority="1">
      <formula>M37&gt;0</formula>
    </cfRule>
    <cfRule type="expression" dxfId="73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272.01</v>
      </c>
      <c r="R4" s="477">
        <v>-8.0000000000000004E-4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13600.5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5">
        <f>Q10+Q8</f>
        <v>941.50999999999658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8"/>
      <c r="I8" s="3"/>
      <c r="J8" s="3"/>
      <c r="K8" s="3"/>
      <c r="O8" s="11" t="s">
        <v>180</v>
      </c>
      <c r="Q8" s="20">
        <f>K18+M18-F18+Q2*Q4</f>
        <v>780.67999999999665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6.0896330837718192E-2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986</v>
      </c>
      <c r="Q13">
        <v>17</v>
      </c>
      <c r="R13" s="22" t="s">
        <v>991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299.21100000000001</v>
      </c>
      <c r="R18" s="81"/>
    </row>
    <row r="19" spans="1:30" x14ac:dyDescent="0.25">
      <c r="P19" s="81">
        <v>1.0900000000000001</v>
      </c>
      <c r="Q19" s="81">
        <f t="shared" ref="Q19:Q38" si="3">P19*$Q$4</f>
        <v>296.49090000000001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293.77080000000001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291.05070000000001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288.3306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285.6105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282.8904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280.1703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277.4502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274.73009999999999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272.01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269.28989999999999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266.56979999999999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263.84969999999998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261.12959999999998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258.40949999999998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255.68939999999998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252.9693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250.2492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247.5291</v>
      </c>
    </row>
    <row r="38" spans="1:18" x14ac:dyDescent="0.25">
      <c r="B38" s="186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4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244.809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208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8" t="s">
        <v>113</v>
      </c>
      <c r="C63" s="778" t="s">
        <v>146</v>
      </c>
      <c r="D63" s="779" t="s">
        <v>145</v>
      </c>
      <c r="E63" s="780" t="s">
        <v>147</v>
      </c>
      <c r="F63" s="780" t="s">
        <v>65</v>
      </c>
      <c r="G63" s="781" t="s">
        <v>151</v>
      </c>
      <c r="H63" s="781" t="s">
        <v>88</v>
      </c>
      <c r="I63" s="781" t="s">
        <v>154</v>
      </c>
    </row>
    <row r="64" spans="1:15" x14ac:dyDescent="0.25">
      <c r="B64" s="637">
        <v>42377</v>
      </c>
      <c r="C64" s="636">
        <v>20</v>
      </c>
      <c r="D64" s="638">
        <v>192.9</v>
      </c>
      <c r="E64" s="638">
        <v>191.92</v>
      </c>
      <c r="F64" s="638">
        <f>C64*(E64-D64)</f>
        <v>-19.600000000000364</v>
      </c>
      <c r="G64" s="638">
        <f>D64*C64</f>
        <v>3858</v>
      </c>
      <c r="H64" s="639">
        <f>(E64-D64)/D64</f>
        <v>-5.0803525142561852E-3</v>
      </c>
      <c r="I64" s="638"/>
    </row>
    <row r="65" spans="2:9" x14ac:dyDescent="0.25">
      <c r="B65" s="637">
        <v>42384</v>
      </c>
      <c r="C65" s="636">
        <v>25</v>
      </c>
      <c r="D65" s="638">
        <v>191.678</v>
      </c>
      <c r="E65" s="638">
        <v>187.81</v>
      </c>
      <c r="F65" s="638">
        <f t="shared" ref="F65:F71" si="16">C65*(E65-D65)</f>
        <v>-96.699999999999875</v>
      </c>
      <c r="G65" s="638">
        <f t="shared" ref="G65:G71" si="17">D65*C65</f>
        <v>4791.95</v>
      </c>
      <c r="H65" s="639">
        <f t="shared" ref="H65:H71" si="18">(E65-D65)/D65</f>
        <v>-2.0179676332182071E-2</v>
      </c>
      <c r="I65" s="638"/>
    </row>
    <row r="66" spans="2:9" x14ac:dyDescent="0.25">
      <c r="B66" s="637">
        <v>42398</v>
      </c>
      <c r="C66" s="636">
        <v>5</v>
      </c>
      <c r="D66" s="638">
        <v>189.52</v>
      </c>
      <c r="E66" s="638">
        <v>191.87</v>
      </c>
      <c r="F66" s="638">
        <f t="shared" si="16"/>
        <v>11.749999999999972</v>
      </c>
      <c r="G66" s="638">
        <f t="shared" si="17"/>
        <v>947.6</v>
      </c>
      <c r="H66" s="639">
        <f t="shared" si="18"/>
        <v>1.2399746728577429E-2</v>
      </c>
      <c r="I66" s="638"/>
    </row>
    <row r="67" spans="2:9" x14ac:dyDescent="0.25">
      <c r="B67" s="637">
        <v>42405</v>
      </c>
      <c r="C67" s="636">
        <v>20</v>
      </c>
      <c r="D67" s="638">
        <v>188.23099999999999</v>
      </c>
      <c r="E67" s="638">
        <v>187.8</v>
      </c>
      <c r="F67" s="638">
        <f t="shared" si="16"/>
        <v>-8.6199999999996635</v>
      </c>
      <c r="G67" s="638">
        <f t="shared" si="17"/>
        <v>3764.62</v>
      </c>
      <c r="H67" s="639">
        <f t="shared" si="18"/>
        <v>-2.2897397346876083E-3</v>
      </c>
      <c r="I67" s="638"/>
    </row>
    <row r="68" spans="2:9" x14ac:dyDescent="0.25">
      <c r="B68" s="637">
        <v>42408</v>
      </c>
      <c r="C68" s="636">
        <v>25</v>
      </c>
      <c r="D68" s="638">
        <v>187.29480000000001</v>
      </c>
      <c r="E68" s="638">
        <v>185.42</v>
      </c>
      <c r="F68" s="638">
        <f t="shared" si="16"/>
        <v>-46.870000000000545</v>
      </c>
      <c r="G68" s="638">
        <f t="shared" si="17"/>
        <v>4682.37</v>
      </c>
      <c r="H68" s="639">
        <f t="shared" si="18"/>
        <v>-1.0009888154930204E-2</v>
      </c>
      <c r="I68" s="638"/>
    </row>
    <row r="69" spans="2:9" x14ac:dyDescent="0.25">
      <c r="B69" s="637">
        <v>42416</v>
      </c>
      <c r="C69" s="636">
        <v>15</v>
      </c>
      <c r="D69" s="638">
        <v>185.994</v>
      </c>
      <c r="E69" s="638">
        <v>189.78</v>
      </c>
      <c r="F69" s="638">
        <f t="shared" si="16"/>
        <v>56.79000000000002</v>
      </c>
      <c r="G69" s="638">
        <f t="shared" si="17"/>
        <v>2789.91</v>
      </c>
      <c r="H69" s="639">
        <f t="shared" si="18"/>
        <v>2.0355495338559317E-2</v>
      </c>
      <c r="I69" s="638"/>
    </row>
    <row r="70" spans="2:9" x14ac:dyDescent="0.25">
      <c r="B70" s="637">
        <v>42424</v>
      </c>
      <c r="C70" s="636">
        <v>5</v>
      </c>
      <c r="D70" s="638">
        <v>169.39</v>
      </c>
      <c r="E70" s="638">
        <v>193.2</v>
      </c>
      <c r="F70" s="638">
        <f t="shared" si="16"/>
        <v>119.05000000000001</v>
      </c>
      <c r="G70" s="638">
        <f t="shared" si="17"/>
        <v>846.94999999999993</v>
      </c>
      <c r="H70" s="639">
        <f t="shared" si="18"/>
        <v>0.1405631973552158</v>
      </c>
      <c r="I70" s="638"/>
    </row>
    <row r="71" spans="2:9" x14ac:dyDescent="0.25">
      <c r="B71" s="637">
        <v>42431</v>
      </c>
      <c r="C71" s="636">
        <v>5</v>
      </c>
      <c r="D71" s="638">
        <v>169.39</v>
      </c>
      <c r="E71" s="638">
        <v>199</v>
      </c>
      <c r="F71" s="638">
        <f t="shared" si="16"/>
        <v>148.05000000000007</v>
      </c>
      <c r="G71" s="638">
        <f t="shared" si="17"/>
        <v>846.94999999999993</v>
      </c>
      <c r="H71" s="639">
        <f t="shared" si="18"/>
        <v>0.17480370742074511</v>
      </c>
      <c r="I71" s="638"/>
    </row>
    <row r="72" spans="2:9" x14ac:dyDescent="0.25">
      <c r="B72" s="637">
        <v>42440</v>
      </c>
      <c r="C72" s="636">
        <v>0</v>
      </c>
      <c r="D72" s="638"/>
      <c r="E72" s="638"/>
      <c r="F72" s="638">
        <v>160.83000000000001</v>
      </c>
      <c r="G72" s="638"/>
      <c r="H72" s="639"/>
      <c r="I72" s="638"/>
    </row>
    <row r="73" spans="2:9" x14ac:dyDescent="0.25">
      <c r="B73" s="637"/>
      <c r="C73" s="636"/>
      <c r="D73" s="638"/>
      <c r="E73" s="638"/>
      <c r="F73" s="638"/>
      <c r="G73" s="638"/>
      <c r="H73" s="639"/>
      <c r="I73" s="638"/>
    </row>
    <row r="74" spans="2:9" x14ac:dyDescent="0.25">
      <c r="B74" s="637"/>
      <c r="C74" s="636"/>
      <c r="D74" s="638"/>
      <c r="E74" s="638"/>
      <c r="F74" s="638"/>
      <c r="G74" s="638"/>
      <c r="H74" s="639"/>
      <c r="I74" s="638"/>
    </row>
    <row r="75" spans="2:9" x14ac:dyDescent="0.25">
      <c r="B75" s="637"/>
      <c r="C75" s="636"/>
      <c r="D75" s="638"/>
      <c r="E75" s="638"/>
      <c r="F75" s="638"/>
      <c r="G75" s="638"/>
      <c r="H75" s="639"/>
      <c r="I75" s="638"/>
    </row>
    <row r="76" spans="2:9" x14ac:dyDescent="0.25">
      <c r="B76" s="637"/>
      <c r="C76" s="636"/>
      <c r="D76" s="638"/>
      <c r="E76" s="638"/>
      <c r="F76" s="638"/>
      <c r="G76" s="638"/>
      <c r="H76" s="639"/>
      <c r="I76" s="638"/>
    </row>
    <row r="77" spans="2:9" x14ac:dyDescent="0.25">
      <c r="B77" s="637"/>
      <c r="C77" s="636"/>
      <c r="D77" s="638"/>
      <c r="E77" s="638"/>
      <c r="F77" s="638"/>
      <c r="G77" s="638"/>
      <c r="H77" s="639"/>
      <c r="I77" s="638"/>
    </row>
    <row r="78" spans="2:9" x14ac:dyDescent="0.25">
      <c r="B78" s="637"/>
      <c r="C78" s="636"/>
      <c r="D78" s="638"/>
      <c r="E78" s="638"/>
      <c r="F78" s="638"/>
      <c r="G78" s="638"/>
      <c r="H78" s="639"/>
      <c r="I78" s="638"/>
    </row>
  </sheetData>
  <mergeCells count="1">
    <mergeCell ref="P17:Q17"/>
  </mergeCells>
  <conditionalFormatting sqref="H40:H42 F40:F42 F25:F33 H25:H33">
    <cfRule type="expression" dxfId="732" priority="41">
      <formula>F25&gt;0</formula>
    </cfRule>
    <cfRule type="expression" dxfId="731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0" priority="29">
      <formula>F21&gt;0</formula>
    </cfRule>
    <cfRule type="expression" dxfId="729" priority="30">
      <formula>F21&lt;0</formula>
    </cfRule>
  </conditionalFormatting>
  <conditionalFormatting sqref="H21:H24">
    <cfRule type="expression" dxfId="728" priority="27">
      <formula>H21&gt;0</formula>
    </cfRule>
    <cfRule type="expression" dxfId="727" priority="28">
      <formula>H21&lt;0</formula>
    </cfRule>
  </conditionalFormatting>
  <conditionalFormatting sqref="Q8">
    <cfRule type="expression" dxfId="726" priority="23">
      <formula>Q8&gt;0</formula>
    </cfRule>
    <cfRule type="expression" dxfId="725" priority="24">
      <formula>Q8&lt;0</formula>
    </cfRule>
  </conditionalFormatting>
  <conditionalFormatting sqref="Q7">
    <cfRule type="expression" dxfId="724" priority="25">
      <formula>Q7&gt;0</formula>
    </cfRule>
    <cfRule type="expression" dxfId="723" priority="26">
      <formula>Q7&lt;0</formula>
    </cfRule>
  </conditionalFormatting>
  <conditionalFormatting sqref="F68:F70">
    <cfRule type="expression" dxfId="722" priority="21">
      <formula>F68&gt;0</formula>
    </cfRule>
    <cfRule type="expression" dxfId="721" priority="22">
      <formula>F68&lt;0</formula>
    </cfRule>
  </conditionalFormatting>
  <conditionalFormatting sqref="F71:F78">
    <cfRule type="expression" dxfId="720" priority="17">
      <formula>F71&gt;0</formula>
    </cfRule>
    <cfRule type="expression" dxfId="719" priority="18">
      <formula>F71&lt;0</formula>
    </cfRule>
  </conditionalFormatting>
  <conditionalFormatting sqref="F71:F78">
    <cfRule type="expression" dxfId="718" priority="19">
      <formula>F71&gt;0</formula>
    </cfRule>
    <cfRule type="expression" dxfId="717" priority="20">
      <formula>F71&lt;0</formula>
    </cfRule>
  </conditionalFormatting>
  <conditionalFormatting sqref="H68:H78">
    <cfRule type="expression" dxfId="716" priority="15">
      <formula>H68&gt;0</formula>
    </cfRule>
    <cfRule type="expression" dxfId="715" priority="16">
      <formula>H68&lt;0</formula>
    </cfRule>
  </conditionalFormatting>
  <conditionalFormatting sqref="F64:F67">
    <cfRule type="expression" dxfId="714" priority="13">
      <formula>F64&gt;0</formula>
    </cfRule>
    <cfRule type="expression" dxfId="713" priority="14">
      <formula>F64&lt;0</formula>
    </cfRule>
  </conditionalFormatting>
  <conditionalFormatting sqref="H64:H67">
    <cfRule type="expression" dxfId="712" priority="11">
      <formula>H64&gt;0</formula>
    </cfRule>
    <cfRule type="expression" dxfId="711" priority="12">
      <formula>H64&lt;0</formula>
    </cfRule>
  </conditionalFormatting>
  <conditionalFormatting sqref="Q10">
    <cfRule type="expression" dxfId="710" priority="9">
      <formula>Q10&gt;0</formula>
    </cfRule>
    <cfRule type="expression" dxfId="709" priority="10">
      <formula>Q10&lt;0</formula>
    </cfRule>
  </conditionalFormatting>
  <conditionalFormatting sqref="J27:J40">
    <cfRule type="expression" dxfId="708" priority="7">
      <formula>J27&gt;0</formula>
    </cfRule>
    <cfRule type="expression" dxfId="707" priority="8">
      <formula>J27&lt;0</formula>
    </cfRule>
  </conditionalFormatting>
  <conditionalFormatting sqref="H39 F39">
    <cfRule type="expression" dxfId="706" priority="5">
      <formula>F39&gt;0</formula>
    </cfRule>
    <cfRule type="expression" dxfId="705" priority="6">
      <formula>F39&lt;0</formula>
    </cfRule>
  </conditionalFormatting>
  <conditionalFormatting sqref="H36:H38 F36:F38">
    <cfRule type="expression" dxfId="704" priority="3">
      <formula>F36&gt;0</formula>
    </cfRule>
    <cfRule type="expression" dxfId="703" priority="4">
      <formula>F36&lt;0</formula>
    </cfRule>
  </conditionalFormatting>
  <conditionalFormatting sqref="H34:H35 F34:F35">
    <cfRule type="expression" dxfId="702" priority="1">
      <formula>F34&gt;0</formula>
    </cfRule>
    <cfRule type="expression" dxfId="701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99.71</v>
      </c>
      <c r="R4" s="477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246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627</v>
      </c>
      <c r="W48" s="92">
        <v>42766</v>
      </c>
      <c r="X48" s="10" t="s">
        <v>313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193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83.97</v>
      </c>
      <c r="R4" s="477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630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52.622750000000003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54.22</v>
      </c>
      <c r="R4" s="477">
        <v>-1.49E-2</v>
      </c>
      <c r="T4" s="821">
        <v>43203</v>
      </c>
      <c r="U4" t="s">
        <v>1013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10844</v>
      </c>
      <c r="U5" t="s">
        <v>1015</v>
      </c>
      <c r="W5" s="2"/>
      <c r="X5" s="134"/>
      <c r="AD5" s="227"/>
      <c r="AG5" s="227"/>
    </row>
    <row r="6" spans="1:33" x14ac:dyDescent="0.25">
      <c r="B6" s="476">
        <v>43237</v>
      </c>
      <c r="C6" s="4">
        <v>80</v>
      </c>
      <c r="D6" s="3">
        <v>54.05</v>
      </c>
      <c r="E6" s="3">
        <v>0</v>
      </c>
      <c r="F6" s="3">
        <f>C6*D6+E6</f>
        <v>4324</v>
      </c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10524.550000000001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1924.0300000000007</v>
      </c>
      <c r="R7">
        <v>120</v>
      </c>
      <c r="T7" s="83">
        <v>43237</v>
      </c>
      <c r="U7" t="s">
        <v>1103</v>
      </c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319.44999999999891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P9"/>
      <c r="Q9" s="134">
        <f>IF(Q2=0, 0, Q8/Q6)</f>
        <v>3.0352841689193256E-2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2.8771670970121729E-2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958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O13" s="11" t="s">
        <v>986</v>
      </c>
      <c r="Q13" s="2">
        <f>Q4/4.52</f>
        <v>11.995575221238939</v>
      </c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0" t="s">
        <v>78</v>
      </c>
      <c r="Q16" s="820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59.642000000000003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17268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59.099800000000002</v>
      </c>
      <c r="W18" s="2"/>
      <c r="X18" s="134"/>
    </row>
    <row r="19" spans="1:33" ht="15.75" thickBot="1" x14ac:dyDescent="0.3">
      <c r="A19" s="343" t="s">
        <v>193</v>
      </c>
      <c r="B19" s="344"/>
      <c r="C19" s="345">
        <f>SumByColor($A$19,C2:C17)</f>
        <v>120</v>
      </c>
      <c r="D19" s="345"/>
      <c r="E19" s="345"/>
      <c r="F19" s="346">
        <f>SumByColor($A$19,F2:F17)</f>
        <v>6392</v>
      </c>
      <c r="G19" s="345"/>
      <c r="H19" s="345">
        <f>SumByColor($A$19,H2:H17)</f>
        <v>120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58.557600000000001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58.0154</v>
      </c>
      <c r="W20" s="2"/>
      <c r="X20" s="134"/>
    </row>
    <row r="21" spans="1:33" x14ac:dyDescent="0.25">
      <c r="P21" s="81">
        <v>1.06</v>
      </c>
      <c r="Q21" s="81">
        <f t="shared" si="0"/>
        <v>57.473199999999999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56.931000000000004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503</v>
      </c>
      <c r="L23" s="222" t="s">
        <v>986</v>
      </c>
      <c r="M23" s="10"/>
      <c r="P23" s="81">
        <v>1.04</v>
      </c>
      <c r="Q23" s="81">
        <f t="shared" si="0"/>
        <v>56.388800000000003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55.846600000000002</v>
      </c>
      <c r="W24" s="2"/>
      <c r="X24" s="134"/>
    </row>
    <row r="25" spans="1:33" x14ac:dyDescent="0.25">
      <c r="A25" s="10"/>
      <c r="B25" s="186">
        <v>43021</v>
      </c>
      <c r="C25" s="10">
        <v>120</v>
      </c>
      <c r="D25" s="3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55.304400000000001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54.7622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54.22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779</v>
      </c>
      <c r="J28" s="39">
        <v>2047</v>
      </c>
      <c r="K28" s="39"/>
      <c r="L28" s="10"/>
      <c r="M28" s="10"/>
      <c r="P28" s="81">
        <v>0.99</v>
      </c>
      <c r="Q28" s="81">
        <f t="shared" si="0"/>
        <v>53.677799999999998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865</v>
      </c>
      <c r="J29" s="39">
        <v>2514</v>
      </c>
      <c r="K29" s="39"/>
      <c r="L29" s="10"/>
      <c r="M29" s="10"/>
      <c r="P29" s="81">
        <v>0.98</v>
      </c>
      <c r="Q29" s="81">
        <f t="shared" si="0"/>
        <v>53.135599999999997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52.593399999999995</v>
      </c>
      <c r="W30" s="2"/>
      <c r="X30" s="134"/>
    </row>
    <row r="31" spans="1:33" x14ac:dyDescent="0.25">
      <c r="A31" s="10">
        <v>80</v>
      </c>
      <c r="B31" s="186">
        <v>43136</v>
      </c>
      <c r="C31" s="10">
        <v>120</v>
      </c>
      <c r="D31" s="3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52.051199999999994</v>
      </c>
      <c r="W31" s="2"/>
      <c r="X31" s="134"/>
    </row>
    <row r="32" spans="1:33" x14ac:dyDescent="0.25">
      <c r="A32" s="10">
        <v>120</v>
      </c>
      <c r="B32" s="186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195" t="s">
        <v>975</v>
      </c>
      <c r="J32" s="39">
        <v>1927</v>
      </c>
      <c r="K32" s="39"/>
      <c r="L32" s="10"/>
      <c r="M32" s="10"/>
      <c r="P32" s="81">
        <v>0.95</v>
      </c>
      <c r="Q32" s="81">
        <f t="shared" si="0"/>
        <v>51.508999999999993</v>
      </c>
      <c r="W32" s="2"/>
      <c r="X32" s="134"/>
    </row>
    <row r="33" spans="1:24" x14ac:dyDescent="0.25">
      <c r="A33" s="10">
        <v>120</v>
      </c>
      <c r="B33" s="186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50.966799999999999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50.424599999999998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49.882400000000004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49.340200000000003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48.798000000000002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10">
        <v>120</v>
      </c>
      <c r="D39" s="3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843" t="s">
        <v>1101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6">
        <v>43237</v>
      </c>
      <c r="C40" s="7">
        <v>200</v>
      </c>
      <c r="D40" s="43">
        <v>52.622799999999998</v>
      </c>
      <c r="E40" s="39">
        <v>54.22</v>
      </c>
      <c r="F40" s="39">
        <f t="shared" ref="F40" si="49">C40*(E40-D40)</f>
        <v>319.44000000000017</v>
      </c>
      <c r="G40" s="39">
        <f t="shared" ref="G40" si="50">D40*C40</f>
        <v>10524.56</v>
      </c>
      <c r="H40" s="224">
        <f t="shared" ref="H40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52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52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3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52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3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52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3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52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3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52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3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52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3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52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3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52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4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4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4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4"/>
        <v>4070.4</v>
      </c>
      <c r="G74" s="436">
        <v>43006</v>
      </c>
      <c r="H74" s="72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4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4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193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0">
    <cfRule type="expression" dxfId="642" priority="41">
      <formula>F24&gt;0</formula>
    </cfRule>
    <cfRule type="expression" dxfId="641" priority="42">
      <formula>F24&lt;0</formula>
    </cfRule>
  </conditionalFormatting>
  <conditionalFormatting sqref="F24:F40">
    <cfRule type="expression" dxfId="640" priority="43">
      <formula>F24&gt;0</formula>
    </cfRule>
    <cfRule type="expression" dxfId="639" priority="44">
      <formula>F24&lt;0</formula>
    </cfRule>
  </conditionalFormatting>
  <conditionalFormatting sqref="H24:H40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50.71</v>
      </c>
      <c r="R4" s="477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231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41.1</v>
      </c>
      <c r="T3" s="1" t="s">
        <v>239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41.1</v>
      </c>
      <c r="R4" s="495">
        <v>1.3599999999999999E-2</v>
      </c>
      <c r="T4" s="158">
        <v>42633</v>
      </c>
      <c r="U4" s="1" t="s">
        <v>271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459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458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460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1008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509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8" t="s">
        <v>78</v>
      </c>
      <c r="P28" s="668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5"/>
      <c r="B42" s="564"/>
      <c r="C42" s="565"/>
      <c r="D42" s="566"/>
      <c r="E42" s="566"/>
      <c r="F42" s="566"/>
      <c r="G42" s="565"/>
      <c r="H42" s="565"/>
      <c r="I42" s="566"/>
      <c r="J42" s="566"/>
      <c r="K42" s="566"/>
      <c r="L42" s="565" t="s">
        <v>65</v>
      </c>
      <c r="M42" s="566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7" t="s">
        <v>1</v>
      </c>
      <c r="B43" s="706" t="s">
        <v>2</v>
      </c>
      <c r="C43" s="687" t="s">
        <v>4</v>
      </c>
      <c r="D43" s="688" t="s">
        <v>5</v>
      </c>
      <c r="E43" s="688" t="s">
        <v>94</v>
      </c>
      <c r="F43" s="688" t="s">
        <v>60</v>
      </c>
      <c r="G43" s="687" t="s">
        <v>3</v>
      </c>
      <c r="H43" s="687" t="s">
        <v>6</v>
      </c>
      <c r="I43" s="688" t="s">
        <v>7</v>
      </c>
      <c r="J43" s="688" t="s">
        <v>95</v>
      </c>
      <c r="K43" s="688" t="s">
        <v>61</v>
      </c>
      <c r="L43" s="687" t="s">
        <v>37</v>
      </c>
      <c r="M43" s="687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9" t="s">
        <v>223</v>
      </c>
      <c r="B44" s="564">
        <v>42545</v>
      </c>
      <c r="C44" s="565">
        <v>100</v>
      </c>
      <c r="D44" s="566">
        <v>25.25</v>
      </c>
      <c r="E44" s="566">
        <v>0</v>
      </c>
      <c r="F44" s="566">
        <f t="shared" ref="F44:F55" si="1">D44*C44+E44</f>
        <v>2525</v>
      </c>
      <c r="G44" s="564">
        <v>42577</v>
      </c>
      <c r="H44" s="567">
        <v>30</v>
      </c>
      <c r="I44" s="566">
        <v>25.81</v>
      </c>
      <c r="J44" s="566">
        <v>0.02</v>
      </c>
      <c r="K44" s="566">
        <f t="shared" ref="K44:K50" si="2">H44*I44-J44</f>
        <v>774.28</v>
      </c>
      <c r="L44" s="568">
        <v>42613</v>
      </c>
      <c r="M44" s="566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90" t="s">
        <v>71</v>
      </c>
      <c r="B45" s="564">
        <v>42580</v>
      </c>
      <c r="C45" s="565">
        <v>30</v>
      </c>
      <c r="D45" s="566">
        <v>23.78</v>
      </c>
      <c r="E45" s="566">
        <v>0</v>
      </c>
      <c r="F45" s="566">
        <f t="shared" si="1"/>
        <v>713.40000000000009</v>
      </c>
      <c r="G45" s="564">
        <v>42597</v>
      </c>
      <c r="H45" s="567">
        <v>70</v>
      </c>
      <c r="I45" s="566">
        <v>22.94</v>
      </c>
      <c r="J45" s="566">
        <v>0.38</v>
      </c>
      <c r="K45" s="566">
        <f t="shared" si="2"/>
        <v>1605.42</v>
      </c>
      <c r="L45" s="568">
        <v>42704</v>
      </c>
      <c r="M45" s="566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5"/>
      <c r="B46" s="564">
        <v>42586</v>
      </c>
      <c r="C46" s="565">
        <v>40</v>
      </c>
      <c r="D46" s="566">
        <v>22.65</v>
      </c>
      <c r="E46" s="566">
        <v>0</v>
      </c>
      <c r="F46" s="566">
        <f t="shared" si="1"/>
        <v>906</v>
      </c>
      <c r="G46" s="564">
        <v>42599</v>
      </c>
      <c r="H46" s="567">
        <v>30</v>
      </c>
      <c r="I46" s="566">
        <v>23.48</v>
      </c>
      <c r="J46" s="566">
        <v>0.02</v>
      </c>
      <c r="K46" s="566">
        <f t="shared" si="2"/>
        <v>704.38</v>
      </c>
      <c r="L46" s="565"/>
      <c r="M46" s="565"/>
      <c r="O46" s="81">
        <v>0.93</v>
      </c>
      <c r="P46" s="81">
        <f t="shared" si="0"/>
        <v>38.223000000000006</v>
      </c>
      <c r="W46" s="134"/>
    </row>
    <row r="47" spans="1:23" x14ac:dyDescent="0.25">
      <c r="A47" s="565"/>
      <c r="B47" s="564">
        <v>42586</v>
      </c>
      <c r="C47" s="565">
        <v>60</v>
      </c>
      <c r="D47" s="566">
        <v>22.65</v>
      </c>
      <c r="E47" s="566">
        <v>0</v>
      </c>
      <c r="F47" s="566">
        <f t="shared" si="1"/>
        <v>1359</v>
      </c>
      <c r="G47" s="564">
        <v>42621</v>
      </c>
      <c r="H47" s="567">
        <v>40</v>
      </c>
      <c r="I47" s="566">
        <v>26.28</v>
      </c>
      <c r="J47" s="566">
        <v>0.02</v>
      </c>
      <c r="K47" s="566">
        <f t="shared" si="2"/>
        <v>1051.18</v>
      </c>
      <c r="L47" s="565"/>
      <c r="M47" s="565"/>
      <c r="O47" s="81">
        <v>0.92</v>
      </c>
      <c r="P47" s="81">
        <f t="shared" si="0"/>
        <v>37.812000000000005</v>
      </c>
      <c r="W47" s="134"/>
    </row>
    <row r="48" spans="1:23" x14ac:dyDescent="0.25">
      <c r="A48" s="565"/>
      <c r="B48" s="564">
        <v>42586</v>
      </c>
      <c r="C48" s="565">
        <v>100</v>
      </c>
      <c r="D48" s="566">
        <v>20.92</v>
      </c>
      <c r="E48" s="566">
        <v>-0.5</v>
      </c>
      <c r="F48" s="566">
        <f t="shared" si="1"/>
        <v>2091.5</v>
      </c>
      <c r="G48" s="564">
        <v>42639</v>
      </c>
      <c r="H48" s="567">
        <v>100</v>
      </c>
      <c r="I48" s="566">
        <v>22.82</v>
      </c>
      <c r="J48" s="566">
        <v>0.05</v>
      </c>
      <c r="K48" s="566">
        <f t="shared" si="2"/>
        <v>2281.9499999999998</v>
      </c>
      <c r="L48" s="565"/>
      <c r="M48" s="565"/>
      <c r="O48" s="81">
        <v>0.91</v>
      </c>
      <c r="P48" s="81">
        <f t="shared" si="0"/>
        <v>37.401000000000003</v>
      </c>
      <c r="W48" s="134"/>
    </row>
    <row r="49" spans="1:23" x14ac:dyDescent="0.25">
      <c r="A49" s="565"/>
      <c r="B49" s="564">
        <v>42626</v>
      </c>
      <c r="C49" s="565">
        <v>40</v>
      </c>
      <c r="D49" s="566">
        <v>24.58</v>
      </c>
      <c r="E49" s="566">
        <v>0</v>
      </c>
      <c r="F49" s="566">
        <f t="shared" si="1"/>
        <v>983.19999999999993</v>
      </c>
      <c r="G49" s="564">
        <v>42643</v>
      </c>
      <c r="H49" s="567">
        <v>60</v>
      </c>
      <c r="I49" s="566">
        <v>24.72</v>
      </c>
      <c r="J49" s="566">
        <v>0.03</v>
      </c>
      <c r="K49" s="566">
        <f t="shared" si="2"/>
        <v>1483.1699999999998</v>
      </c>
      <c r="L49" s="565"/>
      <c r="M49" s="565"/>
      <c r="O49" s="81">
        <v>0.9</v>
      </c>
      <c r="P49" s="81">
        <f t="shared" si="0"/>
        <v>36.99</v>
      </c>
      <c r="W49" s="134"/>
    </row>
    <row r="50" spans="1:23" x14ac:dyDescent="0.25">
      <c r="A50" s="565"/>
      <c r="B50" s="564">
        <v>42639</v>
      </c>
      <c r="C50" s="565">
        <v>100</v>
      </c>
      <c r="D50" s="566">
        <v>22.28</v>
      </c>
      <c r="E50" s="566">
        <v>0</v>
      </c>
      <c r="F50" s="566">
        <f t="shared" si="1"/>
        <v>2228</v>
      </c>
      <c r="G50" s="564">
        <v>42663</v>
      </c>
      <c r="H50" s="567">
        <v>40</v>
      </c>
      <c r="I50" s="566">
        <v>24.78</v>
      </c>
      <c r="J50" s="566">
        <v>0.02</v>
      </c>
      <c r="K50" s="566">
        <f t="shared" si="2"/>
        <v>991.18000000000006</v>
      </c>
      <c r="L50" s="565"/>
      <c r="M50" s="565"/>
      <c r="W50" s="134"/>
    </row>
    <row r="51" spans="1:23" x14ac:dyDescent="0.25">
      <c r="A51" s="565"/>
      <c r="B51" s="564">
        <v>42643</v>
      </c>
      <c r="C51" s="565">
        <v>60</v>
      </c>
      <c r="D51" s="566">
        <v>24.3</v>
      </c>
      <c r="E51" s="566">
        <v>0</v>
      </c>
      <c r="F51" s="566">
        <f t="shared" si="1"/>
        <v>1458</v>
      </c>
      <c r="G51" s="564">
        <v>42675</v>
      </c>
      <c r="H51" s="567">
        <v>100</v>
      </c>
      <c r="I51" s="566">
        <v>24.75</v>
      </c>
      <c r="J51" s="566">
        <v>0.05</v>
      </c>
      <c r="K51" s="566">
        <f>H51*I51-J51</f>
        <v>2474.9499999999998</v>
      </c>
      <c r="L51" s="565"/>
      <c r="M51" s="565"/>
      <c r="W51" s="134"/>
    </row>
    <row r="52" spans="1:23" x14ac:dyDescent="0.25">
      <c r="A52" s="565"/>
      <c r="B52" s="564">
        <v>42655</v>
      </c>
      <c r="C52" s="565">
        <v>100</v>
      </c>
      <c r="D52" s="566">
        <v>22.56</v>
      </c>
      <c r="E52" s="566">
        <v>0</v>
      </c>
      <c r="F52" s="566">
        <f t="shared" si="1"/>
        <v>2256</v>
      </c>
      <c r="G52" s="564">
        <v>42677</v>
      </c>
      <c r="H52" s="567">
        <v>60</v>
      </c>
      <c r="I52" s="566">
        <v>23.16</v>
      </c>
      <c r="J52" s="566">
        <v>0.03</v>
      </c>
      <c r="K52" s="566">
        <f>H52*I52-J52</f>
        <v>1389.57</v>
      </c>
      <c r="L52" s="565"/>
      <c r="M52" s="565"/>
      <c r="W52" s="134"/>
    </row>
    <row r="53" spans="1:23" x14ac:dyDescent="0.25">
      <c r="A53" s="565"/>
      <c r="B53" s="564">
        <v>42674</v>
      </c>
      <c r="C53" s="565">
        <v>40</v>
      </c>
      <c r="D53" s="566">
        <v>24.16</v>
      </c>
      <c r="E53" s="566">
        <v>-0.1</v>
      </c>
      <c r="F53" s="566">
        <f t="shared" si="1"/>
        <v>966.3</v>
      </c>
      <c r="G53" s="564">
        <v>42688</v>
      </c>
      <c r="H53" s="567">
        <v>100</v>
      </c>
      <c r="I53" s="566">
        <v>28</v>
      </c>
      <c r="J53" s="566">
        <v>0.06</v>
      </c>
      <c r="K53" s="566">
        <f>H53*I53-J53</f>
        <v>2799.94</v>
      </c>
      <c r="L53" s="565"/>
      <c r="M53" s="565"/>
      <c r="W53" s="134"/>
    </row>
    <row r="54" spans="1:23" x14ac:dyDescent="0.25">
      <c r="A54" s="565"/>
      <c r="B54" s="564">
        <v>42675</v>
      </c>
      <c r="C54" s="565">
        <v>100</v>
      </c>
      <c r="D54" s="566">
        <v>24.53</v>
      </c>
      <c r="E54" s="566">
        <v>0</v>
      </c>
      <c r="F54" s="566">
        <f>D54*C54+E54</f>
        <v>2453</v>
      </c>
      <c r="G54" s="564">
        <v>42705</v>
      </c>
      <c r="H54" s="567">
        <v>40</v>
      </c>
      <c r="I54" s="566">
        <v>29.58</v>
      </c>
      <c r="J54" s="566">
        <v>0.03</v>
      </c>
      <c r="K54" s="566">
        <f>H54*I54-J54</f>
        <v>1183.1699999999998</v>
      </c>
      <c r="L54" s="565"/>
      <c r="M54" s="565"/>
      <c r="Q54" s="2"/>
      <c r="W54" s="134"/>
    </row>
    <row r="55" spans="1:23" ht="20.25" thickBot="1" x14ac:dyDescent="0.35">
      <c r="A55" s="565"/>
      <c r="B55" s="564">
        <v>42677</v>
      </c>
      <c r="C55" s="565">
        <v>100</v>
      </c>
      <c r="D55" s="566">
        <v>22.38</v>
      </c>
      <c r="E55" s="566">
        <v>0</v>
      </c>
      <c r="F55" s="566">
        <f t="shared" si="1"/>
        <v>2238</v>
      </c>
      <c r="G55" s="564">
        <v>42711</v>
      </c>
      <c r="H55" s="567">
        <v>200</v>
      </c>
      <c r="I55" s="566">
        <v>29.9</v>
      </c>
      <c r="J55" s="566">
        <v>0.13</v>
      </c>
      <c r="K55" s="566">
        <f>H55*I55-J55</f>
        <v>5979.87</v>
      </c>
      <c r="L55" s="565"/>
      <c r="M55" s="565"/>
      <c r="Q55" s="2"/>
      <c r="T55" s="89" t="s">
        <v>112</v>
      </c>
      <c r="W55" s="134"/>
    </row>
    <row r="56" spans="1:23" ht="15.75" thickTop="1" x14ac:dyDescent="0.25">
      <c r="A56" s="565"/>
      <c r="B56" s="564"/>
      <c r="C56" s="565"/>
      <c r="D56" s="566"/>
      <c r="E56" s="566"/>
      <c r="F56" s="566"/>
      <c r="G56" s="564"/>
      <c r="H56" s="567"/>
      <c r="I56" s="566"/>
      <c r="J56" s="566"/>
      <c r="K56" s="566"/>
      <c r="L56" s="565"/>
      <c r="M56" s="565"/>
      <c r="Q56" s="2"/>
      <c r="T56" s="125" t="s">
        <v>97</v>
      </c>
      <c r="U56" s="126">
        <v>29.23</v>
      </c>
      <c r="W56" s="134"/>
    </row>
    <row r="57" spans="1:23" x14ac:dyDescent="0.25">
      <c r="A57" s="565"/>
      <c r="B57" s="564">
        <v>42716</v>
      </c>
      <c r="C57" s="565">
        <v>100</v>
      </c>
      <c r="D57" s="566">
        <v>29.49</v>
      </c>
      <c r="E57" s="566">
        <v>0</v>
      </c>
      <c r="F57" s="566">
        <f>D57*C57+E57</f>
        <v>2949</v>
      </c>
      <c r="G57" s="564">
        <v>42720</v>
      </c>
      <c r="H57" s="567">
        <v>100</v>
      </c>
      <c r="I57" s="566">
        <v>29.36</v>
      </c>
      <c r="J57" s="566">
        <v>0.06</v>
      </c>
      <c r="K57" s="566">
        <f>I57*H57-J57</f>
        <v>2935.94</v>
      </c>
      <c r="L57" s="568"/>
      <c r="M57" s="566"/>
      <c r="Q57" s="2"/>
      <c r="T57" s="91" t="s">
        <v>98</v>
      </c>
      <c r="U57" s="127">
        <v>29.39</v>
      </c>
      <c r="W57" s="134"/>
    </row>
    <row r="58" spans="1:23" x14ac:dyDescent="0.25">
      <c r="A58" s="565"/>
      <c r="B58" s="564">
        <v>42716</v>
      </c>
      <c r="C58" s="565">
        <v>100</v>
      </c>
      <c r="D58" s="566">
        <v>29.08</v>
      </c>
      <c r="E58" s="566">
        <v>0</v>
      </c>
      <c r="F58" s="566">
        <f>D58*C58+E58</f>
        <v>2908</v>
      </c>
      <c r="G58" s="564">
        <v>42724</v>
      </c>
      <c r="H58" s="567">
        <v>100</v>
      </c>
      <c r="I58" s="566">
        <v>28.98</v>
      </c>
      <c r="J58" s="566">
        <v>0.06</v>
      </c>
      <c r="K58" s="566">
        <f>I58*H58-J58</f>
        <v>2897.94</v>
      </c>
      <c r="L58" s="568"/>
      <c r="M58" s="566"/>
      <c r="Q58" s="2"/>
      <c r="T58" s="91" t="s">
        <v>99</v>
      </c>
      <c r="U58" s="127" t="s">
        <v>128</v>
      </c>
      <c r="W58" s="134"/>
    </row>
    <row r="59" spans="1:23" x14ac:dyDescent="0.25">
      <c r="A59" s="565"/>
      <c r="B59" s="564">
        <v>42723</v>
      </c>
      <c r="C59" s="565">
        <v>100</v>
      </c>
      <c r="D59" s="566">
        <v>28.28</v>
      </c>
      <c r="E59" s="566">
        <v>0</v>
      </c>
      <c r="F59" s="566">
        <f>D59*C59+E59</f>
        <v>2828</v>
      </c>
      <c r="G59" s="564">
        <v>42755</v>
      </c>
      <c r="H59" s="567">
        <v>100</v>
      </c>
      <c r="I59" s="566">
        <v>34.28</v>
      </c>
      <c r="J59" s="566">
        <v>7.0000000000000007E-2</v>
      </c>
      <c r="K59" s="566">
        <f>I59*H59-J59</f>
        <v>3427.93</v>
      </c>
      <c r="L59" s="565"/>
      <c r="M59" s="565"/>
      <c r="Q59" s="2"/>
      <c r="T59" s="91" t="s">
        <v>100</v>
      </c>
      <c r="U59" s="127" t="s">
        <v>128</v>
      </c>
      <c r="W59" s="134"/>
    </row>
    <row r="60" spans="1:23" x14ac:dyDescent="0.25">
      <c r="A60" s="565"/>
      <c r="B60" s="564"/>
      <c r="C60" s="565"/>
      <c r="D60" s="566"/>
      <c r="E60" s="566"/>
      <c r="F60" s="566"/>
      <c r="G60" s="564"/>
      <c r="H60" s="567"/>
      <c r="I60" s="566"/>
      <c r="J60" s="566"/>
      <c r="K60" s="566"/>
      <c r="L60" s="565"/>
      <c r="M60" s="565"/>
      <c r="Q60" s="2"/>
      <c r="T60" s="91" t="s">
        <v>101</v>
      </c>
      <c r="U60" s="127">
        <v>33.35</v>
      </c>
      <c r="W60" s="134"/>
    </row>
    <row r="61" spans="1:23" x14ac:dyDescent="0.25">
      <c r="A61" s="565"/>
      <c r="B61" s="564"/>
      <c r="C61" s="565"/>
      <c r="D61" s="566"/>
      <c r="E61" s="566"/>
      <c r="F61" s="566"/>
      <c r="G61" s="564"/>
      <c r="H61" s="567"/>
      <c r="I61" s="566"/>
      <c r="J61" s="566"/>
      <c r="K61" s="566"/>
      <c r="L61" s="565"/>
      <c r="M61" s="565"/>
      <c r="Q61" s="2"/>
      <c r="T61" s="91" t="s">
        <v>102</v>
      </c>
      <c r="U61" s="127">
        <v>0.84249399999999997</v>
      </c>
      <c r="W61" s="134"/>
    </row>
    <row r="62" spans="1:23" x14ac:dyDescent="0.25">
      <c r="A62" s="565"/>
      <c r="B62" s="564">
        <v>42755</v>
      </c>
      <c r="C62" s="565">
        <v>100</v>
      </c>
      <c r="D62" s="566">
        <v>33.58</v>
      </c>
      <c r="E62" s="566">
        <v>0</v>
      </c>
      <c r="F62" s="566">
        <f t="shared" ref="F62:F72" si="3">D62*C62+E62</f>
        <v>3358</v>
      </c>
      <c r="G62" s="564">
        <v>42811</v>
      </c>
      <c r="H62" s="567">
        <v>100</v>
      </c>
      <c r="I62" s="566">
        <v>29.38</v>
      </c>
      <c r="J62" s="566">
        <v>0.06</v>
      </c>
      <c r="K62" s="566">
        <f t="shared" ref="K62:K72" si="4">H62*I62-J62</f>
        <v>2937.94</v>
      </c>
      <c r="L62" s="568">
        <v>42794</v>
      </c>
      <c r="M62" s="566">
        <v>30</v>
      </c>
      <c r="Q62" s="2"/>
      <c r="T62" s="91" t="s">
        <v>121</v>
      </c>
      <c r="U62" s="127" t="s">
        <v>426</v>
      </c>
      <c r="W62" s="134"/>
    </row>
    <row r="63" spans="1:23" x14ac:dyDescent="0.25">
      <c r="A63" s="565"/>
      <c r="B63" s="564">
        <v>42781</v>
      </c>
      <c r="C63" s="565">
        <v>50</v>
      </c>
      <c r="D63" s="566">
        <v>34.65</v>
      </c>
      <c r="E63" s="566">
        <v>0</v>
      </c>
      <c r="F63" s="566">
        <f t="shared" si="3"/>
        <v>1732.5</v>
      </c>
      <c r="G63" s="564">
        <v>42829</v>
      </c>
      <c r="H63" s="567">
        <v>100</v>
      </c>
      <c r="I63" s="566">
        <v>29.02</v>
      </c>
      <c r="J63" s="566">
        <v>0.06</v>
      </c>
      <c r="K63" s="566">
        <f t="shared" si="4"/>
        <v>2901.94</v>
      </c>
      <c r="L63" s="568">
        <v>42887</v>
      </c>
      <c r="M63" s="566">
        <v>75</v>
      </c>
      <c r="Q63" s="2"/>
      <c r="T63" s="91"/>
      <c r="U63" s="127"/>
      <c r="W63" s="134"/>
    </row>
    <row r="64" spans="1:23" x14ac:dyDescent="0.25">
      <c r="A64" s="565"/>
      <c r="B64" s="564">
        <v>42788</v>
      </c>
      <c r="C64" s="565">
        <v>50</v>
      </c>
      <c r="D64" s="566">
        <v>33.24</v>
      </c>
      <c r="E64" s="566">
        <v>0</v>
      </c>
      <c r="F64" s="566">
        <f t="shared" si="3"/>
        <v>1662</v>
      </c>
      <c r="G64" s="564">
        <v>42851</v>
      </c>
      <c r="H64" s="567">
        <v>100</v>
      </c>
      <c r="I64" s="566">
        <v>27.4</v>
      </c>
      <c r="J64" s="566">
        <v>0.06</v>
      </c>
      <c r="K64" s="566">
        <f t="shared" si="4"/>
        <v>2739.94</v>
      </c>
      <c r="L64" s="568">
        <v>42979</v>
      </c>
      <c r="M64" s="566">
        <v>75</v>
      </c>
      <c r="Q64" s="2"/>
      <c r="T64" s="91" t="s">
        <v>104</v>
      </c>
      <c r="U64" s="127" t="s">
        <v>635</v>
      </c>
      <c r="W64" s="134"/>
    </row>
    <row r="65" spans="1:23" x14ac:dyDescent="0.25">
      <c r="A65" s="565"/>
      <c r="B65" s="564">
        <v>42789</v>
      </c>
      <c r="C65" s="565">
        <v>50</v>
      </c>
      <c r="D65" s="566">
        <v>31.68</v>
      </c>
      <c r="E65" s="566">
        <v>0</v>
      </c>
      <c r="F65" s="566">
        <f t="shared" si="3"/>
        <v>1584</v>
      </c>
      <c r="G65" s="564">
        <v>42860</v>
      </c>
      <c r="H65" s="567">
        <v>100</v>
      </c>
      <c r="I65" s="566">
        <v>27.58</v>
      </c>
      <c r="J65" s="566">
        <v>0.06</v>
      </c>
      <c r="K65" s="566">
        <f t="shared" si="4"/>
        <v>2757.94</v>
      </c>
      <c r="L65" s="565"/>
      <c r="M65" s="565"/>
      <c r="Q65" s="2"/>
      <c r="T65" s="91" t="s">
        <v>105</v>
      </c>
      <c r="U65" s="127" t="s">
        <v>477</v>
      </c>
      <c r="W65" s="134"/>
    </row>
    <row r="66" spans="1:23" x14ac:dyDescent="0.25">
      <c r="A66" s="565"/>
      <c r="B66" s="564">
        <v>42810</v>
      </c>
      <c r="C66" s="565">
        <v>100</v>
      </c>
      <c r="D66" s="566">
        <v>28.38</v>
      </c>
      <c r="E66" s="566">
        <v>0</v>
      </c>
      <c r="F66" s="566">
        <f t="shared" si="3"/>
        <v>2838</v>
      </c>
      <c r="G66" s="564">
        <v>42898</v>
      </c>
      <c r="H66" s="567">
        <v>100</v>
      </c>
      <c r="I66" s="566">
        <v>27.68</v>
      </c>
      <c r="J66" s="566">
        <v>0.06</v>
      </c>
      <c r="K66" s="566">
        <f t="shared" si="4"/>
        <v>2767.94</v>
      </c>
      <c r="L66" s="565"/>
      <c r="M66" s="565"/>
      <c r="Q66" s="2"/>
      <c r="T66" s="91" t="s">
        <v>106</v>
      </c>
      <c r="U66" s="128">
        <v>3892969</v>
      </c>
      <c r="W66" s="134"/>
    </row>
    <row r="67" spans="1:23" x14ac:dyDescent="0.25">
      <c r="A67" s="565"/>
      <c r="B67" s="564">
        <v>42828</v>
      </c>
      <c r="C67" s="565">
        <v>100</v>
      </c>
      <c r="D67" s="566">
        <v>28.36</v>
      </c>
      <c r="E67" s="566">
        <v>0</v>
      </c>
      <c r="F67" s="566">
        <f t="shared" si="3"/>
        <v>2836</v>
      </c>
      <c r="G67" s="564">
        <v>42936</v>
      </c>
      <c r="H67" s="567">
        <v>100</v>
      </c>
      <c r="I67" s="566">
        <v>31.14</v>
      </c>
      <c r="J67" s="566">
        <v>0.56999999999999995</v>
      </c>
      <c r="K67" s="566">
        <f t="shared" si="4"/>
        <v>3113.43</v>
      </c>
      <c r="L67" s="565"/>
      <c r="M67" s="565"/>
      <c r="T67" s="91" t="s">
        <v>109</v>
      </c>
      <c r="U67" s="128">
        <v>5373180</v>
      </c>
      <c r="W67" s="134"/>
    </row>
    <row r="68" spans="1:23" x14ac:dyDescent="0.25">
      <c r="A68" s="565"/>
      <c r="B68" s="564">
        <v>42846</v>
      </c>
      <c r="C68" s="565">
        <v>100</v>
      </c>
      <c r="D68" s="566">
        <v>26</v>
      </c>
      <c r="E68" s="566">
        <v>0</v>
      </c>
      <c r="F68" s="566">
        <f t="shared" si="3"/>
        <v>2600</v>
      </c>
      <c r="G68" s="564">
        <v>42950</v>
      </c>
      <c r="H68" s="567">
        <v>50</v>
      </c>
      <c r="I68" s="566">
        <v>30.38</v>
      </c>
      <c r="J68" s="566">
        <v>0.04</v>
      </c>
      <c r="K68" s="566">
        <f t="shared" si="4"/>
        <v>1518.96</v>
      </c>
      <c r="L68" s="565"/>
      <c r="M68" s="565"/>
      <c r="T68" s="91" t="s">
        <v>107</v>
      </c>
      <c r="U68" s="127" t="s">
        <v>636</v>
      </c>
      <c r="W68" s="134"/>
    </row>
    <row r="69" spans="1:23" x14ac:dyDescent="0.25">
      <c r="A69" s="565"/>
      <c r="B69" s="564">
        <v>42853</v>
      </c>
      <c r="C69" s="565">
        <v>100</v>
      </c>
      <c r="D69" s="566">
        <v>26.75</v>
      </c>
      <c r="E69" s="566">
        <v>-0.21</v>
      </c>
      <c r="F69" s="566">
        <f t="shared" si="3"/>
        <v>2674.79</v>
      </c>
      <c r="G69" s="564">
        <v>42951</v>
      </c>
      <c r="H69" s="567">
        <v>50</v>
      </c>
      <c r="I69" s="566">
        <v>31.38</v>
      </c>
      <c r="J69" s="566">
        <v>0.04</v>
      </c>
      <c r="K69" s="566">
        <f t="shared" si="4"/>
        <v>1568.96</v>
      </c>
      <c r="L69" s="565"/>
      <c r="M69" s="565"/>
      <c r="T69" s="91" t="s">
        <v>110</v>
      </c>
      <c r="U69" s="127" t="s">
        <v>128</v>
      </c>
      <c r="W69" s="134"/>
    </row>
    <row r="70" spans="1:23" x14ac:dyDescent="0.25">
      <c r="A70" s="565"/>
      <c r="B70" s="564">
        <v>42888</v>
      </c>
      <c r="C70" s="565">
        <v>100</v>
      </c>
      <c r="D70" s="566">
        <v>26.2</v>
      </c>
      <c r="E70" s="566">
        <v>0</v>
      </c>
      <c r="F70" s="566">
        <f t="shared" si="3"/>
        <v>2620</v>
      </c>
      <c r="G70" s="564">
        <v>42984</v>
      </c>
      <c r="H70" s="567">
        <v>100</v>
      </c>
      <c r="I70" s="566">
        <v>29.98</v>
      </c>
      <c r="J70" s="566">
        <v>7.0000000000000007E-2</v>
      </c>
      <c r="K70" s="566">
        <f t="shared" si="4"/>
        <v>2997.93</v>
      </c>
      <c r="L70" s="564"/>
      <c r="M70" s="565"/>
      <c r="T70" s="91" t="s">
        <v>111</v>
      </c>
      <c r="U70" s="127">
        <v>-1.19</v>
      </c>
    </row>
    <row r="71" spans="1:23" x14ac:dyDescent="0.25">
      <c r="A71" s="565"/>
      <c r="B71" s="564">
        <v>42940</v>
      </c>
      <c r="C71" s="565">
        <v>100</v>
      </c>
      <c r="D71" s="566">
        <v>30.29</v>
      </c>
      <c r="E71" s="566">
        <v>0</v>
      </c>
      <c r="F71" s="566">
        <f t="shared" si="3"/>
        <v>3029</v>
      </c>
      <c r="G71" s="564">
        <v>42984</v>
      </c>
      <c r="H71" s="567">
        <v>50</v>
      </c>
      <c r="I71" s="566">
        <v>30.78</v>
      </c>
      <c r="J71" s="566">
        <v>0.04</v>
      </c>
      <c r="K71" s="566">
        <f t="shared" si="4"/>
        <v>1538.96</v>
      </c>
      <c r="L71" s="565"/>
      <c r="M71" s="565"/>
      <c r="T71" s="91" t="s">
        <v>108</v>
      </c>
      <c r="U71" s="127" t="s">
        <v>552</v>
      </c>
    </row>
    <row r="72" spans="1:23" x14ac:dyDescent="0.25">
      <c r="A72" s="565"/>
      <c r="B72" s="564">
        <v>42942</v>
      </c>
      <c r="C72" s="565">
        <v>50</v>
      </c>
      <c r="D72" s="566">
        <v>28.79</v>
      </c>
      <c r="E72" s="566">
        <v>0</v>
      </c>
      <c r="F72" s="566">
        <f t="shared" si="3"/>
        <v>1439.5</v>
      </c>
      <c r="G72" s="564">
        <v>42984</v>
      </c>
      <c r="H72" s="567">
        <v>50</v>
      </c>
      <c r="I72" s="566">
        <v>31.28</v>
      </c>
      <c r="J72" s="566">
        <v>0.04</v>
      </c>
      <c r="K72" s="566">
        <f t="shared" si="4"/>
        <v>1563.96</v>
      </c>
      <c r="L72" s="565"/>
      <c r="M72" s="565"/>
    </row>
    <row r="73" spans="1:23" x14ac:dyDescent="0.25">
      <c r="A73" s="565"/>
      <c r="B73" s="564"/>
      <c r="C73" s="565"/>
      <c r="D73" s="566"/>
      <c r="E73" s="566"/>
      <c r="F73" s="566"/>
      <c r="G73" s="565"/>
      <c r="H73" s="565"/>
      <c r="I73" s="566"/>
      <c r="J73" s="566"/>
      <c r="K73" s="566"/>
      <c r="L73" s="565"/>
      <c r="M73" s="565"/>
    </row>
    <row r="74" spans="1:23" x14ac:dyDescent="0.25">
      <c r="A74" s="565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5"/>
      <c r="M74" s="565"/>
    </row>
    <row r="75" spans="1:23" x14ac:dyDescent="0.25">
      <c r="A75" s="565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5"/>
      <c r="M75" s="565"/>
    </row>
    <row r="76" spans="1:23" x14ac:dyDescent="0.25">
      <c r="A76" s="565"/>
      <c r="B76" s="564"/>
      <c r="C76" s="565"/>
      <c r="D76" s="566"/>
      <c r="E76" s="566"/>
      <c r="F76" s="566"/>
      <c r="G76" s="564"/>
      <c r="H76" s="567"/>
      <c r="I76" s="566"/>
      <c r="J76" s="566"/>
      <c r="K76" s="566"/>
      <c r="L76" s="565"/>
      <c r="M76" s="565"/>
    </row>
    <row r="77" spans="1:23" x14ac:dyDescent="0.25">
      <c r="A77" s="565"/>
      <c r="B77" s="564"/>
      <c r="C77" s="565"/>
      <c r="D77" s="566"/>
      <c r="E77" s="566"/>
      <c r="F77" s="566"/>
      <c r="G77" s="564"/>
      <c r="H77" s="567"/>
      <c r="I77" s="566"/>
      <c r="J77" s="566"/>
      <c r="K77" s="566"/>
      <c r="L77" s="565"/>
      <c r="M77" s="565"/>
      <c r="S77" t="s">
        <v>226</v>
      </c>
    </row>
    <row r="78" spans="1:23" x14ac:dyDescent="0.25">
      <c r="A78" s="565"/>
      <c r="B78" s="564"/>
      <c r="C78" s="565"/>
      <c r="D78" s="566"/>
      <c r="E78" s="566"/>
      <c r="F78" s="566"/>
      <c r="G78" s="564"/>
      <c r="H78" s="567"/>
      <c r="I78" s="566"/>
      <c r="J78" s="566"/>
      <c r="K78" s="566"/>
      <c r="L78" s="565"/>
      <c r="M78" s="565"/>
    </row>
    <row r="79" spans="1:23" x14ac:dyDescent="0.25">
      <c r="A79" s="565"/>
      <c r="B79" s="564"/>
      <c r="C79" s="565"/>
      <c r="D79" s="566"/>
      <c r="E79" s="566"/>
      <c r="F79" s="566"/>
      <c r="G79" s="564"/>
      <c r="H79" s="565"/>
      <c r="I79" s="566"/>
      <c r="J79" s="566"/>
      <c r="K79" s="566"/>
      <c r="L79" s="565"/>
      <c r="M79" s="565"/>
    </row>
    <row r="80" spans="1:23" x14ac:dyDescent="0.25">
      <c r="A80" s="691" t="s">
        <v>81</v>
      </c>
      <c r="B80" s="707"/>
      <c r="C80" s="692">
        <f>SUM(C44:C79)</f>
        <v>2220</v>
      </c>
      <c r="D80" s="693"/>
      <c r="E80" s="693"/>
      <c r="F80" s="693">
        <f>SUM(F44:F79)</f>
        <v>59686.19</v>
      </c>
      <c r="G80" s="692"/>
      <c r="H80" s="694">
        <f>SUM(H44:H79)</f>
        <v>2220</v>
      </c>
      <c r="I80" s="693"/>
      <c r="J80" s="693"/>
      <c r="K80" s="693">
        <f>SUM(K44:K79)</f>
        <v>63691.15</v>
      </c>
      <c r="L80" s="692"/>
      <c r="M80" s="693">
        <f>SUM(M44:M79)</f>
        <v>372</v>
      </c>
    </row>
    <row r="81" spans="1:13" ht="15.75" thickBot="1" x14ac:dyDescent="0.3">
      <c r="A81" s="695" t="s">
        <v>193</v>
      </c>
      <c r="B81" s="708"/>
      <c r="C81" s="696">
        <f>SumByColor($A$19,C44:C79)</f>
        <v>50</v>
      </c>
      <c r="D81" s="696"/>
      <c r="E81" s="696"/>
      <c r="F81" s="697">
        <f>SumByColor($A$19,F44:F79)</f>
        <v>1535</v>
      </c>
      <c r="G81" s="696"/>
      <c r="H81" s="696">
        <f>SumByColor($A$19,H44:H79)</f>
        <v>50</v>
      </c>
      <c r="I81" s="696"/>
      <c r="J81" s="696"/>
      <c r="K81" s="697">
        <f>SumByColor($A$19,K44:K79)</f>
        <v>1634</v>
      </c>
      <c r="L81" s="696"/>
      <c r="M81" s="697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509</v>
      </c>
    </row>
    <row r="89" spans="1:13" x14ac:dyDescent="0.25">
      <c r="B89" s="622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2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2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2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2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2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2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2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2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2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2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2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2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2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2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2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2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2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2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2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2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2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2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2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2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2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2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2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2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2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2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2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2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2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2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2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2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2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2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2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2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283</v>
      </c>
      <c r="J129" s="365"/>
    </row>
    <row r="130" spans="2:10" x14ac:dyDescent="0.25">
      <c r="B130" s="622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2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2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2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2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2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284</v>
      </c>
      <c r="J135" s="365"/>
    </row>
    <row r="136" spans="2:10" x14ac:dyDescent="0.25">
      <c r="B136" s="622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2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2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284</v>
      </c>
      <c r="J138" s="365"/>
    </row>
    <row r="139" spans="2:10" x14ac:dyDescent="0.25">
      <c r="B139" s="622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2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2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2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2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2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2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2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2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2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2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2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2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309</v>
      </c>
      <c r="J151" s="365"/>
    </row>
    <row r="152" spans="2:10" x14ac:dyDescent="0.25">
      <c r="B152" s="622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2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2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2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2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2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2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2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2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2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2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2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2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2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509</v>
      </c>
    </row>
    <row r="167" spans="1:10" x14ac:dyDescent="0.25">
      <c r="A167" t="s">
        <v>340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431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445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450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471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4">
        <v>350</v>
      </c>
      <c r="D175" s="62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4">
        <v>350</v>
      </c>
      <c r="D181" s="62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682</v>
      </c>
      <c r="J182" s="39">
        <v>2125</v>
      </c>
    </row>
    <row r="183" spans="1:10" x14ac:dyDescent="0.25">
      <c r="A183">
        <v>50</v>
      </c>
      <c r="B183" s="152">
        <v>42853</v>
      </c>
      <c r="C183" s="554">
        <v>350</v>
      </c>
      <c r="D183" s="62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683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687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716</v>
      </c>
      <c r="J193" s="39">
        <v>3384</v>
      </c>
    </row>
    <row r="194" spans="1:10" x14ac:dyDescent="0.25">
      <c r="A194">
        <v>200</v>
      </c>
      <c r="B194" s="152">
        <v>42983</v>
      </c>
      <c r="C194" s="554">
        <v>350</v>
      </c>
      <c r="D194" s="62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9">
        <v>43165</v>
      </c>
      <c r="C2" s="827">
        <v>50</v>
      </c>
      <c r="D2" s="828">
        <v>70.28</v>
      </c>
      <c r="E2" s="828">
        <v>0</v>
      </c>
      <c r="F2" s="828">
        <f>C2*D2+E2</f>
        <v>3514</v>
      </c>
      <c r="G2" s="829">
        <v>43217</v>
      </c>
      <c r="H2" s="827">
        <v>50</v>
      </c>
      <c r="I2" s="828">
        <v>72.88</v>
      </c>
      <c r="J2" s="828">
        <v>0.08</v>
      </c>
      <c r="K2" s="828">
        <f>H2*I2-J2</f>
        <v>3643.92</v>
      </c>
      <c r="L2" s="753"/>
      <c r="M2" s="752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75.83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75.83</v>
      </c>
      <c r="R4" s="495">
        <v>8.0999999999999996E-3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958</v>
      </c>
      <c r="Q12" s="1">
        <v>43243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986</v>
      </c>
      <c r="Q13">
        <f>Q4/5.25</f>
        <v>14.443809523809524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1" t="s">
        <v>113</v>
      </c>
      <c r="P15" s="681" t="s">
        <v>697</v>
      </c>
      <c r="Q15" s="681" t="s">
        <v>698</v>
      </c>
      <c r="R15" s="679" t="s">
        <v>691</v>
      </c>
      <c r="S15" s="679" t="s">
        <v>692</v>
      </c>
      <c r="T15" s="681" t="s">
        <v>694</v>
      </c>
      <c r="U15" s="681" t="s">
        <v>695</v>
      </c>
      <c r="V15" s="679" t="s">
        <v>693</v>
      </c>
      <c r="W15" s="680" t="s">
        <v>696</v>
      </c>
    </row>
    <row r="16" spans="1:23" x14ac:dyDescent="0.25">
      <c r="G16" s="29"/>
      <c r="H16" s="70"/>
      <c r="O16" s="682">
        <v>42963</v>
      </c>
      <c r="P16" s="678" t="s">
        <v>699</v>
      </c>
      <c r="Q16" s="678"/>
      <c r="R16" s="677">
        <v>1.18</v>
      </c>
      <c r="S16" s="677">
        <v>1.23</v>
      </c>
      <c r="T16" s="678">
        <v>16.28</v>
      </c>
      <c r="U16" s="678">
        <v>16.399999999999999</v>
      </c>
      <c r="V16" s="675" t="s">
        <v>701</v>
      </c>
      <c r="W16" s="676"/>
    </row>
    <row r="17" spans="1:23" x14ac:dyDescent="0.25">
      <c r="G17" s="29"/>
      <c r="O17" s="684"/>
      <c r="P17" s="678"/>
      <c r="Q17" s="678"/>
      <c r="R17" s="677"/>
      <c r="S17" s="675"/>
      <c r="T17" s="678"/>
      <c r="U17" s="678"/>
      <c r="V17" s="675"/>
      <c r="W17" s="676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3"/>
      <c r="P18" s="678"/>
      <c r="Q18" s="678"/>
      <c r="R18" s="675"/>
      <c r="S18" s="675"/>
      <c r="T18" s="678"/>
      <c r="U18" s="678"/>
      <c r="V18" s="675"/>
      <c r="W18" s="676"/>
    </row>
    <row r="19" spans="1:23" ht="15.75" thickBot="1" x14ac:dyDescent="0.3">
      <c r="A19" s="343" t="s">
        <v>193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3"/>
      <c r="P19" s="678"/>
      <c r="Q19" s="678"/>
      <c r="R19" s="675"/>
      <c r="S19" s="675"/>
      <c r="T19" s="678"/>
      <c r="U19" s="678"/>
      <c r="V19" s="675"/>
      <c r="W19" s="676"/>
    </row>
    <row r="20" spans="1:23" x14ac:dyDescent="0.25">
      <c r="O20" s="683"/>
      <c r="P20" s="678"/>
      <c r="Q20" s="678"/>
      <c r="R20" s="675"/>
      <c r="S20" s="675"/>
      <c r="T20" s="678"/>
      <c r="U20" s="678"/>
      <c r="V20" s="675"/>
      <c r="W20" s="676"/>
    </row>
    <row r="21" spans="1:23" x14ac:dyDescent="0.25">
      <c r="O21" s="683"/>
      <c r="P21" s="678"/>
      <c r="Q21" s="678"/>
      <c r="R21" s="675"/>
      <c r="S21" s="675"/>
      <c r="T21" s="678"/>
      <c r="U21" s="678"/>
      <c r="V21" s="675"/>
      <c r="W21" s="676"/>
    </row>
    <row r="22" spans="1:23" x14ac:dyDescent="0.25">
      <c r="O22" s="683"/>
      <c r="P22" s="678"/>
      <c r="Q22" s="678"/>
      <c r="R22" s="675"/>
      <c r="S22" s="675"/>
      <c r="T22" s="678"/>
      <c r="U22" s="678"/>
      <c r="V22" s="675"/>
      <c r="W22" s="676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3"/>
      <c r="P23" s="678"/>
      <c r="Q23" s="678"/>
      <c r="R23" s="675"/>
      <c r="S23" s="675"/>
      <c r="T23" s="678"/>
      <c r="U23" s="678"/>
      <c r="V23" s="675"/>
      <c r="W23" s="676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3"/>
      <c r="P24" s="678"/>
      <c r="Q24" s="678"/>
      <c r="R24" s="675"/>
      <c r="S24" s="675"/>
      <c r="T24" s="678"/>
      <c r="U24" s="678"/>
      <c r="V24" s="675"/>
      <c r="W24" s="676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3"/>
      <c r="P25" s="678"/>
      <c r="Q25" s="678"/>
      <c r="R25" s="675"/>
      <c r="S25" s="675"/>
      <c r="T25" s="678"/>
      <c r="U25" s="678"/>
      <c r="V25" s="675"/>
      <c r="W25" s="676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3"/>
      <c r="P26" s="678"/>
      <c r="Q26" s="678"/>
      <c r="R26" s="675"/>
      <c r="S26" s="675"/>
      <c r="T26" s="678"/>
      <c r="U26" s="678"/>
      <c r="V26" s="675"/>
      <c r="W26" s="676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485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639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70" t="s">
        <v>1</v>
      </c>
      <c r="B60" s="627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3" t="s">
        <v>342</v>
      </c>
      <c r="B61" s="622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2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68.247</v>
      </c>
    </row>
    <row r="62" spans="1:21" x14ac:dyDescent="0.25">
      <c r="A62" s="374" t="s">
        <v>71</v>
      </c>
      <c r="B62" s="622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2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2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2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2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2"/>
      <c r="H64" s="368"/>
      <c r="I64" s="365"/>
      <c r="J64" s="365"/>
      <c r="K64" s="365"/>
      <c r="L64" s="364"/>
      <c r="M64" s="364"/>
    </row>
    <row r="65" spans="1:13" x14ac:dyDescent="0.25">
      <c r="A65" s="364"/>
      <c r="B65" s="622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2"/>
      <c r="H65" s="368"/>
      <c r="I65" s="365"/>
      <c r="J65" s="365"/>
      <c r="K65" s="365"/>
      <c r="L65" s="364"/>
      <c r="M65" s="364"/>
    </row>
    <row r="66" spans="1:13" x14ac:dyDescent="0.25">
      <c r="A66" s="364"/>
      <c r="B66" s="622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2"/>
      <c r="H66" s="368"/>
      <c r="I66" s="365"/>
      <c r="J66" s="365"/>
      <c r="K66" s="365"/>
      <c r="L66" s="364"/>
      <c r="M66" s="364"/>
    </row>
    <row r="67" spans="1:13" x14ac:dyDescent="0.25">
      <c r="A67" s="364"/>
      <c r="B67" s="622"/>
      <c r="C67" s="364"/>
      <c r="D67" s="365"/>
      <c r="E67" s="365"/>
      <c r="F67" s="365"/>
      <c r="G67" s="622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2"/>
      <c r="C69" s="364"/>
      <c r="D69" s="365"/>
      <c r="E69" s="365"/>
      <c r="F69" s="365"/>
      <c r="G69" s="622"/>
      <c r="H69" s="368"/>
      <c r="I69" s="365"/>
      <c r="J69" s="365"/>
      <c r="K69" s="365"/>
      <c r="L69" s="622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2"/>
      <c r="C71" s="364"/>
      <c r="D71" s="365"/>
      <c r="E71" s="365"/>
      <c r="F71" s="365"/>
      <c r="G71" s="622"/>
      <c r="H71" s="368"/>
      <c r="I71" s="365"/>
      <c r="J71" s="365"/>
      <c r="K71" s="365"/>
      <c r="L71" s="364"/>
      <c r="M71" s="364"/>
    </row>
    <row r="72" spans="1:13" x14ac:dyDescent="0.25">
      <c r="A72" s="364"/>
      <c r="B72" s="622"/>
      <c r="C72" s="364"/>
      <c r="D72" s="365"/>
      <c r="E72" s="365"/>
      <c r="F72" s="365"/>
      <c r="G72" s="622"/>
      <c r="H72" s="368"/>
      <c r="I72" s="365"/>
      <c r="J72" s="365"/>
      <c r="K72" s="365"/>
      <c r="L72" s="364"/>
      <c r="M72" s="364"/>
    </row>
    <row r="73" spans="1:13" x14ac:dyDescent="0.25">
      <c r="A73" s="364"/>
      <c r="B73" s="622"/>
      <c r="C73" s="364"/>
      <c r="D73" s="365"/>
      <c r="E73" s="365"/>
      <c r="F73" s="365"/>
      <c r="G73" s="622"/>
      <c r="H73" s="368"/>
      <c r="I73" s="365"/>
      <c r="J73" s="365"/>
      <c r="K73" s="365"/>
      <c r="L73" s="364"/>
      <c r="M73" s="364"/>
    </row>
    <row r="74" spans="1:13" x14ac:dyDescent="0.25">
      <c r="A74" s="364"/>
      <c r="B74" s="622"/>
      <c r="C74" s="364"/>
      <c r="D74" s="365"/>
      <c r="E74" s="365"/>
      <c r="F74" s="365"/>
      <c r="G74" s="622"/>
      <c r="H74" s="368"/>
      <c r="I74" s="365"/>
      <c r="J74" s="365"/>
      <c r="K74" s="365"/>
      <c r="L74" s="364"/>
      <c r="M74" s="364"/>
    </row>
    <row r="75" spans="1:13" x14ac:dyDescent="0.25">
      <c r="A75" s="364"/>
      <c r="B75" s="622"/>
      <c r="C75" s="364"/>
      <c r="D75" s="365"/>
      <c r="E75" s="365"/>
      <c r="F75" s="365"/>
      <c r="G75" s="622"/>
      <c r="H75" s="368"/>
      <c r="I75" s="365"/>
      <c r="J75" s="365"/>
      <c r="K75" s="365"/>
      <c r="L75" s="364"/>
      <c r="M75" s="364"/>
    </row>
    <row r="76" spans="1:13" x14ac:dyDescent="0.25">
      <c r="A76" s="364"/>
      <c r="B76" s="622"/>
      <c r="C76" s="364"/>
      <c r="D76" s="365"/>
      <c r="E76" s="365"/>
      <c r="F76" s="365"/>
      <c r="G76" s="622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193</v>
      </c>
      <c r="B78" s="629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0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2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5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2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5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2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5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453</v>
      </c>
      <c r="B87" s="622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5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453</v>
      </c>
      <c r="B88" s="622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5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479</v>
      </c>
      <c r="B89" s="622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5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2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5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2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5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2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5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2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5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2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5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2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5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2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5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2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5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2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5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2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5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2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5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2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5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2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5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2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5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2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2"/>
      <c r="C107" s="364"/>
      <c r="D107" s="365"/>
      <c r="E107" s="365"/>
      <c r="F107" s="365"/>
      <c r="G107" s="364"/>
      <c r="H107" s="705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2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2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2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(F23-K23-M23)/Q2)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27.02</v>
      </c>
      <c r="R4" s="225">
        <v>1.9599999999999999E-2</v>
      </c>
      <c r="T4" s="1">
        <v>43096</v>
      </c>
      <c r="U4" t="s">
        <v>794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10267.6</v>
      </c>
      <c r="U5" t="s">
        <v>795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796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-2544.4999999999914</v>
      </c>
      <c r="R7">
        <v>180</v>
      </c>
      <c r="U7" t="s">
        <v>797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-2619.5199999999913</v>
      </c>
      <c r="U8" t="s">
        <v>798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-0.20326651726685191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845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3.4048852701702444E-2</v>
      </c>
      <c r="R11">
        <f>0.23</f>
        <v>0.23</v>
      </c>
      <c r="U11" t="s">
        <v>847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958</v>
      </c>
      <c r="Q12" s="1"/>
      <c r="T12" s="1">
        <v>43110</v>
      </c>
      <c r="U12" t="s">
        <v>876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986</v>
      </c>
      <c r="Q13">
        <f>Q4/2.67</f>
        <v>10.119850187265918</v>
      </c>
      <c r="T13" s="1">
        <v>43112</v>
      </c>
      <c r="U13" t="s">
        <v>872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873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912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29.722000000000001</v>
      </c>
      <c r="T19" s="1">
        <v>43125</v>
      </c>
      <c r="U19" t="s">
        <v>926</v>
      </c>
    </row>
    <row r="20" spans="1:21" x14ac:dyDescent="0.25">
      <c r="O20" s="81">
        <v>1.0900000000000001</v>
      </c>
      <c r="P20" s="81">
        <f t="shared" ref="P20:P39" si="4">O20*$Q$4</f>
        <v>29.451800000000002</v>
      </c>
      <c r="T20" s="1">
        <v>43126</v>
      </c>
      <c r="U20" t="s">
        <v>924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29.181600000000003</v>
      </c>
      <c r="U21" t="s">
        <v>925</v>
      </c>
    </row>
    <row r="22" spans="1:21" x14ac:dyDescent="0.25">
      <c r="O22" s="81">
        <v>1.07</v>
      </c>
      <c r="P22" s="81">
        <f t="shared" si="4"/>
        <v>28.9114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7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28.641200000000001</v>
      </c>
      <c r="T23" s="1">
        <v>43128</v>
      </c>
      <c r="U23" t="s">
        <v>927</v>
      </c>
    </row>
    <row r="24" spans="1:21" ht="15.75" thickBot="1" x14ac:dyDescent="0.3">
      <c r="A24" s="343" t="s">
        <v>193</v>
      </c>
      <c r="B24" s="344"/>
      <c r="C24" s="345">
        <f>SumByColor($A$24,C2:C22)</f>
        <v>960</v>
      </c>
      <c r="D24" s="345"/>
      <c r="E24" s="345"/>
      <c r="F24" s="346">
        <f>SumByColor($A$24,F2:F23)</f>
        <v>26730</v>
      </c>
      <c r="G24" s="345"/>
      <c r="H24" s="345">
        <f>SumByColor($A$24,H2:H22)</f>
        <v>1000</v>
      </c>
      <c r="I24" s="345"/>
      <c r="J24" s="345"/>
      <c r="K24" s="346">
        <f>SumByColor($A$24,K2:K22)</f>
        <v>28335</v>
      </c>
      <c r="L24" s="345"/>
      <c r="M24" s="346">
        <f>SumByColor($A$24,M2:M22)</f>
        <v>179</v>
      </c>
      <c r="O24" s="81">
        <v>1.05</v>
      </c>
      <c r="P24" s="81">
        <f t="shared" si="4"/>
        <v>28.371000000000002</v>
      </c>
    </row>
    <row r="25" spans="1:21" x14ac:dyDescent="0.25">
      <c r="O25" s="81">
        <v>1.04</v>
      </c>
      <c r="P25" s="81">
        <f t="shared" si="4"/>
        <v>28.1008</v>
      </c>
    </row>
    <row r="26" spans="1:21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188" t="s">
        <v>88</v>
      </c>
      <c r="I26" s="188" t="s">
        <v>154</v>
      </c>
      <c r="J26" s="188" t="s">
        <v>503</v>
      </c>
      <c r="K26" s="188" t="s">
        <v>150</v>
      </c>
      <c r="O26" s="81">
        <v>1.03</v>
      </c>
      <c r="P26" s="81">
        <f t="shared" si="4"/>
        <v>27.8306</v>
      </c>
    </row>
    <row r="27" spans="1:21" x14ac:dyDescent="0.25">
      <c r="B27" s="186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4">
        <f t="shared" ref="H27:H41" si="7">(E27-D27)/D27</f>
        <v>-4.891062694530878E-3</v>
      </c>
      <c r="I27" s="224"/>
      <c r="J27" s="224"/>
      <c r="K27" s="224"/>
      <c r="O27" s="81">
        <v>1.02</v>
      </c>
      <c r="P27" s="81">
        <f t="shared" si="4"/>
        <v>27.560400000000001</v>
      </c>
    </row>
    <row r="28" spans="1:21" x14ac:dyDescent="0.25">
      <c r="B28" s="186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4">
        <f t="shared" si="7"/>
        <v>-1.3617557607474486E-2</v>
      </c>
      <c r="I28" s="224"/>
      <c r="J28" s="224"/>
      <c r="K28" s="224"/>
      <c r="O28" s="81">
        <v>1.01</v>
      </c>
      <c r="P28" s="81">
        <f t="shared" si="4"/>
        <v>27.290199999999999</v>
      </c>
      <c r="T28" s="774">
        <v>43136</v>
      </c>
      <c r="U28" t="s">
        <v>874</v>
      </c>
    </row>
    <row r="29" spans="1:21" x14ac:dyDescent="0.25">
      <c r="B29" s="186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4">
        <f t="shared" si="7"/>
        <v>-5.2890191887917763E-2</v>
      </c>
      <c r="I29" s="224"/>
      <c r="J29" s="224"/>
      <c r="K29" s="224"/>
      <c r="O29" s="81">
        <v>1</v>
      </c>
      <c r="P29" s="81">
        <f t="shared" si="4"/>
        <v>27.02</v>
      </c>
    </row>
    <row r="30" spans="1:21" x14ac:dyDescent="0.25">
      <c r="B30" s="186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4">
        <f t="shared" si="7"/>
        <v>-5.0005883045064127E-2</v>
      </c>
      <c r="I30" s="224"/>
      <c r="J30" s="224"/>
      <c r="K30" s="224"/>
      <c r="O30" s="81">
        <v>0.99</v>
      </c>
      <c r="P30" s="81">
        <f t="shared" si="4"/>
        <v>26.7498</v>
      </c>
      <c r="T30" s="1">
        <v>43175</v>
      </c>
      <c r="U30" t="s">
        <v>970</v>
      </c>
    </row>
    <row r="31" spans="1:21" x14ac:dyDescent="0.25">
      <c r="B31" s="186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5">
        <f t="shared" si="7"/>
        <v>-0.21726942263126708</v>
      </c>
      <c r="I31" s="225"/>
      <c r="J31" s="225"/>
      <c r="K31" s="225"/>
      <c r="O31" s="81">
        <v>0.98</v>
      </c>
      <c r="P31" s="81">
        <f t="shared" si="4"/>
        <v>26.479599999999998</v>
      </c>
      <c r="T31" s="1">
        <v>43178</v>
      </c>
      <c r="U31" t="s">
        <v>974</v>
      </c>
    </row>
    <row r="32" spans="1:21" x14ac:dyDescent="0.25">
      <c r="B32" s="186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5">
        <f t="shared" si="7"/>
        <v>-0.12551002457197663</v>
      </c>
      <c r="I32" s="225"/>
      <c r="J32" s="225"/>
      <c r="K32" s="225"/>
      <c r="O32" s="81">
        <v>0.97</v>
      </c>
      <c r="P32" s="81">
        <f t="shared" si="4"/>
        <v>26.209399999999999</v>
      </c>
    </row>
    <row r="33" spans="1:21" x14ac:dyDescent="0.25">
      <c r="B33" s="186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5">
        <f t="shared" si="7"/>
        <v>-0.14185792828991003</v>
      </c>
      <c r="I33" s="225"/>
      <c r="J33" s="225"/>
      <c r="K33" s="225"/>
      <c r="O33" s="81">
        <v>0.96</v>
      </c>
      <c r="P33" s="81">
        <f t="shared" si="4"/>
        <v>25.9392</v>
      </c>
      <c r="T33" s="1">
        <v>43217</v>
      </c>
      <c r="U33" t="s">
        <v>1051</v>
      </c>
    </row>
    <row r="34" spans="1:21" x14ac:dyDescent="0.25">
      <c r="B34" s="186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5">
        <f t="shared" si="7"/>
        <v>-0.14050096515174015</v>
      </c>
      <c r="I34" s="39">
        <v>34.5</v>
      </c>
      <c r="J34" s="39"/>
      <c r="K34" s="39"/>
      <c r="O34" s="81">
        <v>0.95</v>
      </c>
      <c r="P34" s="81">
        <f t="shared" si="4"/>
        <v>25.668999999999997</v>
      </c>
    </row>
    <row r="35" spans="1:21" x14ac:dyDescent="0.25">
      <c r="B35" s="186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5">
        <f t="shared" si="7"/>
        <v>-0.16110598371749468</v>
      </c>
      <c r="I35" s="39">
        <v>33.5</v>
      </c>
      <c r="J35" s="39"/>
      <c r="K35" s="39"/>
      <c r="O35" s="81">
        <v>0.94</v>
      </c>
      <c r="P35" s="81">
        <f t="shared" si="4"/>
        <v>25.398799999999998</v>
      </c>
      <c r="T35" s="1">
        <v>43224</v>
      </c>
      <c r="U35" t="s">
        <v>82</v>
      </c>
    </row>
    <row r="36" spans="1:21" x14ac:dyDescent="0.25">
      <c r="A36">
        <v>0</v>
      </c>
      <c r="B36" s="186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5">
        <f t="shared" si="7"/>
        <v>-0.14348557381291252</v>
      </c>
      <c r="I36" s="39">
        <v>34.5</v>
      </c>
      <c r="J36" s="39"/>
      <c r="K36" s="39"/>
      <c r="O36" s="81">
        <v>0.93</v>
      </c>
      <c r="P36" s="81">
        <f t="shared" si="4"/>
        <v>25.128600000000002</v>
      </c>
    </row>
    <row r="37" spans="1:21" x14ac:dyDescent="0.25">
      <c r="B37" s="186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5">
        <f t="shared" si="7"/>
        <v>-9.9964032546297432E-2</v>
      </c>
      <c r="I37" s="39"/>
      <c r="J37" s="39"/>
      <c r="K37" s="39"/>
      <c r="O37" s="81">
        <v>0.92</v>
      </c>
      <c r="P37" s="81">
        <f t="shared" si="4"/>
        <v>24.8584</v>
      </c>
    </row>
    <row r="38" spans="1:21" x14ac:dyDescent="0.25">
      <c r="A38">
        <v>440</v>
      </c>
      <c r="B38" s="186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5">
        <f t="shared" si="7"/>
        <v>-0.12410841654778883</v>
      </c>
      <c r="I38" s="39"/>
      <c r="J38" s="39"/>
      <c r="K38" s="39"/>
      <c r="O38" s="81">
        <v>0.91</v>
      </c>
      <c r="P38" s="81">
        <f t="shared" si="4"/>
        <v>24.588200000000001</v>
      </c>
    </row>
    <row r="39" spans="1:21" x14ac:dyDescent="0.25">
      <c r="A39">
        <v>440</v>
      </c>
      <c r="B39" s="186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5">
        <f t="shared" si="7"/>
        <v>-0.12343314763231192</v>
      </c>
      <c r="I39" s="39" t="s">
        <v>788</v>
      </c>
      <c r="J39" s="39"/>
      <c r="K39" s="39"/>
      <c r="O39" s="81">
        <v>0.9</v>
      </c>
      <c r="P39" s="81">
        <f t="shared" si="4"/>
        <v>24.318000000000001</v>
      </c>
    </row>
    <row r="40" spans="1:21" x14ac:dyDescent="0.25">
      <c r="A40">
        <v>320</v>
      </c>
      <c r="B40" s="186">
        <v>43090</v>
      </c>
      <c r="C40" s="427">
        <v>380</v>
      </c>
      <c r="D40" s="428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5">
        <f t="shared" si="7"/>
        <v>-0.13962814436748083</v>
      </c>
      <c r="I40" s="39"/>
      <c r="J40" s="39"/>
      <c r="K40" s="39"/>
    </row>
    <row r="41" spans="1:21" x14ac:dyDescent="0.25">
      <c r="A41">
        <v>260</v>
      </c>
      <c r="B41" s="186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5">
        <f t="shared" si="7"/>
        <v>-0.15462902166776102</v>
      </c>
      <c r="I41" s="39"/>
      <c r="J41" s="39"/>
      <c r="K41" s="39"/>
      <c r="O41" s="33"/>
      <c r="R41" s="33"/>
    </row>
    <row r="42" spans="1:21" x14ac:dyDescent="0.25">
      <c r="A42">
        <v>260</v>
      </c>
      <c r="B42" s="186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5">
        <f t="shared" ref="H42" si="10">(E42-D42)/D42</f>
        <v>-0.1291858174655286</v>
      </c>
      <c r="I42" s="39"/>
      <c r="J42" s="39">
        <v>55.37</v>
      </c>
      <c r="K42" s="39"/>
      <c r="L42" s="2" t="s">
        <v>846</v>
      </c>
      <c r="Q42" s="33"/>
      <c r="R42" s="33"/>
    </row>
    <row r="43" spans="1:21" x14ac:dyDescent="0.25">
      <c r="A43">
        <v>260</v>
      </c>
      <c r="B43" s="186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5">
        <f t="shared" ref="H43:H46" si="13">(E43-D43)/D43</f>
        <v>-0.14778945064565555</v>
      </c>
      <c r="I43" s="39"/>
      <c r="J43" s="39">
        <v>57.27</v>
      </c>
      <c r="K43" s="39"/>
      <c r="L43" s="2" t="s">
        <v>871</v>
      </c>
      <c r="Q43" s="33"/>
      <c r="R43" s="33"/>
    </row>
    <row r="44" spans="1:21" x14ac:dyDescent="0.25">
      <c r="A44">
        <v>320</v>
      </c>
      <c r="B44" s="186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5">
        <f t="shared" si="13"/>
        <v>-0.23409851450304389</v>
      </c>
      <c r="I44" s="39"/>
      <c r="J44" s="39"/>
      <c r="K44" s="39"/>
      <c r="Q44" s="33"/>
      <c r="R44" s="33"/>
    </row>
    <row r="45" spans="1:21" x14ac:dyDescent="0.25">
      <c r="A45">
        <v>140</v>
      </c>
      <c r="B45" s="186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5">
        <f t="shared" si="13"/>
        <v>-0.30159603742432589</v>
      </c>
      <c r="I45" s="39"/>
      <c r="J45" s="39"/>
      <c r="K45" s="39"/>
      <c r="Q45" s="33"/>
      <c r="R45" s="33"/>
    </row>
    <row r="46" spans="1:21" x14ac:dyDescent="0.25">
      <c r="A46">
        <v>100</v>
      </c>
      <c r="B46" s="186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5">
        <f t="shared" si="13"/>
        <v>-0.30214455917394761</v>
      </c>
      <c r="I46" s="39">
        <v>37</v>
      </c>
      <c r="J46" s="39"/>
      <c r="K46" s="39"/>
      <c r="Q46" s="81"/>
      <c r="R46" s="33"/>
    </row>
    <row r="47" spans="1:21" x14ac:dyDescent="0.25">
      <c r="A47">
        <v>100</v>
      </c>
      <c r="B47" s="186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5">
        <f t="shared" ref="H47" si="16">(E47-D47)/D47</f>
        <v>-0.26899655811490608</v>
      </c>
      <c r="I47" s="39"/>
      <c r="J47" s="39"/>
      <c r="K47" s="39"/>
      <c r="Q47" s="81"/>
      <c r="R47" s="33"/>
    </row>
    <row r="48" spans="1:21" x14ac:dyDescent="0.25">
      <c r="A48">
        <v>280</v>
      </c>
      <c r="B48" s="186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5">
        <f t="shared" ref="H48" si="19">(E48-D48)/D48</f>
        <v>-0.28620598358485572</v>
      </c>
      <c r="I48" s="39"/>
      <c r="J48" s="39"/>
      <c r="K48" s="39"/>
      <c r="Q48" s="81"/>
      <c r="R48" s="33"/>
    </row>
    <row r="49" spans="1:18" x14ac:dyDescent="0.25">
      <c r="B49" s="186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5">
        <f t="shared" ref="H49:H52" si="22">(E49-D49)/D49</f>
        <v>-0.24278527932221342</v>
      </c>
      <c r="I49" s="39"/>
      <c r="J49" s="39"/>
      <c r="K49" s="39">
        <v>-2491</v>
      </c>
      <c r="Q49" s="81"/>
      <c r="R49" s="33"/>
    </row>
    <row r="50" spans="1:18" x14ac:dyDescent="0.25">
      <c r="B50" s="186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5">
        <f t="shared" si="22"/>
        <v>-0.22862078894327667</v>
      </c>
      <c r="I50" s="39"/>
      <c r="J50" s="39"/>
      <c r="K50" s="39"/>
      <c r="Q50" s="81"/>
      <c r="R50" s="33"/>
    </row>
    <row r="51" spans="1:18" x14ac:dyDescent="0.25">
      <c r="B51" s="186">
        <v>43185</v>
      </c>
      <c r="C51" s="427">
        <v>380</v>
      </c>
      <c r="D51" s="428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5">
        <f t="shared" si="22"/>
        <v>-0.24964008062194065</v>
      </c>
      <c r="I51" s="39"/>
      <c r="J51" s="39"/>
      <c r="K51" s="39">
        <v>-3220</v>
      </c>
      <c r="Q51" s="81"/>
      <c r="R51" s="33"/>
    </row>
    <row r="52" spans="1:18" x14ac:dyDescent="0.25">
      <c r="A52">
        <v>280</v>
      </c>
      <c r="B52" s="186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5">
        <f t="shared" si="22"/>
        <v>-0.22060643564356433</v>
      </c>
      <c r="I52" s="39"/>
      <c r="J52" s="39"/>
      <c r="K52" s="39">
        <v>-3490</v>
      </c>
      <c r="Q52" s="81"/>
      <c r="R52" s="33"/>
    </row>
    <row r="53" spans="1:18" x14ac:dyDescent="0.25">
      <c r="A53">
        <v>160</v>
      </c>
      <c r="B53" s="186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5">
        <f t="shared" ref="H53" si="25">(E53-D53)/D53</f>
        <v>-0.25421266705403833</v>
      </c>
      <c r="I53" s="39"/>
      <c r="J53" s="39"/>
      <c r="K53" s="39">
        <v>-3248</v>
      </c>
      <c r="Q53" s="81"/>
      <c r="R53" s="33"/>
    </row>
    <row r="54" spans="1:18" x14ac:dyDescent="0.25">
      <c r="A54">
        <v>260</v>
      </c>
      <c r="B54" s="186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5">
        <f t="shared" ref="H54:H58" si="28">(E54-D54)/D54</f>
        <v>-0.21673445671121441</v>
      </c>
      <c r="I54" s="39"/>
      <c r="J54" s="39"/>
      <c r="K54" s="39">
        <v>-2758</v>
      </c>
      <c r="Q54" s="81"/>
      <c r="R54" s="33"/>
    </row>
    <row r="55" spans="1:18" x14ac:dyDescent="0.25">
      <c r="A55">
        <v>280</v>
      </c>
      <c r="B55" s="186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5">
        <f t="shared" si="28"/>
        <v>-0.25176342919153555</v>
      </c>
      <c r="I55" s="195" t="s">
        <v>1063</v>
      </c>
      <c r="J55" s="39"/>
      <c r="K55" s="39">
        <v>-2523</v>
      </c>
      <c r="Q55" s="81"/>
    </row>
    <row r="56" spans="1:18" x14ac:dyDescent="0.25">
      <c r="A56">
        <v>280</v>
      </c>
      <c r="B56" s="186">
        <v>43221</v>
      </c>
      <c r="C56" s="427">
        <v>380</v>
      </c>
      <c r="D56" s="428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5">
        <f t="shared" si="28"/>
        <v>-0.20809412701526131</v>
      </c>
      <c r="I56" s="195">
        <v>34</v>
      </c>
      <c r="J56" s="39"/>
      <c r="K56" s="39">
        <v>-2626</v>
      </c>
      <c r="Q56" s="81"/>
    </row>
    <row r="57" spans="1:18" x14ac:dyDescent="0.25">
      <c r="A57">
        <v>180</v>
      </c>
      <c r="B57" s="186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5">
        <f t="shared" si="28"/>
        <v>-0.26381881991664835</v>
      </c>
      <c r="I57" s="195">
        <v>36</v>
      </c>
      <c r="J57" s="39"/>
      <c r="K57" s="39">
        <v>-2619</v>
      </c>
      <c r="Q57" s="81"/>
    </row>
    <row r="58" spans="1:18" x14ac:dyDescent="0.25">
      <c r="A58">
        <v>180</v>
      </c>
      <c r="B58" s="186">
        <v>43223</v>
      </c>
      <c r="C58" s="427">
        <v>380</v>
      </c>
      <c r="D58" s="428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5">
        <f t="shared" si="28"/>
        <v>-0.21299313248784396</v>
      </c>
      <c r="I58" s="39"/>
      <c r="J58" s="39"/>
      <c r="K58" s="39">
        <v>-2670</v>
      </c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186"/>
      <c r="C64" s="10"/>
      <c r="D64" s="39"/>
      <c r="E64" s="39"/>
      <c r="F64" s="39"/>
      <c r="G64" s="39"/>
      <c r="H64" s="225"/>
      <c r="I64" s="39"/>
      <c r="J64" s="39"/>
      <c r="K64" s="39"/>
      <c r="O64" s="33"/>
    </row>
    <row r="65" spans="1:15" x14ac:dyDescent="0.25">
      <c r="B65" s="186"/>
      <c r="C65" s="10"/>
      <c r="D65" s="39"/>
      <c r="E65" s="39"/>
      <c r="F65" s="39"/>
      <c r="G65" s="39"/>
      <c r="H65" s="225"/>
      <c r="I65" s="39"/>
      <c r="J65" s="39"/>
      <c r="K65" s="39"/>
    </row>
    <row r="66" spans="1:15" x14ac:dyDescent="0.25">
      <c r="B66" s="4"/>
      <c r="C66" s="4"/>
      <c r="D66" s="3"/>
      <c r="E66" s="3"/>
      <c r="F66" s="3"/>
      <c r="G66" s="3"/>
      <c r="H66" s="226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77</v>
      </c>
      <c r="M68" s="370" t="s">
        <v>38</v>
      </c>
    </row>
    <row r="69" spans="1:15" x14ac:dyDescent="0.25">
      <c r="A69" s="373" t="s">
        <v>174</v>
      </c>
      <c r="B69" s="363">
        <v>42376</v>
      </c>
      <c r="C69" s="364">
        <v>60</v>
      </c>
      <c r="D69" s="365">
        <v>41.01</v>
      </c>
      <c r="E69" s="365">
        <v>0</v>
      </c>
      <c r="F69" s="365">
        <f>C69*D69</f>
        <v>2460.6</v>
      </c>
      <c r="G69" s="363">
        <v>42426</v>
      </c>
      <c r="H69" s="368">
        <v>20</v>
      </c>
      <c r="I69" s="365">
        <v>38.450000000000003</v>
      </c>
      <c r="J69" s="365">
        <v>0.02</v>
      </c>
      <c r="K69" s="365">
        <f>H69*I69-J69</f>
        <v>768.98</v>
      </c>
      <c r="L69" s="363">
        <v>42444</v>
      </c>
      <c r="M69" s="365">
        <v>15.2</v>
      </c>
      <c r="O69" s="33"/>
    </row>
    <row r="70" spans="1:15" x14ac:dyDescent="0.25">
      <c r="A70" s="374" t="s">
        <v>71</v>
      </c>
      <c r="B70" s="363">
        <v>42403</v>
      </c>
      <c r="C70" s="364">
        <v>20</v>
      </c>
      <c r="D70" s="365">
        <v>35.5</v>
      </c>
      <c r="E70" s="365">
        <v>0</v>
      </c>
      <c r="F70" s="365">
        <f>C70*D70</f>
        <v>710</v>
      </c>
      <c r="G70" s="363">
        <v>42426</v>
      </c>
      <c r="H70" s="368">
        <v>30</v>
      </c>
      <c r="I70" s="365">
        <v>38.75</v>
      </c>
      <c r="J70" s="365">
        <v>0.03</v>
      </c>
      <c r="K70" s="365">
        <f>H70*I70-J70</f>
        <v>1162.47</v>
      </c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3">
        <v>42447</v>
      </c>
      <c r="H71" s="368">
        <v>30</v>
      </c>
      <c r="I71" s="365">
        <v>43.3</v>
      </c>
      <c r="J71" s="365">
        <v>0.03</v>
      </c>
      <c r="K71" s="365">
        <f>H71*I71-J71</f>
        <v>1298.97</v>
      </c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64"/>
      <c r="B79" s="364"/>
      <c r="C79" s="364"/>
      <c r="D79" s="365"/>
      <c r="E79" s="365"/>
      <c r="F79" s="365"/>
      <c r="G79" s="364"/>
      <c r="H79" s="364"/>
      <c r="I79" s="365"/>
      <c r="J79" s="365"/>
      <c r="K79" s="365"/>
      <c r="L79" s="364"/>
      <c r="M79" s="364"/>
    </row>
    <row r="80" spans="1:15" x14ac:dyDescent="0.25">
      <c r="A80" s="364"/>
      <c r="B80" s="364"/>
      <c r="C80" s="364"/>
      <c r="D80" s="365"/>
      <c r="E80" s="365"/>
      <c r="F80" s="365"/>
      <c r="G80" s="364"/>
      <c r="H80" s="364"/>
      <c r="I80" s="365"/>
      <c r="J80" s="365"/>
      <c r="K80" s="365"/>
      <c r="L80" s="364"/>
      <c r="M80" s="364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7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60" t="s">
        <v>113</v>
      </c>
      <c r="C84" s="260" t="s">
        <v>146</v>
      </c>
      <c r="D84" s="261" t="s">
        <v>145</v>
      </c>
      <c r="E84" s="262" t="s">
        <v>147</v>
      </c>
      <c r="F84" s="263" t="s">
        <v>65</v>
      </c>
      <c r="G84" s="264" t="s">
        <v>151</v>
      </c>
      <c r="H84" s="263" t="s">
        <v>88</v>
      </c>
      <c r="I84" s="263" t="s">
        <v>154</v>
      </c>
    </row>
    <row r="85" spans="1:13" x14ac:dyDescent="0.25">
      <c r="B85" s="257">
        <v>42376</v>
      </c>
      <c r="C85" s="252">
        <v>60</v>
      </c>
      <c r="D85" s="253">
        <v>41.01</v>
      </c>
      <c r="E85" s="253">
        <v>40.33</v>
      </c>
      <c r="F85" s="253">
        <f>C85*(E85-D85)</f>
        <v>-40.799999999999983</v>
      </c>
      <c r="G85" s="253">
        <f>D85*C85</f>
        <v>2460.6</v>
      </c>
      <c r="H85" s="267">
        <f>(E85-D85)/D85</f>
        <v>-1.6581321628871E-2</v>
      </c>
      <c r="I85" s="267"/>
    </row>
    <row r="86" spans="1:13" x14ac:dyDescent="0.25">
      <c r="B86" s="257">
        <v>42403</v>
      </c>
      <c r="C86" s="252">
        <v>80</v>
      </c>
      <c r="D86" s="253">
        <v>39.630000000000003</v>
      </c>
      <c r="E86" s="253">
        <v>36.229999999999997</v>
      </c>
      <c r="F86" s="253">
        <f>C86*(E86-D86)</f>
        <v>-272.00000000000045</v>
      </c>
      <c r="G86" s="253">
        <f>D86*C86</f>
        <v>3170.4</v>
      </c>
      <c r="H86" s="267">
        <f>(E86-D86)/D86</f>
        <v>-8.5793590714105611E-2</v>
      </c>
      <c r="I86" s="267"/>
    </row>
    <row r="87" spans="1:13" x14ac:dyDescent="0.25">
      <c r="B87" s="257">
        <v>42421</v>
      </c>
      <c r="C87" s="252">
        <v>80</v>
      </c>
      <c r="D87" s="253">
        <v>39.630000000000003</v>
      </c>
      <c r="E87" s="253">
        <v>37.46</v>
      </c>
      <c r="F87" s="253">
        <f>C87*(E87-D87)</f>
        <v>-173.60000000000014</v>
      </c>
      <c r="G87" s="253">
        <f>D87*C87</f>
        <v>3170.4</v>
      </c>
      <c r="H87" s="267">
        <f>(E87-D87)/D87</f>
        <v>-5.4756497602826179E-2</v>
      </c>
      <c r="I87" s="267"/>
    </row>
    <row r="88" spans="1:13" x14ac:dyDescent="0.25">
      <c r="B88" s="257">
        <v>42426</v>
      </c>
      <c r="C88" s="252">
        <v>60</v>
      </c>
      <c r="D88" s="253">
        <v>40.03</v>
      </c>
      <c r="E88" s="253">
        <v>38.450000000000003</v>
      </c>
      <c r="F88" s="253">
        <f t="shared" ref="F88:F94" si="29">C88*(E88-D88)</f>
        <v>-94.799999999999898</v>
      </c>
      <c r="G88" s="253">
        <f t="shared" ref="G88:G94" si="30">D88*C88</f>
        <v>2401.8000000000002</v>
      </c>
      <c r="H88" s="267">
        <f t="shared" ref="H88:H94" si="31">(E88-D88)/D88</f>
        <v>-3.9470397202098384E-2</v>
      </c>
      <c r="I88" s="267"/>
    </row>
    <row r="89" spans="1:13" x14ac:dyDescent="0.25">
      <c r="B89" s="257">
        <v>42426</v>
      </c>
      <c r="C89" s="252">
        <v>30</v>
      </c>
      <c r="D89" s="253">
        <v>41.31</v>
      </c>
      <c r="E89" s="253">
        <v>38.44</v>
      </c>
      <c r="F89" s="253">
        <f t="shared" si="29"/>
        <v>-86.100000000000136</v>
      </c>
      <c r="G89" s="253">
        <f t="shared" si="30"/>
        <v>1239.3000000000002</v>
      </c>
      <c r="H89" s="265">
        <f t="shared" si="31"/>
        <v>-6.9474703461631676E-2</v>
      </c>
      <c r="I89" s="265"/>
    </row>
    <row r="90" spans="1:13" x14ac:dyDescent="0.25">
      <c r="B90" s="257">
        <v>42430</v>
      </c>
      <c r="C90" s="252">
        <v>30</v>
      </c>
      <c r="D90" s="253">
        <v>41.31</v>
      </c>
      <c r="E90" s="253">
        <v>39.51</v>
      </c>
      <c r="F90" s="253">
        <f t="shared" si="29"/>
        <v>-54.000000000000128</v>
      </c>
      <c r="G90" s="253">
        <f t="shared" si="30"/>
        <v>1239.3000000000002</v>
      </c>
      <c r="H90" s="265">
        <f t="shared" si="31"/>
        <v>-4.3572984749455437E-2</v>
      </c>
      <c r="I90" s="265"/>
    </row>
    <row r="91" spans="1:13" x14ac:dyDescent="0.25">
      <c r="B91" s="257">
        <v>42431</v>
      </c>
      <c r="C91" s="252">
        <v>30</v>
      </c>
      <c r="D91" s="253">
        <v>41.305</v>
      </c>
      <c r="E91" s="253">
        <v>40.31</v>
      </c>
      <c r="F91" s="253">
        <f t="shared" si="29"/>
        <v>-29.849999999999923</v>
      </c>
      <c r="G91" s="253">
        <f t="shared" si="30"/>
        <v>1239.1500000000001</v>
      </c>
      <c r="H91" s="265">
        <f t="shared" si="31"/>
        <v>-2.4089093330105251E-2</v>
      </c>
      <c r="I91" s="265"/>
    </row>
    <row r="92" spans="1:13" x14ac:dyDescent="0.25">
      <c r="B92" s="257">
        <v>42435</v>
      </c>
      <c r="C92" s="252">
        <v>30</v>
      </c>
      <c r="D92" s="253">
        <v>41.305</v>
      </c>
      <c r="E92" s="253">
        <v>40.98</v>
      </c>
      <c r="F92" s="253">
        <f t="shared" si="29"/>
        <v>-9.7500000000000853</v>
      </c>
      <c r="G92" s="253">
        <f t="shared" si="30"/>
        <v>1239.1500000000001</v>
      </c>
      <c r="H92" s="265">
        <f t="shared" si="31"/>
        <v>-7.8682968163661261E-3</v>
      </c>
      <c r="I92" s="265"/>
    </row>
    <row r="93" spans="1:13" x14ac:dyDescent="0.25">
      <c r="B93" s="257">
        <v>42436</v>
      </c>
      <c r="C93" s="252">
        <v>30</v>
      </c>
      <c r="D93" s="253">
        <v>41.305</v>
      </c>
      <c r="E93" s="253">
        <v>39.590000000000003</v>
      </c>
      <c r="F93" s="253">
        <f t="shared" si="29"/>
        <v>-51.449999999999889</v>
      </c>
      <c r="G93" s="253">
        <f t="shared" si="30"/>
        <v>1239.1500000000001</v>
      </c>
      <c r="H93" s="265">
        <f t="shared" si="31"/>
        <v>-4.1520397046362338E-2</v>
      </c>
      <c r="I93" s="265"/>
    </row>
    <row r="94" spans="1:13" x14ac:dyDescent="0.25">
      <c r="B94" s="257">
        <v>42444</v>
      </c>
      <c r="C94" s="252">
        <v>30</v>
      </c>
      <c r="D94" s="253">
        <v>41.305</v>
      </c>
      <c r="E94" s="253">
        <v>41.37</v>
      </c>
      <c r="F94" s="253">
        <f t="shared" si="29"/>
        <v>1.9499999999999318</v>
      </c>
      <c r="G94" s="253">
        <f t="shared" si="30"/>
        <v>1239.1500000000001</v>
      </c>
      <c r="H94" s="265">
        <f t="shared" si="31"/>
        <v>1.5736593632731564E-3</v>
      </c>
      <c r="I94" s="265"/>
    </row>
    <row r="95" spans="1:13" x14ac:dyDescent="0.25">
      <c r="B95" s="257">
        <v>42444</v>
      </c>
      <c r="C95" s="252">
        <v>30</v>
      </c>
      <c r="D95" s="253">
        <v>40.47983</v>
      </c>
      <c r="E95" s="253">
        <v>41.37</v>
      </c>
      <c r="F95" s="253">
        <f>C95*(E95-D95)</f>
        <v>26.705099999999931</v>
      </c>
      <c r="G95" s="253">
        <f>D95*C95</f>
        <v>1214.3949</v>
      </c>
      <c r="H95" s="265">
        <f>(E95-D95)/D95</f>
        <v>2.1990457963879731E-2</v>
      </c>
      <c r="I95" s="265" t="s">
        <v>182</v>
      </c>
    </row>
    <row r="96" spans="1:13" x14ac:dyDescent="0.25">
      <c r="B96" s="257">
        <v>42447</v>
      </c>
      <c r="C96" s="252">
        <v>0</v>
      </c>
      <c r="D96" s="253"/>
      <c r="E96" s="253"/>
      <c r="F96" s="253">
        <v>75.02</v>
      </c>
      <c r="G96" s="253"/>
      <c r="H96" s="265"/>
      <c r="I96" s="265"/>
    </row>
    <row r="97" spans="2:9" x14ac:dyDescent="0.25">
      <c r="B97" s="252"/>
      <c r="C97" s="252"/>
      <c r="D97" s="253"/>
      <c r="E97" s="253"/>
      <c r="F97" s="253"/>
      <c r="G97" s="253"/>
      <c r="H97" s="265"/>
      <c r="I97" s="265"/>
    </row>
    <row r="98" spans="2:9" x14ac:dyDescent="0.25">
      <c r="B98" s="252"/>
      <c r="C98" s="252"/>
      <c r="D98" s="253"/>
      <c r="E98" s="253"/>
      <c r="F98" s="253"/>
      <c r="G98" s="253"/>
      <c r="H98" s="265"/>
      <c r="I98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I47:K51 F50:F51 I53:K54 H62:K66 F55:F57 H55:H57 J55:K57 F62:F6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K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K38">
    <cfRule type="expression" dxfId="451" priority="43">
      <formula>I37&gt;0</formula>
    </cfRule>
    <cfRule type="expression" dxfId="450" priority="44">
      <formula>I37&lt;0</formula>
    </cfRule>
  </conditionalFormatting>
  <conditionalFormatting sqref="I27:K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H52:K52 F52:F54 H53:H54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8:K61 F58:F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66.709999999999994</v>
      </c>
      <c r="R4" s="477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640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95</v>
      </c>
      <c r="R4" s="477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152.47999999999999</v>
      </c>
      <c r="R4" s="477">
        <v>1.0800000000000001E-2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167.72800000000001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166.20320000000001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164.67840000000001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163.15360000000001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161.62879999999998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160.10399999999998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158.57919999999999</v>
      </c>
      <c r="Q49" s="2"/>
      <c r="R49" s="33"/>
      <c r="T49" s="10" t="s">
        <v>103</v>
      </c>
      <c r="U49" s="86" t="s">
        <v>618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157.05439999999999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155.52959999999999</v>
      </c>
      <c r="Q51" s="2"/>
      <c r="R51" s="33"/>
      <c r="T51" s="10" t="s">
        <v>104</v>
      </c>
      <c r="U51" s="86" t="s">
        <v>619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154.00479999999999</v>
      </c>
      <c r="Q52" s="2"/>
      <c r="R52" s="33"/>
      <c r="T52" s="10" t="s">
        <v>105</v>
      </c>
      <c r="U52" s="86" t="s">
        <v>507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152.47999999999999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150.95519999999999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149.43039999999999</v>
      </c>
      <c r="Q55" s="2"/>
      <c r="R55" s="33"/>
      <c r="T55" s="10" t="s">
        <v>107</v>
      </c>
      <c r="U55" s="86" t="s">
        <v>620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147.90559999999999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146.38079999999999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144.85599999999999</v>
      </c>
      <c r="T58" s="10" t="s">
        <v>108</v>
      </c>
      <c r="U58" s="86" t="s">
        <v>550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143.3312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141.8064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140.2816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138.7568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137.232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239.45</v>
      </c>
      <c r="R4" s="477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7">
        <v>-3.5999999999999999E-3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193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54.33</v>
      </c>
      <c r="R4" s="494">
        <v>-3.3E-3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650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556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193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335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2">
        <f>(E93-D93)/D93</f>
        <v>5.3255262791021787E-2</v>
      </c>
      <c r="I93" s="501">
        <v>70</v>
      </c>
    </row>
    <row r="94" spans="1:13" x14ac:dyDescent="0.25">
      <c r="A94" s="499" t="s">
        <v>366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2">
        <f>(E94-D94)/D94</f>
        <v>1.2958214953918679E-2</v>
      </c>
      <c r="I94" s="501">
        <v>71</v>
      </c>
    </row>
    <row r="95" spans="1:13" x14ac:dyDescent="0.25">
      <c r="A95" s="499" t="s">
        <v>401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2">
        <f>(E95-D95)/D95</f>
        <v>3.7627330053357402E-2</v>
      </c>
      <c r="I95" s="501"/>
    </row>
    <row r="96" spans="1:13" x14ac:dyDescent="0.25">
      <c r="A96" s="499" t="s">
        <v>406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2">
        <f>(E96-D96)/D96</f>
        <v>0.14036037010984265</v>
      </c>
      <c r="I96" s="501"/>
    </row>
    <row r="97" spans="1:9" x14ac:dyDescent="0.25">
      <c r="A97" s="636"/>
      <c r="B97" s="637"/>
      <c r="C97" s="636"/>
      <c r="D97" s="638"/>
      <c r="E97" s="638"/>
      <c r="F97" s="638"/>
      <c r="G97" s="638"/>
      <c r="H97" s="639"/>
      <c r="I97" s="638"/>
    </row>
    <row r="98" spans="1:9" x14ac:dyDescent="0.25">
      <c r="A98" s="636" t="s">
        <v>441</v>
      </c>
      <c r="B98" s="637">
        <v>42787</v>
      </c>
      <c r="C98" s="636">
        <v>25</v>
      </c>
      <c r="D98" s="638">
        <v>72.58</v>
      </c>
      <c r="E98" s="638">
        <v>81.34</v>
      </c>
      <c r="F98" s="638">
        <f>C98*(E98-D98)</f>
        <v>219.00000000000011</v>
      </c>
      <c r="G98" s="638">
        <f>D98*C98</f>
        <v>1814.5</v>
      </c>
      <c r="H98" s="639">
        <f>(E98-D98)/D98</f>
        <v>0.12069440617249938</v>
      </c>
      <c r="I98" s="638"/>
    </row>
    <row r="99" spans="1:9" x14ac:dyDescent="0.25">
      <c r="A99" s="636"/>
      <c r="B99" s="637">
        <v>42796</v>
      </c>
      <c r="C99" s="636">
        <v>0</v>
      </c>
      <c r="D99" s="638"/>
      <c r="E99" s="638"/>
      <c r="F99" s="638">
        <v>244.96</v>
      </c>
      <c r="G99" s="638"/>
      <c r="H99" s="639"/>
      <c r="I99" s="638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53.1</v>
      </c>
      <c r="R4" s="496">
        <v>-7.1000000000000004E-3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5310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2003.839999999997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805.36999999999989</v>
      </c>
      <c r="R8" s="413"/>
      <c r="T8" s="29">
        <v>43202</v>
      </c>
      <c r="U8" t="s">
        <v>1011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0.17878715898975051</v>
      </c>
      <c r="T9" s="29"/>
      <c r="U9" s="477" t="s">
        <v>1012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2.2975517890772127E-2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1008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Q4/6.24</f>
        <v>8.509615384615385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193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9" t="s">
        <v>78</v>
      </c>
      <c r="P42" s="849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58.410000000000004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57.879000000000005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57.348000000000006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56.817000000000007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56.286000000000001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55.755000000000003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55.224000000000004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54.693000000000005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54.161999999999999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53.631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53.1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52.569000000000003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52.038000000000004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51.506999999999998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50.975999999999999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50.445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49.914000000000001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49.383000000000003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48.852000000000004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48.321000000000005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47.79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208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193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261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780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785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21.119900000000001</v>
      </c>
      <c r="R4" s="477">
        <v>1.15E-2</v>
      </c>
      <c r="U4" t="s">
        <v>786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4223.9800000000005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859.7800000000052</v>
      </c>
      <c r="R7" s="29">
        <v>43255</v>
      </c>
      <c r="T7" s="1">
        <v>43103</v>
      </c>
      <c r="U7" t="s">
        <v>851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574.8100000000004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0.15751801094495471</v>
      </c>
      <c r="U9" t="s">
        <v>942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1005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958</v>
      </c>
      <c r="T12" s="1">
        <v>43223</v>
      </c>
      <c r="U12" t="s">
        <v>1066</v>
      </c>
    </row>
    <row r="13" spans="1:29" x14ac:dyDescent="0.25">
      <c r="O13" s="11" t="s">
        <v>986</v>
      </c>
      <c r="Q13" s="2">
        <f>Q4/2.45</f>
        <v>8.6203673469387763</v>
      </c>
      <c r="U13" t="s">
        <v>1068</v>
      </c>
    </row>
    <row r="15" spans="1:29" x14ac:dyDescent="0.25">
      <c r="T15" s="1">
        <v>43224</v>
      </c>
      <c r="U15" t="s">
        <v>1072</v>
      </c>
    </row>
    <row r="16" spans="1:29" ht="20.25" thickBot="1" x14ac:dyDescent="0.35">
      <c r="O16" s="561" t="s">
        <v>78</v>
      </c>
      <c r="P16" s="561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23.231890000000003</v>
      </c>
      <c r="T17" s="1">
        <v>43235</v>
      </c>
      <c r="U17" t="s">
        <v>1098</v>
      </c>
    </row>
    <row r="18" spans="1:21" ht="15.75" thickBot="1" x14ac:dyDescent="0.3">
      <c r="A18" s="343" t="s">
        <v>193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400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23.020691000000003</v>
      </c>
      <c r="U18" t="s">
        <v>1099</v>
      </c>
    </row>
    <row r="19" spans="1:21" x14ac:dyDescent="0.25">
      <c r="O19" s="81">
        <v>1.08</v>
      </c>
      <c r="P19" s="81">
        <f t="shared" si="0"/>
        <v>22.809492000000002</v>
      </c>
    </row>
    <row r="20" spans="1:21" x14ac:dyDescent="0.25">
      <c r="A20" s="184" t="s">
        <v>230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503</v>
      </c>
      <c r="O20" s="81">
        <v>1.07</v>
      </c>
      <c r="P20" s="81">
        <f t="shared" si="0"/>
        <v>22.598293000000002</v>
      </c>
    </row>
    <row r="21" spans="1:21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22.387094000000001</v>
      </c>
    </row>
    <row r="22" spans="1:21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22.175895000000001</v>
      </c>
    </row>
    <row r="23" spans="1:21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21.964696000000004</v>
      </c>
    </row>
    <row r="24" spans="1:21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29">
        <v>489</v>
      </c>
      <c r="K24" s="729"/>
      <c r="O24" s="81">
        <v>1.03</v>
      </c>
      <c r="P24" s="81">
        <f t="shared" si="0"/>
        <v>21.753497000000003</v>
      </c>
    </row>
    <row r="25" spans="1:21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29">
        <v>269</v>
      </c>
      <c r="K25" s="729"/>
      <c r="O25" s="81">
        <v>1.02</v>
      </c>
      <c r="P25" s="81">
        <f t="shared" si="0"/>
        <v>21.542298000000002</v>
      </c>
    </row>
    <row r="26" spans="1:21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29">
        <v>143</v>
      </c>
      <c r="K26" s="729"/>
      <c r="O26" s="81">
        <v>1.01</v>
      </c>
      <c r="P26" s="81">
        <f t="shared" si="0"/>
        <v>21.331099000000002</v>
      </c>
    </row>
    <row r="27" spans="1:21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29">
        <v>-282</v>
      </c>
      <c r="K27" s="729"/>
      <c r="O27" s="81">
        <v>1</v>
      </c>
      <c r="P27" s="81">
        <f t="shared" si="0"/>
        <v>21.119900000000001</v>
      </c>
    </row>
    <row r="28" spans="1:21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29">
        <v>-698</v>
      </c>
      <c r="K28" s="39">
        <v>36.6</v>
      </c>
      <c r="O28" s="81">
        <v>0.99</v>
      </c>
      <c r="P28" s="81">
        <f t="shared" si="0"/>
        <v>20.908701000000001</v>
      </c>
    </row>
    <row r="29" spans="1:21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29">
        <v>-378</v>
      </c>
      <c r="K29" s="39"/>
      <c r="O29" s="81">
        <v>0.98</v>
      </c>
      <c r="P29" s="81">
        <f t="shared" si="0"/>
        <v>20.697502</v>
      </c>
    </row>
    <row r="30" spans="1:21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1069</v>
      </c>
      <c r="J30" s="729">
        <v>566</v>
      </c>
      <c r="K30" s="729"/>
      <c r="O30" s="81">
        <v>0.97</v>
      </c>
      <c r="P30" s="81">
        <f t="shared" si="0"/>
        <v>20.486302999999999</v>
      </c>
    </row>
    <row r="31" spans="1:21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1070</v>
      </c>
      <c r="J31" s="729">
        <v>116</v>
      </c>
      <c r="K31" s="729"/>
      <c r="O31" s="81">
        <v>0.96</v>
      </c>
      <c r="P31" s="81">
        <f t="shared" si="0"/>
        <v>20.275103999999999</v>
      </c>
    </row>
    <row r="32" spans="1:21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29">
        <v>202</v>
      </c>
      <c r="K32" s="729"/>
      <c r="O32" s="81">
        <v>0.95</v>
      </c>
      <c r="P32" s="81">
        <f t="shared" si="0"/>
        <v>20.063905000000002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29">
        <v>202</v>
      </c>
      <c r="K33" s="729"/>
      <c r="O33" s="81">
        <v>0.94</v>
      </c>
      <c r="P33" s="81">
        <f t="shared" si="0"/>
        <v>19.852706000000001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5">
        <f t="shared" ref="H34:H35" si="12">(E34-D34)/D34</f>
        <v>2.0273972602739779E-2</v>
      </c>
      <c r="I34" s="39"/>
      <c r="J34" s="729">
        <v>360</v>
      </c>
      <c r="K34" s="729"/>
      <c r="O34" s="81">
        <v>0.93</v>
      </c>
      <c r="P34" s="81">
        <f t="shared" si="0"/>
        <v>19.641507000000001</v>
      </c>
    </row>
    <row r="35" spans="1:18" x14ac:dyDescent="0.25">
      <c r="A35" s="10"/>
      <c r="B35" s="186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5">
        <f t="shared" si="12"/>
        <v>0.11232876712328771</v>
      </c>
      <c r="I35" s="225"/>
      <c r="J35" s="729">
        <v>696</v>
      </c>
      <c r="K35" s="729"/>
      <c r="O35" s="81">
        <v>0.92</v>
      </c>
      <c r="P35" s="81">
        <f t="shared" si="0"/>
        <v>19.430308000000004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29"/>
      <c r="K36" s="729"/>
      <c r="O36" s="81">
        <v>0.91</v>
      </c>
      <c r="P36" s="81">
        <f t="shared" si="0"/>
        <v>19.219109000000003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29"/>
      <c r="K37" s="729"/>
      <c r="O37" s="81">
        <v>0.9</v>
      </c>
      <c r="P37" s="81">
        <f t="shared" si="0"/>
        <v>19.007910000000003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331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4" t="s">
        <v>230</v>
      </c>
      <c r="B81" s="754" t="s">
        <v>113</v>
      </c>
      <c r="C81" s="754" t="s">
        <v>146</v>
      </c>
      <c r="D81" s="755" t="s">
        <v>145</v>
      </c>
      <c r="E81" s="756" t="s">
        <v>147</v>
      </c>
      <c r="F81" s="757" t="s">
        <v>65</v>
      </c>
      <c r="G81" s="758" t="s">
        <v>151</v>
      </c>
      <c r="H81" s="757" t="s">
        <v>88</v>
      </c>
      <c r="I81" s="757" t="s">
        <v>154</v>
      </c>
    </row>
    <row r="82" spans="1:9" x14ac:dyDescent="0.25">
      <c r="A82" s="759"/>
      <c r="B82" s="760"/>
      <c r="C82" s="759"/>
      <c r="D82" s="761"/>
      <c r="E82" s="761"/>
      <c r="F82" s="761"/>
      <c r="G82" s="761"/>
      <c r="H82" s="762"/>
      <c r="I82" s="762"/>
    </row>
    <row r="83" spans="1:9" x14ac:dyDescent="0.25">
      <c r="A83" s="759"/>
      <c r="B83" s="760">
        <v>42746</v>
      </c>
      <c r="C83" s="759">
        <v>80</v>
      </c>
      <c r="D83" s="761">
        <v>34.020000000000003</v>
      </c>
      <c r="E83" s="761">
        <v>34.28</v>
      </c>
      <c r="F83" s="761">
        <f>C83*(E83-D83)</f>
        <v>20.799999999999841</v>
      </c>
      <c r="G83" s="761">
        <f>D83*C83</f>
        <v>2721.6000000000004</v>
      </c>
      <c r="H83" s="762">
        <f>(E83-D83)/D83</f>
        <v>7.6425631981186948E-3</v>
      </c>
      <c r="I83" s="762"/>
    </row>
    <row r="84" spans="1:9" x14ac:dyDescent="0.25">
      <c r="A84" s="759"/>
      <c r="B84" s="760">
        <v>42758</v>
      </c>
      <c r="C84" s="759">
        <v>120</v>
      </c>
      <c r="D84" s="761">
        <v>33.44</v>
      </c>
      <c r="E84" s="761">
        <v>32.71</v>
      </c>
      <c r="F84" s="761">
        <f>C84*(E84-D84)</f>
        <v>-87.599999999999625</v>
      </c>
      <c r="G84" s="761">
        <f>D84*C84</f>
        <v>4012.7999999999997</v>
      </c>
      <c r="H84" s="762">
        <f>(E84-D84)/D84</f>
        <v>-2.1830143540669766E-2</v>
      </c>
      <c r="I84" s="762"/>
    </row>
    <row r="85" spans="1:9" x14ac:dyDescent="0.25">
      <c r="A85" s="759" t="s">
        <v>363</v>
      </c>
      <c r="B85" s="760">
        <v>42760</v>
      </c>
      <c r="C85" s="759">
        <v>40</v>
      </c>
      <c r="D85" s="761">
        <v>32.961500000000001</v>
      </c>
      <c r="E85" s="761">
        <v>33.68</v>
      </c>
      <c r="F85" s="761">
        <f>C85*(E85-D85)</f>
        <v>28.739999999999952</v>
      </c>
      <c r="G85" s="761">
        <f>D85*C85</f>
        <v>1318.46</v>
      </c>
      <c r="H85" s="762">
        <f>(E85-D85)/D85</f>
        <v>2.1798158457594429E-2</v>
      </c>
      <c r="I85" s="762"/>
    </row>
    <row r="86" spans="1:9" x14ac:dyDescent="0.25">
      <c r="A86" s="759"/>
      <c r="B86" s="760">
        <v>42766</v>
      </c>
      <c r="C86" s="759">
        <v>0</v>
      </c>
      <c r="D86" s="761"/>
      <c r="E86" s="761"/>
      <c r="F86" s="761">
        <v>-46.49</v>
      </c>
      <c r="G86" s="761"/>
      <c r="H86" s="762"/>
      <c r="I86" s="762"/>
    </row>
    <row r="87" spans="1:9" x14ac:dyDescent="0.25">
      <c r="A87" s="759">
        <v>0</v>
      </c>
      <c r="B87" s="760">
        <v>42843</v>
      </c>
      <c r="C87" s="759">
        <v>80</v>
      </c>
      <c r="D87" s="761">
        <v>31.661100000000001</v>
      </c>
      <c r="E87" s="761">
        <v>30.99</v>
      </c>
      <c r="F87" s="761">
        <f t="shared" ref="F87:F106" si="15">C87*(E87-D87)</f>
        <v>-53.688000000000216</v>
      </c>
      <c r="G87" s="761">
        <f t="shared" ref="G87:G106" si="16">D87*C87</f>
        <v>2532.8879999999999</v>
      </c>
      <c r="H87" s="762">
        <f t="shared" ref="H87:H106" si="17">(E87-D87)/D87</f>
        <v>-2.1196357675507253E-2</v>
      </c>
      <c r="I87" s="763"/>
    </row>
    <row r="88" spans="1:9" x14ac:dyDescent="0.25">
      <c r="A88" s="759">
        <v>0</v>
      </c>
      <c r="B88" s="760">
        <v>42873</v>
      </c>
      <c r="C88" s="759">
        <v>160</v>
      </c>
      <c r="D88" s="761">
        <v>30.6706</v>
      </c>
      <c r="E88" s="761">
        <v>29.73</v>
      </c>
      <c r="F88" s="761">
        <f t="shared" si="15"/>
        <v>-150.49599999999998</v>
      </c>
      <c r="G88" s="761">
        <f t="shared" si="16"/>
        <v>4907.2960000000003</v>
      </c>
      <c r="H88" s="763">
        <f t="shared" si="17"/>
        <v>-3.0667805651014322E-2</v>
      </c>
      <c r="I88" s="763"/>
    </row>
    <row r="89" spans="1:9" x14ac:dyDescent="0.25">
      <c r="A89" s="759"/>
      <c r="B89" s="760">
        <v>42901</v>
      </c>
      <c r="C89" s="759">
        <v>80</v>
      </c>
      <c r="D89" s="761">
        <v>30.041799999999999</v>
      </c>
      <c r="E89" s="761">
        <v>30.43</v>
      </c>
      <c r="F89" s="761">
        <f t="shared" si="15"/>
        <v>31.056000000000097</v>
      </c>
      <c r="G89" s="761">
        <f t="shared" si="16"/>
        <v>2403.3440000000001</v>
      </c>
      <c r="H89" s="763">
        <f t="shared" si="17"/>
        <v>1.2921995353141331E-2</v>
      </c>
      <c r="I89" s="763"/>
    </row>
    <row r="90" spans="1:9" x14ac:dyDescent="0.25">
      <c r="A90" s="759">
        <v>80</v>
      </c>
      <c r="B90" s="760">
        <v>42917</v>
      </c>
      <c r="C90" s="759">
        <v>80</v>
      </c>
      <c r="D90" s="761">
        <v>29.463799999999999</v>
      </c>
      <c r="E90" s="761">
        <v>33.22</v>
      </c>
      <c r="F90" s="761">
        <f t="shared" si="15"/>
        <v>300.49599999999998</v>
      </c>
      <c r="G90" s="761">
        <f t="shared" si="16"/>
        <v>2357.1039999999998</v>
      </c>
      <c r="H90" s="763">
        <f t="shared" si="17"/>
        <v>0.12748525309023276</v>
      </c>
      <c r="I90" s="763"/>
    </row>
    <row r="91" spans="1:9" x14ac:dyDescent="0.25">
      <c r="A91" s="759">
        <v>80</v>
      </c>
      <c r="B91" s="760">
        <v>42957</v>
      </c>
      <c r="C91" s="759">
        <v>180</v>
      </c>
      <c r="D91" s="761">
        <v>22.695</v>
      </c>
      <c r="E91" s="761">
        <v>17.190000000000001</v>
      </c>
      <c r="F91" s="761">
        <f t="shared" si="15"/>
        <v>-990.89999999999986</v>
      </c>
      <c r="G91" s="761">
        <f t="shared" si="16"/>
        <v>4085.1</v>
      </c>
      <c r="H91" s="763">
        <f t="shared" si="17"/>
        <v>-0.24256444150693982</v>
      </c>
      <c r="I91" s="763"/>
    </row>
    <row r="92" spans="1:9" x14ac:dyDescent="0.25">
      <c r="A92" s="759">
        <v>80</v>
      </c>
      <c r="B92" s="760">
        <v>42983</v>
      </c>
      <c r="C92" s="759">
        <v>180</v>
      </c>
      <c r="D92" s="761">
        <v>22.695</v>
      </c>
      <c r="E92" s="761">
        <v>15.41</v>
      </c>
      <c r="F92" s="761">
        <f t="shared" si="15"/>
        <v>-1311.3</v>
      </c>
      <c r="G92" s="761">
        <f t="shared" si="16"/>
        <v>4085.1</v>
      </c>
      <c r="H92" s="763">
        <f t="shared" si="17"/>
        <v>-0.32099581405595945</v>
      </c>
      <c r="I92" s="763"/>
    </row>
    <row r="93" spans="1:9" x14ac:dyDescent="0.25">
      <c r="A93" s="759">
        <v>80</v>
      </c>
      <c r="B93" s="760">
        <v>42989</v>
      </c>
      <c r="C93" s="759">
        <v>80</v>
      </c>
      <c r="D93" s="761">
        <v>27.8643</v>
      </c>
      <c r="E93" s="761">
        <v>18.5</v>
      </c>
      <c r="F93" s="761">
        <f t="shared" si="15"/>
        <v>-749.14400000000001</v>
      </c>
      <c r="G93" s="761">
        <f t="shared" si="16"/>
        <v>2229.1440000000002</v>
      </c>
      <c r="H93" s="763">
        <f t="shared" si="17"/>
        <v>-0.33606801534580089</v>
      </c>
      <c r="I93" s="763"/>
    </row>
    <row r="94" spans="1:9" x14ac:dyDescent="0.25">
      <c r="A94" s="759">
        <v>80</v>
      </c>
      <c r="B94" s="760">
        <v>42996</v>
      </c>
      <c r="C94" s="759">
        <v>180</v>
      </c>
      <c r="D94" s="761">
        <v>22.1341</v>
      </c>
      <c r="E94" s="761">
        <v>16.989999999999998</v>
      </c>
      <c r="F94" s="761">
        <f t="shared" si="15"/>
        <v>-925.93800000000033</v>
      </c>
      <c r="G94" s="761">
        <f t="shared" si="16"/>
        <v>3984.1379999999999</v>
      </c>
      <c r="H94" s="763">
        <f t="shared" si="17"/>
        <v>-0.23240610641498871</v>
      </c>
      <c r="I94" s="763"/>
    </row>
    <row r="95" spans="1:9" x14ac:dyDescent="0.25">
      <c r="A95" s="759">
        <v>0</v>
      </c>
      <c r="B95" s="760">
        <v>43010</v>
      </c>
      <c r="C95" s="759">
        <v>100</v>
      </c>
      <c r="D95" s="761">
        <v>24.8977</v>
      </c>
      <c r="E95" s="761">
        <v>18.47</v>
      </c>
      <c r="F95" s="761">
        <f t="shared" si="15"/>
        <v>-642.77000000000021</v>
      </c>
      <c r="G95" s="761">
        <f t="shared" si="16"/>
        <v>2489.77</v>
      </c>
      <c r="H95" s="763">
        <f t="shared" si="17"/>
        <v>-0.25816440876064861</v>
      </c>
      <c r="I95" s="763"/>
    </row>
    <row r="96" spans="1:9" x14ac:dyDescent="0.25">
      <c r="A96" s="759">
        <v>0</v>
      </c>
      <c r="B96" s="760">
        <v>43011</v>
      </c>
      <c r="C96" s="759">
        <v>180</v>
      </c>
      <c r="D96" s="761">
        <v>21.809799999999999</v>
      </c>
      <c r="E96" s="761">
        <v>18.82</v>
      </c>
      <c r="F96" s="761">
        <f t="shared" si="15"/>
        <v>-538.16399999999976</v>
      </c>
      <c r="G96" s="761">
        <f t="shared" si="16"/>
        <v>3925.7639999999997</v>
      </c>
      <c r="H96" s="763">
        <f t="shared" si="17"/>
        <v>-0.13708516355033054</v>
      </c>
      <c r="I96" s="761">
        <v>21.5</v>
      </c>
    </row>
    <row r="97" spans="1:9" x14ac:dyDescent="0.25">
      <c r="A97" s="759">
        <v>0</v>
      </c>
      <c r="B97" s="760">
        <v>43012</v>
      </c>
      <c r="C97" s="759">
        <v>180</v>
      </c>
      <c r="D97" s="761">
        <v>21.81</v>
      </c>
      <c r="E97" s="761">
        <v>16.079999999999998</v>
      </c>
      <c r="F97" s="761">
        <f t="shared" si="15"/>
        <v>-1031.4000000000001</v>
      </c>
      <c r="G97" s="761">
        <f t="shared" si="16"/>
        <v>3925.7999999999997</v>
      </c>
      <c r="H97" s="763">
        <f t="shared" si="17"/>
        <v>-0.2627235213204952</v>
      </c>
      <c r="I97" s="763"/>
    </row>
    <row r="98" spans="1:9" x14ac:dyDescent="0.25">
      <c r="A98" s="759">
        <v>0</v>
      </c>
      <c r="B98" s="760">
        <v>43013</v>
      </c>
      <c r="C98" s="759">
        <v>280</v>
      </c>
      <c r="D98" s="761">
        <v>19.663499999999999</v>
      </c>
      <c r="E98" s="761">
        <v>15.68</v>
      </c>
      <c r="F98" s="761">
        <f t="shared" si="15"/>
        <v>-1115.3799999999999</v>
      </c>
      <c r="G98" s="761">
        <f t="shared" si="16"/>
        <v>5505.78</v>
      </c>
      <c r="H98" s="763">
        <f t="shared" si="17"/>
        <v>-0.2025834668294047</v>
      </c>
      <c r="I98" s="761">
        <v>19.5</v>
      </c>
    </row>
    <row r="99" spans="1:9" x14ac:dyDescent="0.25">
      <c r="A99" s="759">
        <v>100</v>
      </c>
      <c r="B99" s="760">
        <v>43031</v>
      </c>
      <c r="C99" s="759">
        <v>280</v>
      </c>
      <c r="D99" s="761">
        <v>19.663499999999999</v>
      </c>
      <c r="E99" s="761">
        <v>14.54</v>
      </c>
      <c r="F99" s="761">
        <f t="shared" si="15"/>
        <v>-1434.58</v>
      </c>
      <c r="G99" s="761">
        <f t="shared" si="16"/>
        <v>5505.78</v>
      </c>
      <c r="H99" s="763">
        <f t="shared" si="17"/>
        <v>-0.26055890355226691</v>
      </c>
      <c r="I99" s="761"/>
    </row>
    <row r="100" spans="1:9" x14ac:dyDescent="0.25">
      <c r="A100" s="759"/>
      <c r="B100" s="760">
        <v>43044</v>
      </c>
      <c r="C100" s="759">
        <v>480</v>
      </c>
      <c r="D100" s="761">
        <v>16.170000000000002</v>
      </c>
      <c r="E100" s="761">
        <v>11.4</v>
      </c>
      <c r="F100" s="761">
        <f t="shared" si="15"/>
        <v>-2289.6000000000008</v>
      </c>
      <c r="G100" s="761">
        <f t="shared" si="16"/>
        <v>7761.6</v>
      </c>
      <c r="H100" s="763">
        <f t="shared" si="17"/>
        <v>-0.29499072356215217</v>
      </c>
      <c r="I100" s="763"/>
    </row>
    <row r="101" spans="1:9" x14ac:dyDescent="0.25">
      <c r="A101" s="759">
        <v>80</v>
      </c>
      <c r="B101" s="760">
        <v>43045</v>
      </c>
      <c r="C101" s="759">
        <v>280</v>
      </c>
      <c r="D101" s="761">
        <v>19.092300000000002</v>
      </c>
      <c r="E101" s="761">
        <v>12.41</v>
      </c>
      <c r="F101" s="761">
        <f t="shared" si="15"/>
        <v>-1871.0440000000003</v>
      </c>
      <c r="G101" s="761">
        <f t="shared" si="16"/>
        <v>5345.8440000000001</v>
      </c>
      <c r="H101" s="763">
        <f t="shared" si="17"/>
        <v>-0.34999973811431839</v>
      </c>
      <c r="I101" s="764" t="s">
        <v>772</v>
      </c>
    </row>
    <row r="102" spans="1:9" x14ac:dyDescent="0.25">
      <c r="A102" s="759">
        <v>0</v>
      </c>
      <c r="B102" s="760">
        <v>43070</v>
      </c>
      <c r="C102" s="759">
        <v>200</v>
      </c>
      <c r="D102" s="761">
        <v>20.621300000000002</v>
      </c>
      <c r="E102" s="761">
        <v>15.26</v>
      </c>
      <c r="F102" s="761">
        <f t="shared" si="15"/>
        <v>-1072.2600000000004</v>
      </c>
      <c r="G102" s="761">
        <f t="shared" si="16"/>
        <v>4124.26</v>
      </c>
      <c r="H102" s="763">
        <f t="shared" si="17"/>
        <v>-0.25998845853559188</v>
      </c>
      <c r="I102" s="763"/>
    </row>
    <row r="103" spans="1:9" x14ac:dyDescent="0.25">
      <c r="A103" s="759">
        <v>200</v>
      </c>
      <c r="B103" s="760">
        <v>43077</v>
      </c>
      <c r="C103" s="759">
        <v>200</v>
      </c>
      <c r="D103" s="761">
        <v>20.62</v>
      </c>
      <c r="E103" s="761">
        <v>16.059999999999999</v>
      </c>
      <c r="F103" s="761">
        <f t="shared" si="15"/>
        <v>-912.00000000000045</v>
      </c>
      <c r="G103" s="761">
        <f t="shared" si="16"/>
        <v>4124</v>
      </c>
      <c r="H103" s="763">
        <f t="shared" si="17"/>
        <v>-0.22114451988360825</v>
      </c>
      <c r="I103" s="763"/>
    </row>
    <row r="104" spans="1:9" x14ac:dyDescent="0.25">
      <c r="A104" s="759">
        <v>200</v>
      </c>
      <c r="B104" s="760">
        <v>43082</v>
      </c>
      <c r="C104" s="759">
        <v>200</v>
      </c>
      <c r="D104" s="761">
        <v>20.52</v>
      </c>
      <c r="E104" s="761">
        <v>15.7</v>
      </c>
      <c r="F104" s="761">
        <f t="shared" si="15"/>
        <v>-964</v>
      </c>
      <c r="G104" s="761">
        <f t="shared" si="16"/>
        <v>4104</v>
      </c>
      <c r="H104" s="763">
        <f t="shared" si="17"/>
        <v>-0.23489278752436649</v>
      </c>
      <c r="I104" s="763" t="s">
        <v>185</v>
      </c>
    </row>
    <row r="105" spans="1:9" x14ac:dyDescent="0.25">
      <c r="A105" s="759">
        <v>200</v>
      </c>
      <c r="B105" s="760">
        <v>43083</v>
      </c>
      <c r="C105" s="759">
        <v>200</v>
      </c>
      <c r="D105" s="761">
        <v>20.520199999999999</v>
      </c>
      <c r="E105" s="761">
        <v>19.22</v>
      </c>
      <c r="F105" s="761">
        <f t="shared" si="15"/>
        <v>-260.04000000000008</v>
      </c>
      <c r="G105" s="761">
        <f t="shared" si="16"/>
        <v>4104.04</v>
      </c>
      <c r="H105" s="763">
        <f t="shared" si="17"/>
        <v>-6.3361955536495762E-2</v>
      </c>
      <c r="I105" s="763"/>
    </row>
    <row r="106" spans="1:9" x14ac:dyDescent="0.25">
      <c r="A106" s="759">
        <v>100</v>
      </c>
      <c r="B106" s="760">
        <v>43111</v>
      </c>
      <c r="C106" s="759">
        <v>100</v>
      </c>
      <c r="D106" s="761">
        <v>19.73</v>
      </c>
      <c r="E106" s="761">
        <v>21.74</v>
      </c>
      <c r="F106" s="761">
        <f t="shared" si="15"/>
        <v>200.9999999999998</v>
      </c>
      <c r="G106" s="761">
        <f t="shared" si="16"/>
        <v>1973</v>
      </c>
      <c r="H106" s="763">
        <f t="shared" si="17"/>
        <v>0.10187531677648241</v>
      </c>
      <c r="I106" s="763"/>
    </row>
    <row r="107" spans="1:9" x14ac:dyDescent="0.25">
      <c r="A107" s="759"/>
      <c r="B107" s="760">
        <v>43112</v>
      </c>
      <c r="C107" s="759">
        <v>0</v>
      </c>
      <c r="D107" s="761"/>
      <c r="E107" s="761">
        <v>22.07</v>
      </c>
      <c r="F107" s="761">
        <v>284.97000000000003</v>
      </c>
      <c r="G107" s="761"/>
      <c r="H107" s="763"/>
      <c r="I107" s="763"/>
    </row>
    <row r="108" spans="1:9" x14ac:dyDescent="0.25">
      <c r="A108" s="759"/>
      <c r="B108" s="760"/>
      <c r="C108" s="759"/>
      <c r="D108" s="761"/>
      <c r="E108" s="761"/>
      <c r="F108" s="761"/>
      <c r="G108" s="761"/>
      <c r="H108" s="763"/>
      <c r="I108" s="763"/>
    </row>
    <row r="109" spans="1:9" x14ac:dyDescent="0.25">
      <c r="A109" s="759"/>
      <c r="B109" s="760"/>
      <c r="C109" s="759"/>
      <c r="D109" s="761"/>
      <c r="E109" s="761"/>
      <c r="F109" s="761"/>
      <c r="G109" s="761"/>
      <c r="H109" s="763"/>
      <c r="I109" s="763"/>
    </row>
    <row r="110" spans="1:9" x14ac:dyDescent="0.25">
      <c r="A110" s="759"/>
      <c r="B110" s="760"/>
      <c r="C110" s="759"/>
      <c r="D110" s="761"/>
      <c r="E110" s="761"/>
      <c r="F110" s="761"/>
      <c r="G110" s="761"/>
      <c r="H110" s="763"/>
      <c r="I110" s="763"/>
    </row>
    <row r="111" spans="1:9" x14ac:dyDescent="0.25">
      <c r="A111" s="759"/>
      <c r="B111" s="760"/>
      <c r="C111" s="759"/>
      <c r="D111" s="761"/>
      <c r="E111" s="761"/>
      <c r="F111" s="761"/>
      <c r="G111" s="761"/>
      <c r="H111" s="763"/>
      <c r="I111" s="763"/>
    </row>
    <row r="112" spans="1:9" x14ac:dyDescent="0.25">
      <c r="A112" s="759"/>
      <c r="B112" s="760"/>
      <c r="C112" s="759"/>
      <c r="D112" s="761"/>
      <c r="E112" s="761"/>
      <c r="F112" s="761"/>
      <c r="G112" s="761"/>
      <c r="H112" s="763"/>
      <c r="I112" s="763"/>
    </row>
    <row r="113" spans="1:9" x14ac:dyDescent="0.25">
      <c r="A113" s="759"/>
      <c r="B113" s="760"/>
      <c r="C113" s="759"/>
      <c r="D113" s="761"/>
      <c r="E113" s="761"/>
      <c r="F113" s="761"/>
      <c r="G113" s="761"/>
      <c r="H113" s="763"/>
      <c r="I113" s="763"/>
    </row>
    <row r="114" spans="1:9" x14ac:dyDescent="0.25">
      <c r="A114" s="759"/>
      <c r="B114" s="760"/>
      <c r="C114" s="759"/>
      <c r="D114" s="761"/>
      <c r="E114" s="761"/>
      <c r="F114" s="761"/>
      <c r="G114" s="761"/>
      <c r="H114" s="763"/>
      <c r="I114" s="763"/>
    </row>
    <row r="115" spans="1:9" x14ac:dyDescent="0.25">
      <c r="A115" s="759"/>
      <c r="B115" s="760"/>
      <c r="C115" s="759"/>
      <c r="D115" s="761"/>
      <c r="E115" s="761"/>
      <c r="F115" s="761"/>
      <c r="G115" s="761"/>
      <c r="H115" s="763"/>
      <c r="I115" s="763"/>
    </row>
    <row r="116" spans="1:9" x14ac:dyDescent="0.25">
      <c r="A116" s="759"/>
      <c r="B116" s="760"/>
      <c r="C116" s="759"/>
      <c r="D116" s="761"/>
      <c r="E116" s="761"/>
      <c r="F116" s="761"/>
      <c r="G116" s="761"/>
      <c r="H116" s="763"/>
      <c r="I116" s="763"/>
    </row>
    <row r="117" spans="1:9" x14ac:dyDescent="0.25">
      <c r="A117" s="759"/>
      <c r="B117" s="760"/>
      <c r="C117" s="759"/>
      <c r="D117" s="761"/>
      <c r="E117" s="761"/>
      <c r="F117" s="761"/>
      <c r="G117" s="761"/>
      <c r="H117" s="763"/>
      <c r="I117" s="763"/>
    </row>
    <row r="118" spans="1:9" x14ac:dyDescent="0.25">
      <c r="A118" s="759"/>
      <c r="B118" s="760"/>
      <c r="C118" s="759"/>
      <c r="D118" s="761"/>
      <c r="E118" s="761"/>
      <c r="F118" s="761"/>
      <c r="G118" s="761"/>
      <c r="H118" s="763"/>
      <c r="I118" s="763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104.34</v>
      </c>
      <c r="R4" s="477">
        <v>-6.7000000000000002E-3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520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651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652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653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540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5" t="s">
        <v>1</v>
      </c>
      <c r="B82" s="525" t="s">
        <v>2</v>
      </c>
      <c r="C82" s="525" t="s">
        <v>4</v>
      </c>
      <c r="D82" s="526" t="s">
        <v>5</v>
      </c>
      <c r="E82" s="526" t="s">
        <v>94</v>
      </c>
      <c r="F82" s="526" t="s">
        <v>60</v>
      </c>
      <c r="G82" s="525" t="s">
        <v>3</v>
      </c>
      <c r="H82" s="525" t="s">
        <v>6</v>
      </c>
      <c r="I82" s="526" t="s">
        <v>7</v>
      </c>
      <c r="J82" s="526" t="s">
        <v>95</v>
      </c>
      <c r="K82" s="526" t="s">
        <v>61</v>
      </c>
      <c r="L82" s="525" t="s">
        <v>37</v>
      </c>
      <c r="M82" s="525" t="s">
        <v>38</v>
      </c>
    </row>
    <row r="83" spans="1:13" x14ac:dyDescent="0.25">
      <c r="A83" s="527" t="s">
        <v>63</v>
      </c>
      <c r="B83" s="524">
        <v>42226</v>
      </c>
      <c r="C83" s="528">
        <v>10</v>
      </c>
      <c r="D83" s="529">
        <v>113.72</v>
      </c>
      <c r="E83" s="529">
        <v>0</v>
      </c>
      <c r="F83" s="529">
        <f t="shared" ref="F83:F92" si="12">C83*D83</f>
        <v>1137.2</v>
      </c>
      <c r="G83" s="524">
        <v>42304</v>
      </c>
      <c r="H83" s="530">
        <v>30</v>
      </c>
      <c r="I83" s="529">
        <v>111.35</v>
      </c>
      <c r="J83" s="529">
        <v>0.06</v>
      </c>
      <c r="K83" s="529">
        <f t="shared" ref="K83:K88" si="13">I83*H83-J83</f>
        <v>3340.44</v>
      </c>
      <c r="L83" s="524">
        <v>42580</v>
      </c>
      <c r="M83" s="529">
        <v>10.65</v>
      </c>
    </row>
    <row r="84" spans="1:13" x14ac:dyDescent="0.25">
      <c r="A84" s="531" t="s">
        <v>71</v>
      </c>
      <c r="B84" s="524">
        <v>42226</v>
      </c>
      <c r="C84" s="528">
        <v>5</v>
      </c>
      <c r="D84" s="529">
        <v>112.2</v>
      </c>
      <c r="E84" s="529">
        <v>0</v>
      </c>
      <c r="F84" s="529">
        <f t="shared" si="12"/>
        <v>561</v>
      </c>
      <c r="G84" s="524">
        <v>42416</v>
      </c>
      <c r="H84" s="530">
        <v>15</v>
      </c>
      <c r="I84" s="529">
        <v>92.85</v>
      </c>
      <c r="J84" s="529">
        <v>0.03</v>
      </c>
      <c r="K84" s="529">
        <f t="shared" si="13"/>
        <v>1392.72</v>
      </c>
      <c r="L84" s="528"/>
      <c r="M84" s="528"/>
    </row>
    <row r="85" spans="1:13" x14ac:dyDescent="0.25">
      <c r="A85" s="528"/>
      <c r="B85" s="524">
        <v>42226</v>
      </c>
      <c r="C85" s="528">
        <v>5</v>
      </c>
      <c r="D85" s="529">
        <v>110.93</v>
      </c>
      <c r="E85" s="529">
        <v>0</v>
      </c>
      <c r="F85" s="529">
        <f t="shared" si="12"/>
        <v>554.65000000000009</v>
      </c>
      <c r="G85" s="524">
        <v>42482</v>
      </c>
      <c r="H85" s="530">
        <v>10</v>
      </c>
      <c r="I85" s="529">
        <v>103.71</v>
      </c>
      <c r="J85" s="529">
        <v>0.02</v>
      </c>
      <c r="K85" s="529">
        <f t="shared" si="13"/>
        <v>1037.08</v>
      </c>
      <c r="L85" s="528"/>
      <c r="M85" s="528"/>
    </row>
    <row r="86" spans="1:13" x14ac:dyDescent="0.25">
      <c r="A86" s="528"/>
      <c r="B86" s="524">
        <v>42227</v>
      </c>
      <c r="C86" s="528">
        <v>10</v>
      </c>
      <c r="D86" s="529">
        <v>105</v>
      </c>
      <c r="E86" s="529">
        <v>0</v>
      </c>
      <c r="F86" s="529">
        <f t="shared" si="12"/>
        <v>1050</v>
      </c>
      <c r="G86" s="524">
        <v>42592</v>
      </c>
      <c r="H86" s="530">
        <v>15</v>
      </c>
      <c r="I86" s="529">
        <v>97.88</v>
      </c>
      <c r="J86" s="529">
        <v>0.03</v>
      </c>
      <c r="K86" s="529">
        <f t="shared" si="13"/>
        <v>1468.1699999999998</v>
      </c>
      <c r="L86" s="528"/>
      <c r="M86" s="528"/>
    </row>
    <row r="87" spans="1:13" x14ac:dyDescent="0.25">
      <c r="A87" s="528"/>
      <c r="B87" s="524">
        <v>42374</v>
      </c>
      <c r="C87" s="528">
        <v>25</v>
      </c>
      <c r="D87" s="529">
        <v>100.9</v>
      </c>
      <c r="E87" s="529">
        <v>0</v>
      </c>
      <c r="F87" s="529">
        <f t="shared" si="12"/>
        <v>2522.5</v>
      </c>
      <c r="G87" s="524">
        <v>42684</v>
      </c>
      <c r="H87" s="530">
        <v>50</v>
      </c>
      <c r="I87" s="529">
        <v>97.5</v>
      </c>
      <c r="J87" s="529">
        <v>0.11</v>
      </c>
      <c r="K87" s="529">
        <f t="shared" si="13"/>
        <v>4874.8900000000003</v>
      </c>
      <c r="L87" s="528"/>
      <c r="M87" s="528"/>
    </row>
    <row r="88" spans="1:13" x14ac:dyDescent="0.25">
      <c r="A88" s="528"/>
      <c r="B88" s="524">
        <v>42409</v>
      </c>
      <c r="C88" s="528">
        <v>15</v>
      </c>
      <c r="D88" s="529">
        <v>88.5</v>
      </c>
      <c r="E88" s="529">
        <v>0</v>
      </c>
      <c r="F88" s="529">
        <f t="shared" si="12"/>
        <v>1327.5</v>
      </c>
      <c r="G88" s="524">
        <v>42684</v>
      </c>
      <c r="H88" s="530">
        <v>20</v>
      </c>
      <c r="I88" s="529">
        <v>95.71</v>
      </c>
      <c r="J88" s="529">
        <v>0.04</v>
      </c>
      <c r="K88" s="529">
        <f t="shared" si="13"/>
        <v>1914.1599999999999</v>
      </c>
      <c r="L88" s="528"/>
      <c r="M88" s="528"/>
    </row>
    <row r="89" spans="1:13" x14ac:dyDescent="0.25">
      <c r="A89" s="528"/>
      <c r="B89" s="524">
        <v>42586</v>
      </c>
      <c r="C89" s="528">
        <v>15</v>
      </c>
      <c r="D89" s="529">
        <v>94.88</v>
      </c>
      <c r="E89" s="529">
        <v>0</v>
      </c>
      <c r="F89" s="529">
        <f t="shared" si="12"/>
        <v>1423.1999999999998</v>
      </c>
      <c r="G89" s="528"/>
      <c r="H89" s="530"/>
      <c r="I89" s="529"/>
      <c r="J89" s="529"/>
      <c r="K89" s="529"/>
      <c r="L89" s="528"/>
      <c r="M89" s="528"/>
    </row>
    <row r="90" spans="1:13" x14ac:dyDescent="0.25">
      <c r="A90" s="528"/>
      <c r="B90" s="524">
        <v>42594</v>
      </c>
      <c r="C90" s="528">
        <v>15</v>
      </c>
      <c r="D90" s="529">
        <v>96.85</v>
      </c>
      <c r="E90" s="529">
        <v>0</v>
      </c>
      <c r="F90" s="529">
        <f t="shared" si="12"/>
        <v>1452.75</v>
      </c>
      <c r="G90" s="528"/>
      <c r="H90" s="530"/>
      <c r="I90" s="529"/>
      <c r="J90" s="529"/>
      <c r="K90" s="529"/>
      <c r="L90" s="528"/>
      <c r="M90" s="528"/>
    </row>
    <row r="91" spans="1:13" x14ac:dyDescent="0.25">
      <c r="A91" s="528"/>
      <c r="B91" s="524">
        <v>42611</v>
      </c>
      <c r="C91" s="528">
        <v>25</v>
      </c>
      <c r="D91" s="529">
        <v>94.58</v>
      </c>
      <c r="E91" s="529">
        <v>0</v>
      </c>
      <c r="F91" s="529">
        <f t="shared" si="12"/>
        <v>2364.5</v>
      </c>
      <c r="G91" s="528"/>
      <c r="H91" s="528"/>
      <c r="I91" s="529"/>
      <c r="J91" s="529"/>
      <c r="K91" s="529"/>
      <c r="L91" s="528"/>
      <c r="M91" s="528"/>
    </row>
    <row r="92" spans="1:13" x14ac:dyDescent="0.25">
      <c r="A92" s="528"/>
      <c r="B92" s="524">
        <v>42622</v>
      </c>
      <c r="C92" s="528">
        <v>15</v>
      </c>
      <c r="D92" s="529">
        <v>92.5</v>
      </c>
      <c r="E92" s="529">
        <v>0</v>
      </c>
      <c r="F92" s="529">
        <f t="shared" si="12"/>
        <v>1387.5</v>
      </c>
      <c r="G92" s="528"/>
      <c r="H92" s="528"/>
      <c r="I92" s="529"/>
      <c r="J92" s="529"/>
      <c r="K92" s="529"/>
      <c r="L92" s="528"/>
      <c r="M92" s="528"/>
    </row>
    <row r="93" spans="1:13" x14ac:dyDescent="0.25">
      <c r="A93" s="528"/>
      <c r="B93" s="528"/>
      <c r="C93" s="528"/>
      <c r="D93" s="529"/>
      <c r="E93" s="529"/>
      <c r="F93" s="529"/>
      <c r="G93" s="528"/>
      <c r="H93" s="528"/>
      <c r="I93" s="529"/>
      <c r="J93" s="529"/>
      <c r="K93" s="529"/>
      <c r="L93" s="528"/>
      <c r="M93" s="528"/>
    </row>
    <row r="94" spans="1:13" x14ac:dyDescent="0.25">
      <c r="A94" s="528"/>
      <c r="B94" s="528"/>
      <c r="C94" s="528"/>
      <c r="D94" s="529"/>
      <c r="E94" s="529"/>
      <c r="F94" s="529"/>
      <c r="G94" s="528"/>
      <c r="H94" s="528"/>
      <c r="I94" s="529"/>
      <c r="J94" s="529"/>
      <c r="K94" s="529"/>
      <c r="L94" s="528"/>
      <c r="M94" s="528"/>
    </row>
    <row r="95" spans="1:13" x14ac:dyDescent="0.25">
      <c r="A95" s="528"/>
      <c r="B95" s="528"/>
      <c r="C95" s="528"/>
      <c r="D95" s="529"/>
      <c r="E95" s="529"/>
      <c r="F95" s="529"/>
      <c r="G95" s="528"/>
      <c r="H95" s="528"/>
      <c r="I95" s="529"/>
      <c r="J95" s="529"/>
      <c r="K95" s="529"/>
      <c r="L95" s="528"/>
      <c r="M95" s="528"/>
    </row>
    <row r="96" spans="1:13" x14ac:dyDescent="0.25">
      <c r="A96" s="528"/>
      <c r="B96" s="528"/>
      <c r="C96" s="528"/>
      <c r="D96" s="529"/>
      <c r="E96" s="529"/>
      <c r="F96" s="529"/>
      <c r="G96" s="528"/>
      <c r="H96" s="528"/>
      <c r="I96" s="529"/>
      <c r="J96" s="529"/>
      <c r="K96" s="529"/>
      <c r="L96" s="528"/>
      <c r="M96" s="528"/>
    </row>
    <row r="97" spans="1:13" x14ac:dyDescent="0.25">
      <c r="A97" s="528"/>
      <c r="B97" s="528"/>
      <c r="C97" s="528"/>
      <c r="D97" s="529"/>
      <c r="E97" s="529"/>
      <c r="F97" s="529"/>
      <c r="G97" s="528"/>
      <c r="H97" s="528"/>
      <c r="I97" s="529"/>
      <c r="J97" s="529"/>
      <c r="K97" s="529"/>
      <c r="L97" s="528"/>
      <c r="M97" s="528"/>
    </row>
    <row r="98" spans="1:13" x14ac:dyDescent="0.25">
      <c r="A98" s="528"/>
      <c r="B98" s="528"/>
      <c r="C98" s="528"/>
      <c r="D98" s="529"/>
      <c r="E98" s="529"/>
      <c r="F98" s="529"/>
      <c r="G98" s="528"/>
      <c r="H98" s="528"/>
      <c r="I98" s="529"/>
      <c r="J98" s="529"/>
      <c r="K98" s="529"/>
      <c r="L98" s="528"/>
      <c r="M98" s="528"/>
    </row>
    <row r="99" spans="1:13" x14ac:dyDescent="0.25">
      <c r="A99" s="532" t="s">
        <v>81</v>
      </c>
      <c r="B99" s="533"/>
      <c r="C99" s="533">
        <f>SUM(C83:C92)</f>
        <v>140</v>
      </c>
      <c r="D99" s="534"/>
      <c r="E99" s="534"/>
      <c r="F99" s="534">
        <f>SUM(F83:F92)</f>
        <v>13780.8</v>
      </c>
      <c r="G99" s="533"/>
      <c r="H99" s="535">
        <f>SUM(H83:H88)</f>
        <v>140</v>
      </c>
      <c r="I99" s="534"/>
      <c r="J99" s="534"/>
      <c r="K99" s="534">
        <f>SUM(K83:K88)</f>
        <v>14027.46</v>
      </c>
      <c r="L99" s="533"/>
      <c r="M99" s="534">
        <f>SUM(M83:M86)</f>
        <v>10.65</v>
      </c>
    </row>
    <row r="100" spans="1:13" ht="15.75" thickBot="1" x14ac:dyDescent="0.3">
      <c r="A100" s="536" t="s">
        <v>193</v>
      </c>
      <c r="B100" s="537"/>
      <c r="C100" s="538">
        <f>SumByColor($A$19,C83:C98)</f>
        <v>0</v>
      </c>
      <c r="D100" s="538"/>
      <c r="E100" s="538"/>
      <c r="F100" s="539">
        <f>SumByColor($A$19,F83:F98)</f>
        <v>0</v>
      </c>
      <c r="G100" s="538"/>
      <c r="H100" s="538">
        <f>SumByColor($A$19,H83:H98)</f>
        <v>0</v>
      </c>
      <c r="I100" s="538"/>
      <c r="J100" s="538"/>
      <c r="K100" s="539">
        <f>SumByColor($A$19,K83:K98)</f>
        <v>0</v>
      </c>
      <c r="L100" s="538"/>
      <c r="M100" s="53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689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9.2899999999999991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9.2899999999999991</v>
      </c>
      <c r="R4" s="477">
        <v>-9.5999999999999992E-3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193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3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503</v>
      </c>
      <c r="K35" s="222" t="s">
        <v>150</v>
      </c>
    </row>
    <row r="36" spans="2:21" x14ac:dyDescent="0.25">
      <c r="B36" s="186">
        <v>42629</v>
      </c>
      <c r="C36" s="230">
        <v>400</v>
      </c>
      <c r="D36" s="51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0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6">
        <v>42648</v>
      </c>
      <c r="C42" s="7">
        <v>800</v>
      </c>
      <c r="D42" s="509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09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654</v>
      </c>
    </row>
    <row r="46" spans="2:21" x14ac:dyDescent="0.25">
      <c r="B46" s="186">
        <v>42670</v>
      </c>
      <c r="C46" s="230">
        <v>400</v>
      </c>
      <c r="D46" s="510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0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655</v>
      </c>
    </row>
    <row r="47" spans="2:21" x14ac:dyDescent="0.25">
      <c r="B47" s="186">
        <v>42674</v>
      </c>
      <c r="C47" s="7">
        <v>800</v>
      </c>
      <c r="D47" s="509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09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4">
        <v>1500</v>
      </c>
      <c r="D49" s="555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427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656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525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657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557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6">
        <v>42754</v>
      </c>
      <c r="C61" s="554">
        <v>1500</v>
      </c>
      <c r="D61" s="555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400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403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449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452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465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466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4">
        <v>43133</v>
      </c>
    </row>
    <row r="2" spans="1:40" x14ac:dyDescent="0.25">
      <c r="A2" s="6" t="s">
        <v>55</v>
      </c>
      <c r="B2" s="77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7">
        <v>28.5</v>
      </c>
      <c r="O2" s="11" t="s">
        <v>57</v>
      </c>
      <c r="Q2">
        <f>C24-H24</f>
        <v>50</v>
      </c>
      <c r="T2" s="1">
        <v>43096</v>
      </c>
      <c r="U2" t="s">
        <v>818</v>
      </c>
      <c r="W2" t="s">
        <v>816</v>
      </c>
      <c r="X2" s="741" t="s">
        <v>800</v>
      </c>
      <c r="Y2" s="766">
        <v>11.5</v>
      </c>
      <c r="Z2" s="766">
        <v>11.5</v>
      </c>
      <c r="AA2" s="2">
        <v>10.6</v>
      </c>
      <c r="AB2" s="2">
        <v>9.5</v>
      </c>
      <c r="AC2" s="766">
        <v>9.83</v>
      </c>
      <c r="AD2">
        <v>11</v>
      </c>
      <c r="AE2" s="740">
        <v>9.98</v>
      </c>
      <c r="AF2" s="740">
        <v>10.199999999999999</v>
      </c>
      <c r="AG2" s="740">
        <v>10.4</v>
      </c>
      <c r="AH2" s="11"/>
      <c r="AI2" s="11"/>
      <c r="AJ2" s="11"/>
      <c r="AK2" s="742"/>
      <c r="AL2" s="742"/>
      <c r="AM2" s="742"/>
      <c r="AN2" s="74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7"/>
      <c r="O3" s="11" t="s">
        <v>58</v>
      </c>
      <c r="Q3" s="223">
        <f>(F24-K24-M24)/Q2</f>
        <v>71.080000000000013</v>
      </c>
      <c r="U3" t="s">
        <v>819</v>
      </c>
      <c r="X3" s="741" t="s">
        <v>801</v>
      </c>
      <c r="Y3" s="766">
        <v>25</v>
      </c>
      <c r="Z3" s="766">
        <v>24.6</v>
      </c>
      <c r="AA3" s="2">
        <v>23.3</v>
      </c>
      <c r="AB3" s="2">
        <v>20.6</v>
      </c>
      <c r="AC3" s="766">
        <v>23.3</v>
      </c>
      <c r="AD3">
        <v>26.3</v>
      </c>
      <c r="AE3" s="740">
        <v>24.8</v>
      </c>
      <c r="AF3" s="740">
        <v>25.5</v>
      </c>
      <c r="AG3" s="740">
        <v>26.5</v>
      </c>
      <c r="AH3" s="742"/>
      <c r="AI3" s="742"/>
      <c r="AJ3" s="742"/>
      <c r="AK3" s="742"/>
      <c r="AL3" s="742"/>
      <c r="AM3" s="740"/>
      <c r="AN3" s="740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67.599900000000005</v>
      </c>
      <c r="R4" s="477">
        <v>6.9999999999999999E-4</v>
      </c>
      <c r="U4" t="s">
        <v>820</v>
      </c>
      <c r="X4" s="741" t="s">
        <v>802</v>
      </c>
      <c r="Y4" s="766">
        <v>28.5</v>
      </c>
      <c r="Z4" s="766">
        <v>28.8</v>
      </c>
      <c r="AA4" s="2">
        <v>26.9</v>
      </c>
      <c r="AB4" s="2">
        <v>23.9</v>
      </c>
      <c r="AC4" s="766">
        <v>26.6</v>
      </c>
      <c r="AD4">
        <v>30</v>
      </c>
      <c r="AE4" s="740">
        <v>28.5</v>
      </c>
      <c r="AF4" s="740">
        <v>29.3</v>
      </c>
      <c r="AG4" s="740">
        <v>29.9</v>
      </c>
      <c r="AH4" s="770"/>
      <c r="AI4" s="740"/>
      <c r="AK4" s="740"/>
      <c r="AL4" s="740"/>
      <c r="AM4" s="740"/>
      <c r="AN4" s="740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3379.9950000000003</v>
      </c>
      <c r="T5" s="1"/>
      <c r="X5" s="741" t="s">
        <v>803</v>
      </c>
      <c r="Y5" s="766">
        <v>35.200000000000003</v>
      </c>
      <c r="Z5" s="766">
        <v>34.5</v>
      </c>
      <c r="AA5" s="2">
        <v>33.1</v>
      </c>
      <c r="AB5" s="2">
        <v>28.5</v>
      </c>
      <c r="AC5" s="766">
        <v>31.6</v>
      </c>
      <c r="AD5">
        <v>33.799999999999997</v>
      </c>
      <c r="AE5" s="775" t="s">
        <v>827</v>
      </c>
      <c r="AF5" s="740" t="s">
        <v>827</v>
      </c>
      <c r="AG5" s="740" t="s">
        <v>827</v>
      </c>
      <c r="AH5" s="770"/>
      <c r="AI5" s="740"/>
      <c r="AK5" s="740"/>
      <c r="AL5" s="740"/>
      <c r="AM5" s="740"/>
      <c r="AN5" s="740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830</v>
      </c>
      <c r="X6" s="741" t="s">
        <v>804</v>
      </c>
      <c r="Y6" s="766">
        <v>56</v>
      </c>
      <c r="Z6" s="766">
        <v>56.1</v>
      </c>
      <c r="AA6" s="2">
        <v>53.9</v>
      </c>
      <c r="AB6" s="2">
        <v>47.4</v>
      </c>
      <c r="AC6" s="766">
        <v>52.9</v>
      </c>
      <c r="AD6">
        <v>59.7</v>
      </c>
      <c r="AE6" s="740">
        <v>55.4</v>
      </c>
      <c r="AF6" s="740">
        <v>57.8</v>
      </c>
      <c r="AG6" s="740">
        <v>59.8</v>
      </c>
      <c r="AH6" s="770"/>
      <c r="AI6" s="740"/>
      <c r="AK6" s="740"/>
      <c r="AL6" s="740"/>
      <c r="AM6" s="740"/>
      <c r="AN6" s="740"/>
    </row>
    <row r="7" spans="1:40" x14ac:dyDescent="0.25">
      <c r="A7" s="609"/>
      <c r="B7" s="771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636.12499999999</v>
      </c>
      <c r="R7">
        <v>50</v>
      </c>
      <c r="X7" s="741" t="s">
        <v>805</v>
      </c>
      <c r="Y7" s="766">
        <v>156.13</v>
      </c>
      <c r="Z7" s="766">
        <v>155.49</v>
      </c>
      <c r="AA7" s="2">
        <v>147.97</v>
      </c>
      <c r="AB7" s="2">
        <v>129.78</v>
      </c>
      <c r="AC7" s="766">
        <v>144.18</v>
      </c>
      <c r="AD7">
        <v>160.76</v>
      </c>
      <c r="AE7" s="740">
        <v>118.63</v>
      </c>
      <c r="AF7" s="740">
        <v>122.86</v>
      </c>
      <c r="AG7" s="740">
        <v>126.61</v>
      </c>
      <c r="AH7" s="770"/>
      <c r="AI7" s="740"/>
      <c r="AN7" s="740"/>
    </row>
    <row r="8" spans="1:40" x14ac:dyDescent="0.25">
      <c r="A8" s="609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-174.00500000000011</v>
      </c>
      <c r="T8" s="1">
        <v>43109</v>
      </c>
      <c r="U8" t="s">
        <v>866</v>
      </c>
      <c r="X8" s="741" t="s">
        <v>817</v>
      </c>
      <c r="Z8" s="738">
        <f>(Z7-Y7)/Y7</f>
        <v>-4.0991481457758683E-3</v>
      </c>
      <c r="AA8" s="738">
        <f>(AA7-Z7)/Z7</f>
        <v>-4.8363238793491609E-2</v>
      </c>
      <c r="AB8" s="738">
        <f>(AB7-AA7)/AA7</f>
        <v>-0.12293032371426639</v>
      </c>
      <c r="AC8" s="738">
        <f>(AC7-AB7)/AB7</f>
        <v>0.1109570041608877</v>
      </c>
      <c r="AD8" s="738">
        <f>(AD7-AC7)/AC7</f>
        <v>0.11499514495769166</v>
      </c>
      <c r="AE8" s="738">
        <f>(AE7-AD7+AD5)/(AD7-AD5)</f>
        <v>-6.5611216131064895E-2</v>
      </c>
      <c r="AF8" s="738">
        <f>(AF7-AE7)/AE7</f>
        <v>3.565708505437077E-2</v>
      </c>
      <c r="AG8" s="738">
        <f>(AG7-AF7)/AF7</f>
        <v>3.052254598730262E-2</v>
      </c>
      <c r="AH8" s="770"/>
      <c r="AI8" s="740"/>
      <c r="AN8" s="740"/>
    </row>
    <row r="9" spans="1:40" x14ac:dyDescent="0.25">
      <c r="A9" s="609"/>
      <c r="B9" s="60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-4.896032639279687E-2</v>
      </c>
      <c r="U9" t="s">
        <v>886</v>
      </c>
      <c r="X9" s="741" t="s">
        <v>828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0"/>
      <c r="AI9" s="740"/>
      <c r="AJ9" s="742"/>
      <c r="AK9" s="742"/>
      <c r="AL9" s="742"/>
      <c r="AM9" s="742"/>
    </row>
    <row r="10" spans="1:40" x14ac:dyDescent="0.25">
      <c r="A10" s="609"/>
      <c r="B10" s="60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41" t="s">
        <v>829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0"/>
      <c r="AK10" s="740"/>
      <c r="AL10" s="740"/>
      <c r="AM10" s="740"/>
    </row>
    <row r="11" spans="1:40" ht="18" x14ac:dyDescent="0.25">
      <c r="A11" s="609"/>
      <c r="B11" s="609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3.0769276285911664E-2</v>
      </c>
      <c r="R11">
        <f>0.52</f>
        <v>0.52</v>
      </c>
      <c r="T11" s="1">
        <v>43112</v>
      </c>
      <c r="U11" t="s">
        <v>883</v>
      </c>
      <c r="X11" s="741" t="s">
        <v>814</v>
      </c>
      <c r="Y11" s="738">
        <f t="shared" ref="Y11:AD11" si="4">SUM(Y2:Y5)/Y7</f>
        <v>0.64177288157304813</v>
      </c>
      <c r="Z11" s="738">
        <f t="shared" si="4"/>
        <v>0.63926940639269403</v>
      </c>
      <c r="AA11" s="738">
        <f t="shared" si="4"/>
        <v>0.63458809218084755</v>
      </c>
      <c r="AB11" s="738">
        <f t="shared" si="4"/>
        <v>0.63569116967175221</v>
      </c>
      <c r="AC11" s="738">
        <f t="shared" si="4"/>
        <v>0.63344430572894994</v>
      </c>
      <c r="AD11" s="738">
        <f t="shared" si="4"/>
        <v>0.62888778303060466</v>
      </c>
      <c r="AE11" s="738">
        <f>SUM(AE2:AE5)/(AE7-AD5)</f>
        <v>0.74596251326181773</v>
      </c>
      <c r="AF11" s="738">
        <f t="shared" ref="AF11" si="5">SUM(AF2:AF5)/AF7</f>
        <v>0.52905746377991214</v>
      </c>
      <c r="AG11" s="738">
        <f>SUM(AG2:AG5)/AG7</f>
        <v>0.52760445462443728</v>
      </c>
      <c r="AH11" s="11"/>
      <c r="AI11" s="765"/>
      <c r="AJ11" s="740"/>
      <c r="AK11" s="740"/>
      <c r="AL11" s="740"/>
      <c r="AM11" s="740"/>
    </row>
    <row r="12" spans="1:40" x14ac:dyDescent="0.25">
      <c r="A12" s="609"/>
      <c r="B12" s="609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958</v>
      </c>
      <c r="X12" s="46"/>
      <c r="Y12" s="742"/>
      <c r="Z12" s="742"/>
      <c r="AB12" s="741"/>
      <c r="AC12" s="609"/>
      <c r="AD12" s="609"/>
      <c r="AE12" s="740"/>
      <c r="AJ12" s="740"/>
      <c r="AK12" s="740"/>
      <c r="AL12" s="740"/>
      <c r="AM12" s="740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Q4/6.46</f>
        <v>10.464380804953562</v>
      </c>
      <c r="T13" s="1">
        <v>43114</v>
      </c>
      <c r="U13" t="s">
        <v>887</v>
      </c>
      <c r="W13" t="s">
        <v>815</v>
      </c>
      <c r="X13" s="741" t="s">
        <v>806</v>
      </c>
      <c r="Y13" s="743">
        <v>105.2</v>
      </c>
      <c r="Z13" s="743">
        <v>99.7</v>
      </c>
      <c r="AA13" s="81">
        <v>95.1</v>
      </c>
      <c r="AB13" s="2">
        <v>78.8</v>
      </c>
      <c r="AC13" s="766">
        <v>82.2</v>
      </c>
      <c r="AD13" s="740">
        <v>89.5</v>
      </c>
      <c r="AE13" s="740">
        <v>80.099999999999994</v>
      </c>
      <c r="AF13" s="740">
        <v>83.9</v>
      </c>
      <c r="AG13" s="740">
        <v>84.4</v>
      </c>
      <c r="AJ13" s="740"/>
      <c r="AK13" s="740"/>
      <c r="AL13" s="740"/>
      <c r="AM13" s="740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885</v>
      </c>
      <c r="X14" s="741" t="s">
        <v>807</v>
      </c>
      <c r="Y14" s="743">
        <v>1.77</v>
      </c>
      <c r="Z14" s="743">
        <v>2.23</v>
      </c>
      <c r="AA14" s="81">
        <v>1.39</v>
      </c>
      <c r="AB14" s="2">
        <v>1.42</v>
      </c>
      <c r="AC14" s="766">
        <v>1.56</v>
      </c>
      <c r="AD14" s="740">
        <v>1.73</v>
      </c>
      <c r="AE14" s="740">
        <v>1.36</v>
      </c>
      <c r="AF14" s="740">
        <v>0.93</v>
      </c>
      <c r="AG14" s="740">
        <v>1.08</v>
      </c>
      <c r="AH14" s="742"/>
      <c r="AJ14" s="740"/>
      <c r="AK14" s="740"/>
      <c r="AL14" s="740"/>
      <c r="AM14" s="740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884</v>
      </c>
      <c r="X15" s="741" t="s">
        <v>808</v>
      </c>
      <c r="Y15" s="743">
        <v>50.7</v>
      </c>
      <c r="Z15" s="743">
        <v>50.6</v>
      </c>
      <c r="AA15" s="81">
        <v>47</v>
      </c>
      <c r="AB15" s="2">
        <v>39.799999999999997</v>
      </c>
      <c r="AC15" s="766">
        <v>42.3</v>
      </c>
      <c r="AD15" s="740">
        <v>47.2</v>
      </c>
      <c r="AE15" s="740">
        <v>41.6</v>
      </c>
      <c r="AF15" s="740">
        <v>45.9</v>
      </c>
      <c r="AG15" s="740">
        <v>46.6</v>
      </c>
      <c r="AH15" s="740"/>
      <c r="AI15" s="742"/>
      <c r="AJ15" s="740"/>
      <c r="AK15" s="740"/>
      <c r="AL15" s="740"/>
      <c r="AM15" s="740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1" t="s">
        <v>809</v>
      </c>
      <c r="Y16" s="743">
        <v>1.1599999999999999</v>
      </c>
      <c r="Z16" s="743">
        <v>1.06</v>
      </c>
      <c r="AA16" s="81">
        <v>0.98</v>
      </c>
      <c r="AB16" s="2">
        <v>0.88</v>
      </c>
      <c r="AC16" s="766">
        <v>0.75</v>
      </c>
      <c r="AD16" s="740">
        <v>0.83</v>
      </c>
      <c r="AE16" s="740">
        <v>0.54</v>
      </c>
      <c r="AF16" s="740">
        <v>0.61</v>
      </c>
      <c r="AG16" s="740">
        <v>0.68</v>
      </c>
      <c r="AH16" s="740"/>
      <c r="AI16" s="740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903</v>
      </c>
      <c r="X17" s="741" t="s">
        <v>810</v>
      </c>
      <c r="Y17" s="743">
        <v>1.28</v>
      </c>
      <c r="Z17" s="743">
        <v>1.1499999999999999</v>
      </c>
      <c r="AA17" s="81">
        <v>0.61</v>
      </c>
      <c r="AB17" s="2">
        <v>0.56000000000000005</v>
      </c>
      <c r="AC17" s="766">
        <v>0.76</v>
      </c>
      <c r="AD17" s="740">
        <v>0.75</v>
      </c>
      <c r="AE17" s="740">
        <v>0.45</v>
      </c>
      <c r="AF17" s="740">
        <v>0.27</v>
      </c>
      <c r="AG17" s="740">
        <v>0.56000000000000005</v>
      </c>
      <c r="AH17" s="740"/>
      <c r="AI17" s="740"/>
      <c r="AJ17" s="765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919</v>
      </c>
      <c r="X18" s="741" t="s">
        <v>811</v>
      </c>
      <c r="Y18" s="743">
        <v>13.1</v>
      </c>
      <c r="Z18" s="743">
        <v>13.1</v>
      </c>
      <c r="AA18" s="81">
        <v>11.3</v>
      </c>
      <c r="AB18" s="2">
        <v>9.99</v>
      </c>
      <c r="AC18" s="766">
        <v>8.75</v>
      </c>
      <c r="AD18" s="740">
        <v>8.01</v>
      </c>
      <c r="AE18" s="740">
        <v>7.65</v>
      </c>
      <c r="AF18" s="740">
        <v>6.94</v>
      </c>
      <c r="AG18" s="740">
        <v>6.8</v>
      </c>
      <c r="AH18" s="740"/>
      <c r="AI18" s="740"/>
      <c r="AJ18" s="740"/>
      <c r="AK18" s="740"/>
      <c r="AL18" s="740"/>
      <c r="AM18" s="740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888</v>
      </c>
      <c r="X19" s="741" t="s">
        <v>812</v>
      </c>
      <c r="Y19" s="743">
        <v>0.03</v>
      </c>
      <c r="Z19" s="743">
        <v>0.05</v>
      </c>
      <c r="AA19" s="81" t="s">
        <v>827</v>
      </c>
      <c r="AB19" s="2" t="s">
        <v>827</v>
      </c>
      <c r="AC19" s="766" t="s">
        <v>827</v>
      </c>
      <c r="AD19" s="740" t="s">
        <v>827</v>
      </c>
      <c r="AE19" s="740" t="s">
        <v>827</v>
      </c>
      <c r="AF19" s="740">
        <v>0.02</v>
      </c>
      <c r="AG19" s="740" t="s">
        <v>827</v>
      </c>
      <c r="AH19" s="740"/>
      <c r="AI19" s="740"/>
      <c r="AJ19" s="740"/>
      <c r="AK19" s="740"/>
      <c r="AL19" s="740"/>
      <c r="AM19" s="740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1" t="s">
        <v>813</v>
      </c>
      <c r="Y20" s="743">
        <v>19.600000000000001</v>
      </c>
      <c r="Z20" s="743">
        <v>19.100000000000001</v>
      </c>
      <c r="AA20" s="81">
        <v>18.100000000000001</v>
      </c>
      <c r="AB20" s="2">
        <v>15.8</v>
      </c>
      <c r="AC20" s="766">
        <v>18.2</v>
      </c>
      <c r="AD20" s="740">
        <v>21</v>
      </c>
      <c r="AE20" s="740">
        <v>19.2</v>
      </c>
      <c r="AF20" s="740">
        <v>23.3</v>
      </c>
      <c r="AG20" s="740">
        <v>24.2</v>
      </c>
      <c r="AH20" s="740"/>
      <c r="AI20" s="740"/>
      <c r="AJ20" s="740"/>
      <c r="AK20" s="740"/>
      <c r="AL20" s="740"/>
      <c r="AM20" s="740"/>
    </row>
    <row r="21" spans="1:39" x14ac:dyDescent="0.25">
      <c r="T21" s="1">
        <v>43221</v>
      </c>
      <c r="U21" t="s">
        <v>1060</v>
      </c>
      <c r="X21" s="741" t="s">
        <v>805</v>
      </c>
      <c r="Y21" s="743">
        <v>192.89</v>
      </c>
      <c r="Z21" s="743">
        <v>187</v>
      </c>
      <c r="AA21" s="81">
        <v>174.4</v>
      </c>
      <c r="AB21" s="81">
        <v>147.34</v>
      </c>
      <c r="AC21" s="766">
        <v>154.44</v>
      </c>
      <c r="AD21" s="740">
        <v>169.08</v>
      </c>
      <c r="AE21" s="740">
        <v>150.96</v>
      </c>
      <c r="AF21" s="740">
        <v>161.86000000000001</v>
      </c>
      <c r="AG21" s="740">
        <v>164.44</v>
      </c>
      <c r="AH21" s="740"/>
      <c r="AI21" s="740"/>
      <c r="AJ21" s="740"/>
      <c r="AK21" s="740"/>
      <c r="AL21" s="740"/>
      <c r="AM21" s="740"/>
    </row>
    <row r="22" spans="1:39" x14ac:dyDescent="0.25">
      <c r="U22" t="s">
        <v>1065</v>
      </c>
      <c r="X22" s="741" t="s">
        <v>817</v>
      </c>
      <c r="Y22" s="81"/>
      <c r="Z22" s="744">
        <f t="shared" ref="Z22:AF22" si="6">(Z21-Y21)/Y21</f>
        <v>-3.0535538389755749E-2</v>
      </c>
      <c r="AA22" s="744">
        <f t="shared" si="6"/>
        <v>-6.7379679144385002E-2</v>
      </c>
      <c r="AB22" s="744">
        <f t="shared" si="6"/>
        <v>-0.1551605504587156</v>
      </c>
      <c r="AC22" s="744">
        <f t="shared" si="6"/>
        <v>4.8187864802497586E-2</v>
      </c>
      <c r="AD22" s="744">
        <f t="shared" si="6"/>
        <v>9.4794094794094896E-2</v>
      </c>
      <c r="AE22" s="744">
        <f t="shared" si="6"/>
        <v>-0.10716820440028391</v>
      </c>
      <c r="AF22" s="744">
        <f t="shared" si="6"/>
        <v>7.2204557498675173E-2</v>
      </c>
      <c r="AG22" s="744">
        <f>(AG21-AE21)/AE21</f>
        <v>8.9295177530471573E-2</v>
      </c>
      <c r="AH22" s="740"/>
      <c r="AI22" s="740"/>
      <c r="AJ22" s="740"/>
      <c r="AK22" s="740"/>
      <c r="AL22" s="740"/>
      <c r="AM22" s="740"/>
    </row>
    <row r="23" spans="1:39" x14ac:dyDescent="0.25">
      <c r="C23" s="4"/>
      <c r="D23" s="3"/>
      <c r="E23" s="3"/>
      <c r="F23" s="3"/>
      <c r="H23" s="70"/>
      <c r="X23" s="741" t="s">
        <v>828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0"/>
      <c r="AI23" s="740"/>
      <c r="AJ23" s="740"/>
      <c r="AK23" s="740"/>
      <c r="AL23" s="74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1" t="s">
        <v>829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0"/>
      <c r="AJ24" s="740"/>
      <c r="AK24" s="740"/>
      <c r="AL24" s="740"/>
    </row>
    <row r="25" spans="1:39" ht="15.75" thickBot="1" x14ac:dyDescent="0.3">
      <c r="A25" s="343" t="s">
        <v>193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1" t="s">
        <v>814</v>
      </c>
      <c r="Y25" s="744">
        <f t="shared" ref="Y25:AD25" si="11">Y23/Y21</f>
        <v>0.81740888589351457</v>
      </c>
      <c r="Z25" s="744">
        <f t="shared" si="11"/>
        <v>0.81566844919786097</v>
      </c>
      <c r="AA25" s="744">
        <f t="shared" si="11"/>
        <v>0.82276376146788999</v>
      </c>
      <c r="AB25" s="744">
        <f t="shared" si="11"/>
        <v>0.81457852585855839</v>
      </c>
      <c r="AC25" s="744">
        <f t="shared" si="11"/>
        <v>0.81623931623931623</v>
      </c>
      <c r="AD25" s="744">
        <f t="shared" si="11"/>
        <v>0.81872486396971844</v>
      </c>
      <c r="AE25" s="744">
        <f t="shared" ref="AE25" si="12">AE23/AE21</f>
        <v>0.81518282988871227</v>
      </c>
      <c r="AF25" s="744">
        <f t="shared" ref="AF25" si="13">AF23/AF21</f>
        <v>0.80767329791177567</v>
      </c>
      <c r="AG25" s="74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8" t="s">
        <v>503</v>
      </c>
      <c r="K29" s="648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74.359890000000007</v>
      </c>
      <c r="Q43" s="2"/>
      <c r="T43" s="125" t="s">
        <v>97</v>
      </c>
      <c r="U43" s="96">
        <v>66.98</v>
      </c>
      <c r="V43" s="745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73.683891000000017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73.007892000000012</v>
      </c>
      <c r="Q45" s="2"/>
      <c r="T45" s="91" t="s">
        <v>99</v>
      </c>
      <c r="U45" s="86" t="s">
        <v>658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72.331893000000008</v>
      </c>
      <c r="Q46" s="2"/>
      <c r="T46" s="91" t="s">
        <v>100</v>
      </c>
      <c r="U46" s="86" t="s">
        <v>659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71.655894000000004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70.979895000000013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70.303896000000009</v>
      </c>
      <c r="Q49" s="2"/>
      <c r="T49" s="91" t="s">
        <v>103</v>
      </c>
      <c r="U49" s="86" t="s">
        <v>558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69.627897000000004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68.951898</v>
      </c>
      <c r="Q51" s="2"/>
      <c r="T51" s="91" t="s">
        <v>104</v>
      </c>
      <c r="U51" s="86" t="s">
        <v>660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68.27589900000001</v>
      </c>
      <c r="Q52" s="2"/>
      <c r="T52" s="91" t="s">
        <v>105</v>
      </c>
      <c r="U52" s="86" t="s">
        <v>417</v>
      </c>
      <c r="V52" s="86"/>
    </row>
    <row r="53" spans="1:22" x14ac:dyDescent="0.25">
      <c r="O53" s="81">
        <v>1</v>
      </c>
      <c r="P53" s="81">
        <f t="shared" si="26"/>
        <v>67.599900000000005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66.923901000000001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66.247902000000011</v>
      </c>
      <c r="Q55" s="2"/>
      <c r="T55" s="91" t="s">
        <v>107</v>
      </c>
      <c r="U55" s="86" t="s">
        <v>661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65.571903000000006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64.895904000000002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64.219904999999997</v>
      </c>
      <c r="T58" s="91" t="s">
        <v>108</v>
      </c>
      <c r="U58" s="86" t="s">
        <v>559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63.543906</v>
      </c>
    </row>
    <row r="60" spans="1:22" x14ac:dyDescent="0.25">
      <c r="A60" s="364"/>
      <c r="B60" s="698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62.86790700000001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62.191908000000005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61.515909000000008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60.839910000000003</v>
      </c>
    </row>
    <row r="64" spans="1:22" x14ac:dyDescent="0.25">
      <c r="A64" s="386" t="s">
        <v>211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7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6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6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193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699"/>
      <c r="B103" s="699"/>
      <c r="C103" s="699"/>
      <c r="D103" s="700"/>
      <c r="E103" s="700"/>
      <c r="F103" s="700"/>
      <c r="G103" s="699"/>
      <c r="H103" s="699"/>
      <c r="I103" s="699"/>
      <c r="J103" s="699"/>
      <c r="K103" s="699"/>
      <c r="L103" s="699"/>
    </row>
    <row r="104" spans="1:12" x14ac:dyDescent="0.25">
      <c r="A104" s="699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1" t="s">
        <v>503</v>
      </c>
      <c r="K104" s="701" t="s">
        <v>150</v>
      </c>
      <c r="L104" s="699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2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2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2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2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2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2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2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3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3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3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3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3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3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3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3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3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3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3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3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3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3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3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3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3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3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3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3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3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3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3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3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3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3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3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3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3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4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3" t="s">
        <v>247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3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3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3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3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3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3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3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3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3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3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3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3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3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3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3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3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3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3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3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3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3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3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3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3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303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3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3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3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3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314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3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3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3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3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3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341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3"/>
      <c r="J181" s="364"/>
      <c r="K181" s="364"/>
      <c r="L181" s="364"/>
    </row>
    <row r="182" spans="1:12" x14ac:dyDescent="0.25">
      <c r="A182" s="364" t="s">
        <v>361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376</v>
      </c>
      <c r="J182" s="364"/>
      <c r="K182" s="364"/>
      <c r="L182" s="364"/>
    </row>
    <row r="183" spans="1:12" x14ac:dyDescent="0.25">
      <c r="A183" s="364" t="s">
        <v>361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3"/>
      <c r="J183" s="364"/>
      <c r="K183" s="364"/>
      <c r="L183" s="364"/>
    </row>
    <row r="184" spans="1:12" x14ac:dyDescent="0.25">
      <c r="A184" s="364" t="s">
        <v>399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3"/>
      <c r="J184" s="364"/>
      <c r="K184" s="364"/>
      <c r="L184" s="364"/>
    </row>
    <row r="185" spans="1:12" x14ac:dyDescent="0.25">
      <c r="A185" s="364" t="s">
        <v>341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3"/>
      <c r="J185" s="364"/>
      <c r="K185" s="364"/>
      <c r="L185" s="364"/>
    </row>
    <row r="186" spans="1:12" x14ac:dyDescent="0.25">
      <c r="A186" s="364" t="s">
        <v>412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3"/>
      <c r="J186" s="364"/>
      <c r="K186" s="364"/>
      <c r="L186" s="364"/>
    </row>
    <row r="187" spans="1:12" x14ac:dyDescent="0.25">
      <c r="A187" s="364" t="s">
        <v>430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3"/>
      <c r="J187" s="364"/>
      <c r="K187" s="364"/>
      <c r="L187" s="364"/>
    </row>
    <row r="188" spans="1:12" x14ac:dyDescent="0.25">
      <c r="A188" s="364" t="s">
        <v>433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3"/>
      <c r="J188" s="364"/>
      <c r="K188" s="364"/>
      <c r="L188" s="364"/>
    </row>
    <row r="189" spans="1:12" x14ac:dyDescent="0.25">
      <c r="A189" s="364" t="s">
        <v>447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3"/>
      <c r="J189" s="364"/>
      <c r="K189" s="364"/>
      <c r="L189" s="364"/>
    </row>
    <row r="190" spans="1:12" x14ac:dyDescent="0.25">
      <c r="A190" s="364" t="s">
        <v>399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3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3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3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3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3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3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3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3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3" t="s">
        <v>717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3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3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3" t="s">
        <v>704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3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3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3"/>
      <c r="J204" s="364"/>
      <c r="K204" s="364"/>
      <c r="L204" s="364"/>
    </row>
    <row r="205" spans="1:12" x14ac:dyDescent="0.25">
      <c r="A205" s="806"/>
      <c r="B205" s="806"/>
      <c r="C205" s="806"/>
      <c r="D205" s="807"/>
      <c r="E205" s="807"/>
      <c r="F205" s="807"/>
      <c r="G205" s="807"/>
      <c r="H205" s="808"/>
      <c r="I205" s="809"/>
      <c r="J205" s="806"/>
      <c r="K205" s="806"/>
      <c r="L205" s="806"/>
    </row>
    <row r="206" spans="1:12" x14ac:dyDescent="0.25">
      <c r="A206" s="806"/>
      <c r="B206" s="806"/>
      <c r="C206" s="806"/>
      <c r="D206" s="807"/>
      <c r="E206" s="807"/>
      <c r="F206" s="807"/>
      <c r="G206" s="807"/>
      <c r="H206" s="808"/>
      <c r="I206" s="809"/>
      <c r="J206" s="806"/>
      <c r="K206" s="806"/>
      <c r="L206" s="806"/>
    </row>
    <row r="207" spans="1:12" x14ac:dyDescent="0.25">
      <c r="A207" s="806"/>
      <c r="B207" s="810">
        <v>42984</v>
      </c>
      <c r="C207" s="806">
        <v>50</v>
      </c>
      <c r="D207" s="807">
        <v>81.88</v>
      </c>
      <c r="E207" s="807">
        <v>82.66</v>
      </c>
      <c r="F207" s="807">
        <f t="shared" ref="F207:F225" si="39">C207*(E207-D207)</f>
        <v>39.000000000000057</v>
      </c>
      <c r="G207" s="807">
        <f t="shared" ref="G207:G225" si="40">D207*C207</f>
        <v>4094</v>
      </c>
      <c r="H207" s="811">
        <f t="shared" ref="H207:H225" si="41">(E207-D207)/D207</f>
        <v>9.5261358085002579E-3</v>
      </c>
      <c r="I207" s="812"/>
      <c r="J207" s="806"/>
      <c r="K207" s="806"/>
      <c r="L207" s="806"/>
    </row>
    <row r="208" spans="1:12" x14ac:dyDescent="0.25">
      <c r="A208" s="806"/>
      <c r="B208" s="810">
        <v>42988</v>
      </c>
      <c r="C208" s="806">
        <v>50</v>
      </c>
      <c r="D208" s="807">
        <v>81.88</v>
      </c>
      <c r="E208" s="807">
        <v>85.1</v>
      </c>
      <c r="F208" s="807">
        <f t="shared" si="39"/>
        <v>160.99999999999994</v>
      </c>
      <c r="G208" s="807">
        <f t="shared" si="40"/>
        <v>4094</v>
      </c>
      <c r="H208" s="811">
        <f t="shared" si="41"/>
        <v>3.9325842696629199E-2</v>
      </c>
      <c r="I208" s="809"/>
      <c r="J208" s="806"/>
      <c r="K208" s="806"/>
      <c r="L208" s="806"/>
    </row>
    <row r="209" spans="1:12" x14ac:dyDescent="0.25">
      <c r="A209" s="806"/>
      <c r="B209" s="810">
        <v>42992</v>
      </c>
      <c r="C209" s="806">
        <v>100</v>
      </c>
      <c r="D209" s="807">
        <v>81.844999999999999</v>
      </c>
      <c r="E209" s="807">
        <v>82.28</v>
      </c>
      <c r="F209" s="807">
        <f t="shared" si="39"/>
        <v>43.500000000000227</v>
      </c>
      <c r="G209" s="807">
        <f t="shared" si="40"/>
        <v>8184.5</v>
      </c>
      <c r="H209" s="811">
        <f t="shared" si="41"/>
        <v>5.3149245525078168E-3</v>
      </c>
      <c r="I209" s="809"/>
      <c r="J209" s="806"/>
      <c r="K209" s="806"/>
      <c r="L209" s="806"/>
    </row>
    <row r="210" spans="1:12" x14ac:dyDescent="0.25">
      <c r="A210" s="806">
        <v>0</v>
      </c>
      <c r="B210" s="810">
        <v>43018</v>
      </c>
      <c r="C210" s="806">
        <v>50</v>
      </c>
      <c r="D210" s="807">
        <v>80.102000000000004</v>
      </c>
      <c r="E210" s="807">
        <v>81.98</v>
      </c>
      <c r="F210" s="807">
        <f t="shared" si="39"/>
        <v>93.9</v>
      </c>
      <c r="G210" s="807">
        <f t="shared" si="40"/>
        <v>4005.1000000000004</v>
      </c>
      <c r="H210" s="811">
        <f t="shared" si="41"/>
        <v>2.3445107487952862E-2</v>
      </c>
      <c r="I210" s="807">
        <v>75.5</v>
      </c>
      <c r="J210" s="806"/>
      <c r="K210" s="807">
        <v>805.57</v>
      </c>
      <c r="L210" s="806"/>
    </row>
    <row r="211" spans="1:12" x14ac:dyDescent="0.25">
      <c r="A211" s="806">
        <v>0</v>
      </c>
      <c r="B211" s="810">
        <v>43020</v>
      </c>
      <c r="C211" s="806">
        <v>100</v>
      </c>
      <c r="D211" s="807">
        <v>80.891000000000005</v>
      </c>
      <c r="E211" s="807">
        <v>81.680000000000007</v>
      </c>
      <c r="F211" s="807">
        <f t="shared" si="39"/>
        <v>78.900000000000148</v>
      </c>
      <c r="G211" s="807">
        <f t="shared" si="40"/>
        <v>8089.1</v>
      </c>
      <c r="H211" s="808">
        <f t="shared" si="41"/>
        <v>9.7538663139286382E-3</v>
      </c>
      <c r="I211" s="807">
        <v>80</v>
      </c>
      <c r="J211" s="806"/>
      <c r="K211" s="807">
        <v>757</v>
      </c>
      <c r="L211" s="806"/>
    </row>
    <row r="212" spans="1:12" x14ac:dyDescent="0.25">
      <c r="A212" s="806">
        <v>50</v>
      </c>
      <c r="B212" s="810">
        <v>43035</v>
      </c>
      <c r="C212" s="806">
        <v>150</v>
      </c>
      <c r="D212" s="807">
        <v>78.554000000000002</v>
      </c>
      <c r="E212" s="807">
        <v>73.28</v>
      </c>
      <c r="F212" s="807">
        <f t="shared" si="39"/>
        <v>-791.10000000000014</v>
      </c>
      <c r="G212" s="807">
        <f t="shared" si="40"/>
        <v>11783.1</v>
      </c>
      <c r="H212" s="808">
        <f t="shared" si="41"/>
        <v>-6.713852891004915E-2</v>
      </c>
      <c r="I212" s="809"/>
      <c r="J212" s="806"/>
      <c r="K212" s="807">
        <v>-132</v>
      </c>
      <c r="L212" s="806"/>
    </row>
    <row r="213" spans="1:12" x14ac:dyDescent="0.25">
      <c r="A213" s="806"/>
      <c r="B213" s="810">
        <v>43035</v>
      </c>
      <c r="C213" s="806">
        <v>100</v>
      </c>
      <c r="D213" s="807">
        <v>79.691900000000004</v>
      </c>
      <c r="E213" s="807">
        <v>76.28</v>
      </c>
      <c r="F213" s="807">
        <f t="shared" si="39"/>
        <v>-341.19000000000028</v>
      </c>
      <c r="G213" s="807">
        <f t="shared" si="40"/>
        <v>7969.1900000000005</v>
      </c>
      <c r="H213" s="808">
        <f t="shared" si="41"/>
        <v>-4.2813636015705522E-2</v>
      </c>
      <c r="I213" s="813" t="s">
        <v>765</v>
      </c>
      <c r="J213" s="806"/>
      <c r="K213" s="807">
        <v>317</v>
      </c>
      <c r="L213" s="806"/>
    </row>
    <row r="214" spans="1:12" x14ac:dyDescent="0.25">
      <c r="A214" s="806"/>
      <c r="B214" s="810">
        <v>43044</v>
      </c>
      <c r="C214" s="806">
        <v>100</v>
      </c>
      <c r="D214" s="807">
        <v>79.69</v>
      </c>
      <c r="E214" s="807">
        <v>73.459999999999994</v>
      </c>
      <c r="F214" s="807">
        <f t="shared" si="39"/>
        <v>-623.00000000000045</v>
      </c>
      <c r="G214" s="807">
        <f t="shared" si="40"/>
        <v>7969</v>
      </c>
      <c r="H214" s="808">
        <f t="shared" si="41"/>
        <v>-7.8177939515623088E-2</v>
      </c>
      <c r="I214" s="809"/>
      <c r="J214" s="806">
        <v>23.71</v>
      </c>
      <c r="K214" s="807">
        <v>35</v>
      </c>
      <c r="L214" s="806"/>
    </row>
    <row r="215" spans="1:12" x14ac:dyDescent="0.25">
      <c r="A215" s="814">
        <v>50</v>
      </c>
      <c r="B215" s="810">
        <v>43053</v>
      </c>
      <c r="C215" s="806">
        <v>150</v>
      </c>
      <c r="D215" s="807">
        <v>76.989999999999995</v>
      </c>
      <c r="E215" s="807">
        <v>71.150000000000006</v>
      </c>
      <c r="F215" s="807">
        <f t="shared" si="39"/>
        <v>-875.99999999999841</v>
      </c>
      <c r="G215" s="807">
        <f t="shared" si="40"/>
        <v>11548.5</v>
      </c>
      <c r="H215" s="808">
        <f t="shared" si="41"/>
        <v>-7.5854007013897773E-2</v>
      </c>
      <c r="I215" s="807">
        <v>76.5</v>
      </c>
      <c r="J215" s="806"/>
      <c r="K215" s="807">
        <v>-217</v>
      </c>
      <c r="L215" s="806"/>
    </row>
    <row r="216" spans="1:12" x14ac:dyDescent="0.25">
      <c r="A216" s="814">
        <v>50</v>
      </c>
      <c r="B216" s="810">
        <v>43068</v>
      </c>
      <c r="C216" s="806">
        <v>100</v>
      </c>
      <c r="D216" s="807">
        <v>78.392799999999994</v>
      </c>
      <c r="E216" s="807">
        <v>73.67</v>
      </c>
      <c r="F216" s="807">
        <f t="shared" si="39"/>
        <v>-472.27999999999923</v>
      </c>
      <c r="G216" s="807">
        <f t="shared" si="40"/>
        <v>7839.28</v>
      </c>
      <c r="H216" s="808">
        <f t="shared" si="41"/>
        <v>-6.0245328652631269E-2</v>
      </c>
      <c r="I216" s="813" t="s">
        <v>775</v>
      </c>
      <c r="J216" s="806"/>
      <c r="K216" s="807">
        <v>186</v>
      </c>
      <c r="L216" s="806"/>
    </row>
    <row r="217" spans="1:12" x14ac:dyDescent="0.25">
      <c r="A217" s="814">
        <v>100</v>
      </c>
      <c r="B217" s="810">
        <v>43090</v>
      </c>
      <c r="C217" s="806">
        <v>150</v>
      </c>
      <c r="D217" s="807">
        <v>76.688500000000005</v>
      </c>
      <c r="E217" s="807">
        <v>73.02</v>
      </c>
      <c r="F217" s="807">
        <f t="shared" si="39"/>
        <v>-550.27500000000134</v>
      </c>
      <c r="G217" s="807">
        <f t="shared" si="40"/>
        <v>11503.275000000001</v>
      </c>
      <c r="H217" s="808">
        <f t="shared" si="41"/>
        <v>-4.7836377031758456E-2</v>
      </c>
      <c r="I217" s="809"/>
      <c r="J217" s="806">
        <v>43.77</v>
      </c>
      <c r="K217" s="807">
        <v>108</v>
      </c>
      <c r="L217" s="806"/>
    </row>
    <row r="218" spans="1:12" x14ac:dyDescent="0.25">
      <c r="A218" s="814">
        <v>100</v>
      </c>
      <c r="B218" s="810">
        <v>43098</v>
      </c>
      <c r="C218" s="806">
        <v>150</v>
      </c>
      <c r="D218" s="807">
        <v>76.341999999999999</v>
      </c>
      <c r="E218" s="807">
        <v>72</v>
      </c>
      <c r="F218" s="807">
        <f t="shared" si="39"/>
        <v>-651.29999999999984</v>
      </c>
      <c r="G218" s="807">
        <f t="shared" si="40"/>
        <v>11451.3</v>
      </c>
      <c r="H218" s="808">
        <f t="shared" si="41"/>
        <v>-5.6875638573786365E-2</v>
      </c>
      <c r="I218" s="809" t="s">
        <v>831</v>
      </c>
      <c r="J218" s="806"/>
      <c r="K218" s="807">
        <v>7</v>
      </c>
      <c r="L218" s="806"/>
    </row>
    <row r="219" spans="1:12" x14ac:dyDescent="0.25">
      <c r="A219" s="814">
        <v>100</v>
      </c>
      <c r="B219" s="810">
        <v>43098</v>
      </c>
      <c r="C219" s="806">
        <v>200</v>
      </c>
      <c r="D219" s="807">
        <v>75.17</v>
      </c>
      <c r="E219" s="807">
        <v>71.64</v>
      </c>
      <c r="F219" s="807">
        <f t="shared" si="39"/>
        <v>-706.00000000000023</v>
      </c>
      <c r="G219" s="807">
        <f t="shared" si="40"/>
        <v>15034</v>
      </c>
      <c r="H219" s="808">
        <f t="shared" si="41"/>
        <v>-4.6960223493414943E-2</v>
      </c>
      <c r="I219" s="813">
        <v>75</v>
      </c>
      <c r="J219" s="806"/>
      <c r="K219" s="807">
        <v>-47</v>
      </c>
      <c r="L219" s="806"/>
    </row>
    <row r="220" spans="1:12" x14ac:dyDescent="0.25">
      <c r="A220" s="814">
        <v>50</v>
      </c>
      <c r="B220" s="810">
        <v>43102</v>
      </c>
      <c r="C220" s="806">
        <v>150</v>
      </c>
      <c r="D220" s="807">
        <v>75.698999999999998</v>
      </c>
      <c r="E220" s="807">
        <v>74.099999999999994</v>
      </c>
      <c r="F220" s="807">
        <f t="shared" si="39"/>
        <v>-239.85000000000056</v>
      </c>
      <c r="G220" s="807">
        <f t="shared" si="40"/>
        <v>11354.85</v>
      </c>
      <c r="H220" s="811">
        <f t="shared" si="41"/>
        <v>-2.1123132405976353E-2</v>
      </c>
      <c r="I220" s="813" t="s">
        <v>836</v>
      </c>
      <c r="J220" s="806"/>
      <c r="K220" s="807">
        <v>419</v>
      </c>
      <c r="L220" s="806"/>
    </row>
    <row r="221" spans="1:12" x14ac:dyDescent="0.25">
      <c r="A221" s="814">
        <v>0</v>
      </c>
      <c r="B221" s="810">
        <v>43105</v>
      </c>
      <c r="C221" s="806">
        <v>100</v>
      </c>
      <c r="D221" s="807">
        <v>76.293999999999997</v>
      </c>
      <c r="E221" s="807">
        <v>74.52</v>
      </c>
      <c r="F221" s="807">
        <f t="shared" si="39"/>
        <v>-177.40000000000009</v>
      </c>
      <c r="G221" s="807">
        <f t="shared" si="40"/>
        <v>7629.4</v>
      </c>
      <c r="H221" s="808">
        <f t="shared" si="41"/>
        <v>-2.3252156132854498E-2</v>
      </c>
      <c r="I221" s="813" t="s">
        <v>863</v>
      </c>
      <c r="J221" s="806"/>
      <c r="K221" s="807">
        <v>481</v>
      </c>
      <c r="L221" s="806"/>
    </row>
    <row r="222" spans="1:12" x14ac:dyDescent="0.25">
      <c r="A222" s="814">
        <v>0</v>
      </c>
      <c r="B222" s="810">
        <v>43109</v>
      </c>
      <c r="C222" s="806">
        <v>100</v>
      </c>
      <c r="D222" s="807">
        <v>76.290000000000006</v>
      </c>
      <c r="E222" s="807">
        <v>78.099999999999994</v>
      </c>
      <c r="F222" s="807">
        <f t="shared" si="39"/>
        <v>180.99999999999881</v>
      </c>
      <c r="G222" s="807">
        <f t="shared" si="40"/>
        <v>7629.0000000000009</v>
      </c>
      <c r="H222" s="808">
        <f t="shared" si="41"/>
        <v>2.3725258880587075E-2</v>
      </c>
      <c r="I222" s="809"/>
      <c r="J222" s="806"/>
      <c r="K222" s="807">
        <v>839</v>
      </c>
      <c r="L222" s="806"/>
    </row>
    <row r="223" spans="1:12" x14ac:dyDescent="0.25">
      <c r="A223" s="814">
        <v>0</v>
      </c>
      <c r="B223" s="810">
        <v>43110</v>
      </c>
      <c r="C223" s="806">
        <v>100</v>
      </c>
      <c r="D223" s="807">
        <v>76.290000000000006</v>
      </c>
      <c r="E223" s="807">
        <v>78.709999999999994</v>
      </c>
      <c r="F223" s="807">
        <f t="shared" si="39"/>
        <v>241.99999999999875</v>
      </c>
      <c r="G223" s="807">
        <f t="shared" si="40"/>
        <v>7629.0000000000009</v>
      </c>
      <c r="H223" s="808">
        <f t="shared" si="41"/>
        <v>3.1721064359680001E-2</v>
      </c>
      <c r="I223" s="813">
        <v>76</v>
      </c>
      <c r="J223" s="813">
        <v>67.739999999999995</v>
      </c>
      <c r="K223" s="807">
        <v>900.23</v>
      </c>
      <c r="L223" s="806"/>
    </row>
    <row r="224" spans="1:12" x14ac:dyDescent="0.25">
      <c r="A224" s="814">
        <v>0</v>
      </c>
      <c r="B224" s="810">
        <v>43117</v>
      </c>
      <c r="C224" s="806">
        <v>100</v>
      </c>
      <c r="D224" s="807">
        <v>76.290000000000006</v>
      </c>
      <c r="E224" s="807">
        <v>81.739999999999995</v>
      </c>
      <c r="F224" s="807">
        <f t="shared" si="39"/>
        <v>544.99999999999886</v>
      </c>
      <c r="G224" s="807">
        <f t="shared" si="40"/>
        <v>7629.0000000000009</v>
      </c>
      <c r="H224" s="808">
        <f t="shared" si="41"/>
        <v>7.143793419845311E-2</v>
      </c>
      <c r="I224" s="813">
        <v>76</v>
      </c>
      <c r="J224" s="813"/>
      <c r="K224" s="807">
        <v>1203</v>
      </c>
      <c r="L224" s="806"/>
    </row>
    <row r="225" spans="1:12" x14ac:dyDescent="0.25">
      <c r="A225" s="814">
        <v>0</v>
      </c>
      <c r="B225" s="810">
        <v>43126</v>
      </c>
      <c r="C225" s="806">
        <v>50</v>
      </c>
      <c r="D225" s="807">
        <v>68.62</v>
      </c>
      <c r="E225" s="807">
        <v>83.97</v>
      </c>
      <c r="F225" s="807">
        <f t="shared" si="39"/>
        <v>767.49999999999977</v>
      </c>
      <c r="G225" s="807">
        <f t="shared" si="40"/>
        <v>3431</v>
      </c>
      <c r="H225" s="808">
        <f t="shared" si="41"/>
        <v>0.22369571553482939</v>
      </c>
      <c r="I225" s="809"/>
      <c r="J225" s="806"/>
      <c r="K225" s="807">
        <v>1426</v>
      </c>
      <c r="L225" s="806"/>
    </row>
    <row r="226" spans="1:12" x14ac:dyDescent="0.25">
      <c r="A226" s="806"/>
      <c r="B226" s="806"/>
      <c r="C226" s="806"/>
      <c r="D226" s="807"/>
      <c r="E226" s="807"/>
      <c r="F226" s="807"/>
      <c r="G226" s="806"/>
      <c r="H226" s="806"/>
      <c r="I226" s="806"/>
      <c r="J226" s="806"/>
      <c r="K226" s="806"/>
      <c r="L226" s="806"/>
    </row>
    <row r="227" spans="1:12" x14ac:dyDescent="0.25">
      <c r="A227" s="806"/>
      <c r="B227" s="806"/>
      <c r="C227" s="806"/>
      <c r="D227" s="807"/>
      <c r="E227" s="807"/>
      <c r="F227" s="807"/>
      <c r="G227" s="806"/>
      <c r="H227" s="806"/>
      <c r="I227" s="806"/>
      <c r="J227" s="806"/>
      <c r="K227" s="806"/>
      <c r="L227" s="806"/>
    </row>
    <row r="228" spans="1:12" x14ac:dyDescent="0.25">
      <c r="A228" s="806"/>
      <c r="B228" s="806"/>
      <c r="C228" s="806"/>
      <c r="D228" s="807"/>
      <c r="E228" s="807"/>
      <c r="F228" s="807"/>
      <c r="G228" s="806"/>
      <c r="H228" s="806"/>
      <c r="I228" s="806"/>
      <c r="J228" s="806"/>
      <c r="K228" s="806"/>
      <c r="L228" s="806"/>
    </row>
    <row r="229" spans="1:12" x14ac:dyDescent="0.25">
      <c r="A229" s="806"/>
      <c r="B229" s="806"/>
      <c r="C229" s="806"/>
      <c r="D229" s="807"/>
      <c r="E229" s="807"/>
      <c r="F229" s="807"/>
      <c r="G229" s="806"/>
      <c r="H229" s="806"/>
      <c r="I229" s="806"/>
      <c r="J229" s="806"/>
      <c r="K229" s="806"/>
      <c r="L229" s="806"/>
    </row>
    <row r="230" spans="1:12" x14ac:dyDescent="0.25">
      <c r="A230" s="806"/>
      <c r="B230" s="806"/>
      <c r="C230" s="806"/>
      <c r="D230" s="807"/>
      <c r="E230" s="807"/>
      <c r="F230" s="807"/>
      <c r="G230" s="806"/>
      <c r="H230" s="806"/>
      <c r="I230" s="806"/>
      <c r="J230" s="806"/>
      <c r="K230" s="806"/>
      <c r="L230" s="806"/>
    </row>
    <row r="231" spans="1:12" x14ac:dyDescent="0.25">
      <c r="A231" s="806"/>
      <c r="B231" s="806"/>
      <c r="C231" s="806"/>
      <c r="D231" s="807"/>
      <c r="E231" s="807"/>
      <c r="F231" s="807"/>
      <c r="G231" s="806"/>
      <c r="H231" s="806"/>
      <c r="I231" s="806"/>
      <c r="J231" s="806"/>
      <c r="K231" s="806"/>
      <c r="L231" s="806"/>
    </row>
    <row r="232" spans="1:12" x14ac:dyDescent="0.25">
      <c r="A232" s="806"/>
      <c r="B232" s="806"/>
      <c r="C232" s="806"/>
      <c r="D232" s="807"/>
      <c r="E232" s="807"/>
      <c r="F232" s="807"/>
      <c r="G232" s="806"/>
      <c r="H232" s="806"/>
      <c r="I232" s="806"/>
      <c r="J232" s="806"/>
      <c r="K232" s="806"/>
      <c r="L232" s="806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7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439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662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663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664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665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7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1001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42.809899999999999</v>
      </c>
      <c r="R4" s="477">
        <v>-5.5999999999999999E-3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6421.4849999999997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-1381.5249999999996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-1431.4749999999995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4">
        <f>IF(Q2=0, 0, Q8/Q6)</f>
        <v>-0.18228476905523514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4.5783802344784734E-2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958</v>
      </c>
      <c r="Q12" s="1" t="s">
        <v>1109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986</v>
      </c>
      <c r="Q13">
        <f>Q4/3.08</f>
        <v>13.899318181818181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47.090890000000002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46.662791000000006</v>
      </c>
    </row>
    <row r="20" spans="1:16" x14ac:dyDescent="0.25">
      <c r="H20" s="70"/>
      <c r="O20" s="81">
        <v>1.08</v>
      </c>
      <c r="P20" s="81">
        <f t="shared" si="2"/>
        <v>46.234692000000003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45.806592999999999</v>
      </c>
    </row>
    <row r="22" spans="1:16" ht="15.75" thickBot="1" x14ac:dyDescent="0.3">
      <c r="A22" s="343" t="s">
        <v>193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45.378494000000003</v>
      </c>
    </row>
    <row r="23" spans="1:16" x14ac:dyDescent="0.25">
      <c r="O23" s="81">
        <v>1.05</v>
      </c>
      <c r="P23" s="81">
        <f t="shared" si="2"/>
        <v>44.950395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1">
        <v>1.04</v>
      </c>
      <c r="P24" s="81">
        <f t="shared" si="2"/>
        <v>44.522295999999997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44.094197000000001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43.666097999999998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43.237999000000002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42.809899999999999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42.381800999999996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41.953702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41.525602999999997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41.097504000000001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40.669404999999998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40.241305999999994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39.813206999999998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39.385108000000002</v>
      </c>
    </row>
    <row r="37" spans="1:17" x14ac:dyDescent="0.25">
      <c r="A37" t="s">
        <v>348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38.957008999999999</v>
      </c>
    </row>
    <row r="38" spans="1:17" x14ac:dyDescent="0.25">
      <c r="A38" t="s">
        <v>437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38.528910000000003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763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777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969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7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6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6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41.747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560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211.01</v>
      </c>
      <c r="R4" s="477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2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2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2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2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9" t="s">
        <v>78</v>
      </c>
      <c r="P45" s="849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7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7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7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7">
        <v>42767</v>
      </c>
      <c r="H47" s="515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7"/>
      <c r="C48" s="499"/>
      <c r="D48" s="501"/>
      <c r="E48" s="501"/>
      <c r="F48" s="501"/>
      <c r="G48" s="547">
        <v>42803</v>
      </c>
      <c r="H48" s="515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227.89080000000001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7"/>
      <c r="C49" s="499"/>
      <c r="D49" s="501"/>
      <c r="E49" s="501"/>
      <c r="F49" s="501"/>
      <c r="G49" s="547"/>
      <c r="H49" s="515"/>
      <c r="I49" s="501"/>
      <c r="J49" s="501"/>
      <c r="K49" s="499"/>
      <c r="L49" s="499"/>
      <c r="M49" s="499"/>
      <c r="O49" s="81">
        <v>1.07</v>
      </c>
      <c r="P49" s="81">
        <f t="shared" si="0"/>
        <v>225.7807</v>
      </c>
      <c r="Q49" s="2"/>
      <c r="T49" s="91" t="s">
        <v>103</v>
      </c>
      <c r="U49" s="418" t="s">
        <v>561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2"/>
      <c r="C50" s="364"/>
      <c r="D50" s="365"/>
      <c r="E50" s="365"/>
      <c r="F50" s="365"/>
      <c r="G50" s="622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223.67060000000001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2"/>
      <c r="C51" s="364"/>
      <c r="D51" s="365"/>
      <c r="E51" s="365"/>
      <c r="F51" s="365"/>
      <c r="G51" s="622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221.56049999999999</v>
      </c>
      <c r="Q51" s="2"/>
      <c r="T51" s="91" t="s">
        <v>104</v>
      </c>
      <c r="U51" s="418" t="s">
        <v>668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2"/>
      <c r="C52" s="364"/>
      <c r="D52" s="365"/>
      <c r="E52" s="365"/>
      <c r="F52" s="365"/>
      <c r="G52" s="622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219.4504</v>
      </c>
      <c r="Q52" s="2"/>
      <c r="T52" s="91" t="s">
        <v>105</v>
      </c>
      <c r="U52" s="418" t="s">
        <v>533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2"/>
      <c r="C53" s="364"/>
      <c r="D53" s="364"/>
      <c r="E53" s="365"/>
      <c r="F53" s="364"/>
      <c r="G53" s="622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217.34029999999998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213.12009999999998</v>
      </c>
      <c r="Q55" s="2"/>
      <c r="T55" s="91" t="s">
        <v>107</v>
      </c>
      <c r="U55" s="418" t="s">
        <v>669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8" t="s">
        <v>526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49.45</v>
      </c>
      <c r="R4" s="477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54.39500000000001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53.406000000000006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52.911500000000004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51.922500000000007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8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8" t="s">
        <v>670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8" t="s">
        <v>451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8" t="s">
        <v>671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8" t="s">
        <v>562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7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242.96</v>
      </c>
      <c r="R4" s="477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2018-05-18T03:50:31Z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