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0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1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2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2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3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4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5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6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7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8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omments3.xml" ContentType="application/vnd.openxmlformats-officedocument.spreadsheetml.comment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9.xml" ContentType="application/vnd.openxmlformats-officedocument.drawing+xml"/>
  <Override PartName="/xl/queryTables/queryTable6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0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1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2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3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4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5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6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7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8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9.xml" ContentType="application/vnd.openxmlformats-officedocument.drawing+xml"/>
  <Override PartName="/xl/queryTables/queryTable83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1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2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3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4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5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6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7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8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9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1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AAP" sheetId="77" state="hidden" r:id="rId23"/>
    <sheet name="CPN" sheetId="7" r:id="rId24"/>
    <sheet name="EW" sheetId="72" state="hidden" r:id="rId25"/>
    <sheet name="NKE" sheetId="50" r:id="rId26"/>
    <sheet name="MOS" sheetId="58" state="hidden" r:id="rId27"/>
    <sheet name="VGK" sheetId="59" state="hidden" r:id="rId28"/>
    <sheet name="MU" sheetId="17" state="hidden" r:id="rId29"/>
    <sheet name="IP" sheetId="44" state="hidden" r:id="rId30"/>
    <sheet name="INTC" sheetId="13" state="hidden" r:id="rId31"/>
    <sheet name="HES" sheetId="10" state="hidden" r:id="rId32"/>
    <sheet name="UNP" sheetId="20" state="hidden" r:id="rId33"/>
    <sheet name="NCLH" sheetId="67" state="hidden" r:id="rId34"/>
    <sheet name="SPY" sheetId="47" state="hidden" r:id="rId35"/>
    <sheet name="SWKS" sheetId="41" state="hidden" r:id="rId36"/>
    <sheet name="CNI" sheetId="42" state="hidden" r:id="rId37"/>
    <sheet name="WFC" sheetId="45" r:id="rId38"/>
    <sheet name="AA" sheetId="3" r:id="rId39"/>
    <sheet name="CF" sheetId="61" state="hidden" r:id="rId40"/>
    <sheet name="TGT" sheetId="75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state="hidden" r:id="rId52"/>
    <sheet name="GILD" sheetId="31" state="hidden" r:id="rId53"/>
    <sheet name="WWD" sheetId="28" state="hidden" r:id="rId54"/>
    <sheet name="GIS" sheetId="43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8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3">ALL!$X$1:$AD$69</definedName>
    <definedName name="hp?s_AVGO" localSheetId="45">AVGO!$W$1:$AC$69</definedName>
    <definedName name="hp?s_AXP_Historical_Prices" localSheetId="7">AXP!$W$1:$AC$70</definedName>
    <definedName name="hp?s_BIIB" localSheetId="3">BIIB!$W$1:$AC$68</definedName>
    <definedName name="hp?s_CAH" localSheetId="47">CAH!$W$1:$AC$69</definedName>
    <definedName name="hp?s_cce" localSheetId="13">CCE!$W$1:$AC$68</definedName>
    <definedName name="hp?s_CNI" localSheetId="36">CNI!$W$1:$AC$69</definedName>
    <definedName name="hp?s_CPN_Historical_Prices" localSheetId="23">CPN!$W$1:$AC$68</definedName>
    <definedName name="hp?s_cvs" localSheetId="17">CVS!$W$1:$AC$69</definedName>
    <definedName name="hp?s_DAL" localSheetId="48">DAL!$W$1:$AC$69</definedName>
    <definedName name="hp?s_dg" localSheetId="22">AAP!$W$1:$AC$68</definedName>
    <definedName name="hp?s_dg" localSheetId="8">DG!$W$1:$AC$68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4">EW!$W$1:$AC$68</definedName>
    <definedName name="hp?s_foxa" localSheetId="10">FOXA!$W$1:$AC$69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1">HES!$W$1:$AC$69</definedName>
    <definedName name="hp?s_INTC_Historical_Prices" localSheetId="30">INTC!$W$1:$AC$69</definedName>
    <definedName name="hp?s_IP" localSheetId="29">IP!$W$1:$AC$69</definedName>
    <definedName name="hp?s_jnj" localSheetId="21">JNJ!$W$1:$AC$69</definedName>
    <definedName name="hp?s_KORS" localSheetId="42">KORS!$W$1:$AC$68</definedName>
    <definedName name="hp?s_KR" localSheetId="19">KR!$W$1:$AC$69</definedName>
    <definedName name="hp?s_LUV" localSheetId="12">LUV!$W$1:$AC$69</definedName>
    <definedName name="hp?s_MOS_Historical_Prices" localSheetId="26">MOS!$W$1:$AC$69</definedName>
    <definedName name="hp?s_MYL" localSheetId="4">MYL!$W$1:$AC$68</definedName>
    <definedName name="hp?s_nclh" localSheetId="33">NCLH!$W$1:$AC$68</definedName>
    <definedName name="hp?s_nke" localSheetId="25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4">SPY!$W$1:$AC$69</definedName>
    <definedName name="hp?s_SWKS" localSheetId="35">SWKS!$W$1:$AC$69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2">UNP!$W$1:$AC$69</definedName>
    <definedName name="hp?s_UTX" localSheetId="58">UTX!$W$1:$AC$69</definedName>
    <definedName name="hp?s_vgk" localSheetId="27">VGK!$W$1:$AC$69</definedName>
    <definedName name="hp?s_WFC" localSheetId="37">WFC!$W$1:$AC$69</definedName>
    <definedName name="hp?s_WWD" localSheetId="53">WWD!$W$1:$AC$69</definedName>
    <definedName name="PL" localSheetId="38">AA!$Q$7</definedName>
    <definedName name="PL" localSheetId="22">#REF!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7">#REF!</definedName>
    <definedName name="PL" localSheetId="8">#REF!</definedName>
    <definedName name="PL" localSheetId="24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6">#REF!</definedName>
    <definedName name="PL" localSheetId="4">#REF!</definedName>
    <definedName name="PL" localSheetId="33">NCLH!$Q$7</definedName>
    <definedName name="PL" localSheetId="25">#REF!</definedName>
    <definedName name="PL" localSheetId="9">PINC!$Q$7</definedName>
    <definedName name="PL" localSheetId="34">SPY!$Q$7</definedName>
    <definedName name="PL" localSheetId="35">SWKS!$Q$7</definedName>
    <definedName name="PL" localSheetId="40">#REF!</definedName>
    <definedName name="PL" localSheetId="46">#REF!</definedName>
    <definedName name="PL" localSheetId="27">#REF!</definedName>
    <definedName name="PL" localSheetId="37">WFC!$Q$7</definedName>
    <definedName name="q?s_aa_ql_1" localSheetId="38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6">CNI!$T$43:$U$58</definedName>
    <definedName name="q?s_CPN" localSheetId="23">CPN!$T$43:$U$58</definedName>
    <definedName name="q?s_cvs" localSheetId="17">CVS!$T$43:$U$58</definedName>
    <definedName name="q?s_DAL" localSheetId="48">DAL!$T$43:$U$58</definedName>
    <definedName name="q?s_dg" localSheetId="22">AAP!$T$43:$U$58</definedName>
    <definedName name="q?s_dg" localSheetId="8">DG!$T$43:$U$58</definedName>
    <definedName name="q?s_DIS" localSheetId="50">DIS!$T$43:$U$58</definedName>
    <definedName name="q?s_ew" localSheetId="24">EW!$T$43:$U$58</definedName>
    <definedName name="q?s_F" localSheetId="20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1">HES!$T$43:$U$58</definedName>
    <definedName name="q?s_INTC" localSheetId="30">INTC!$T$43:$U$58</definedName>
    <definedName name="q?s_IP" localSheetId="29">IP!$T$43:$U$58</definedName>
    <definedName name="q?s_JNJ" localSheetId="21">JNJ!$T$43:$U$58</definedName>
    <definedName name="q?s_KORS" localSheetId="42">KORS!$T$43:$U$58</definedName>
    <definedName name="q?s_KR" localSheetId="19">KR!$T$43:$U$58</definedName>
    <definedName name="q?s_luv_ql_1" localSheetId="12">LUV!$T$43:$U$58</definedName>
    <definedName name="q?s_MOS" localSheetId="26">MOS!$T$43:$U$58</definedName>
    <definedName name="q?s_MU" localSheetId="28">MU!#REF!</definedName>
    <definedName name="q?s_MYL" localSheetId="4">MYL!$T$43:$U$58</definedName>
    <definedName name="q?s_nclh" localSheetId="33">NCLH!$T$40:$U$55</definedName>
    <definedName name="q?s_NKE" localSheetId="25">NKE!$T$43:$U$58</definedName>
    <definedName name="q?s_nsc" localSheetId="44">NSC!$T$43:$U$58</definedName>
    <definedName name="q?s_NSC" localSheetId="32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4">SPY!$T$40:$U$53</definedName>
    <definedName name="q?s_SWKS" localSheetId="35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7">VGK!$T$43:$U$56</definedName>
    <definedName name="q?s_WFC" localSheetId="37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3" i="35" l="1"/>
  <c r="N55" i="35"/>
  <c r="N50" i="35"/>
  <c r="N51" i="35"/>
  <c r="N28" i="35"/>
  <c r="N27" i="35"/>
  <c r="N58" i="35"/>
  <c r="N26" i="35"/>
  <c r="N25" i="35"/>
  <c r="N21" i="35"/>
  <c r="N48" i="35"/>
  <c r="N19" i="35"/>
  <c r="N13" i="35"/>
  <c r="N52" i="35"/>
  <c r="N9" i="35"/>
  <c r="N42" i="35"/>
  <c r="N6" i="35"/>
  <c r="N33" i="35"/>
  <c r="N43" i="35"/>
  <c r="N49" i="35"/>
  <c r="N15" i="35"/>
  <c r="N2" i="35"/>
  <c r="N57" i="35"/>
  <c r="N16" i="35"/>
  <c r="N47" i="35"/>
  <c r="N46" i="35"/>
  <c r="N40" i="35"/>
  <c r="N54" i="35"/>
  <c r="N29" i="35"/>
  <c r="N30" i="35"/>
  <c r="N31" i="35"/>
  <c r="N38" i="35"/>
  <c r="N56" i="35"/>
  <c r="N36" i="35"/>
  <c r="N41" i="35"/>
  <c r="N22" i="35"/>
  <c r="N17" i="35"/>
  <c r="N3" i="35"/>
  <c r="N32" i="35"/>
  <c r="N23" i="35"/>
  <c r="N34" i="35"/>
  <c r="N37" i="35"/>
  <c r="N18" i="35"/>
  <c r="N8" i="35"/>
  <c r="N5" i="35"/>
  <c r="N12" i="35"/>
  <c r="N14" i="35"/>
  <c r="N35" i="35"/>
  <c r="N7" i="35"/>
  <c r="N24" i="35"/>
  <c r="N44" i="35"/>
  <c r="N20" i="35"/>
  <c r="N10" i="35"/>
  <c r="N4" i="35"/>
  <c r="N45" i="35"/>
  <c r="N39" i="35"/>
  <c r="N11" i="35"/>
  <c r="D436" i="38"/>
  <c r="E436" i="38"/>
  <c r="G436" i="38"/>
  <c r="H436" i="38"/>
  <c r="K436" i="38"/>
  <c r="L436" i="38" s="1"/>
  <c r="M436" i="38"/>
  <c r="T436" i="38" s="1"/>
  <c r="N436" i="38"/>
  <c r="R436" i="38"/>
  <c r="U436" i="38"/>
  <c r="M84" i="77"/>
  <c r="H84" i="77"/>
  <c r="C84" i="77"/>
  <c r="AE69" i="77"/>
  <c r="AD69" i="77"/>
  <c r="AE68" i="77"/>
  <c r="AD68" i="77"/>
  <c r="K84" i="77"/>
  <c r="F84" i="77"/>
  <c r="AE67" i="77"/>
  <c r="AD67" i="77"/>
  <c r="AE66" i="77"/>
  <c r="AD66" i="77"/>
  <c r="AE65" i="77"/>
  <c r="AD65" i="77"/>
  <c r="AE64" i="77"/>
  <c r="AD64" i="77"/>
  <c r="AE63" i="77"/>
  <c r="AD63" i="77"/>
  <c r="AE62" i="77"/>
  <c r="AD62" i="77"/>
  <c r="AE61" i="77"/>
  <c r="AD61" i="77"/>
  <c r="P61" i="77"/>
  <c r="AE60" i="77"/>
  <c r="AD60" i="77"/>
  <c r="P60" i="77"/>
  <c r="AE59" i="77"/>
  <c r="AD59" i="77"/>
  <c r="P59" i="77"/>
  <c r="AE58" i="77"/>
  <c r="AD58" i="77"/>
  <c r="P58" i="77"/>
  <c r="AE57" i="77"/>
  <c r="AD57" i="77"/>
  <c r="P57" i="77"/>
  <c r="AE56" i="77"/>
  <c r="AD56" i="77"/>
  <c r="P56" i="77"/>
  <c r="AE55" i="77"/>
  <c r="AD55" i="77"/>
  <c r="P55" i="77"/>
  <c r="AE54" i="77"/>
  <c r="AD54" i="77"/>
  <c r="P54" i="77"/>
  <c r="AE53" i="77"/>
  <c r="AD53" i="77"/>
  <c r="P53" i="77"/>
  <c r="AE52" i="77"/>
  <c r="AD52" i="77"/>
  <c r="P52" i="77"/>
  <c r="AE51" i="77"/>
  <c r="AD51" i="77"/>
  <c r="P51" i="77"/>
  <c r="AE50" i="77"/>
  <c r="AD50" i="77"/>
  <c r="P50" i="77"/>
  <c r="AE49" i="77"/>
  <c r="AD49" i="77"/>
  <c r="P49" i="77"/>
  <c r="AE48" i="77"/>
  <c r="AD48" i="77"/>
  <c r="P48" i="77"/>
  <c r="AE47" i="77"/>
  <c r="AD47" i="77"/>
  <c r="P47" i="77"/>
  <c r="AE46" i="77"/>
  <c r="AD46" i="77"/>
  <c r="P46" i="77"/>
  <c r="AE45" i="77"/>
  <c r="AD45" i="77"/>
  <c r="P45" i="77"/>
  <c r="AE44" i="77"/>
  <c r="AD44" i="77"/>
  <c r="P44" i="77"/>
  <c r="AE43" i="77"/>
  <c r="AD43" i="77"/>
  <c r="P43" i="77"/>
  <c r="AE42" i="77"/>
  <c r="AD42" i="77"/>
  <c r="P42" i="77"/>
  <c r="AE41" i="77"/>
  <c r="AD41" i="77"/>
  <c r="P41" i="77"/>
  <c r="AE40" i="77"/>
  <c r="AD40" i="77"/>
  <c r="AE39" i="77"/>
  <c r="AD39" i="77"/>
  <c r="AE38" i="77"/>
  <c r="AD38" i="77"/>
  <c r="AE37" i="77"/>
  <c r="AD37" i="77"/>
  <c r="AE36" i="77"/>
  <c r="AD36" i="77"/>
  <c r="AE35" i="77"/>
  <c r="AD35" i="77"/>
  <c r="AE34" i="77"/>
  <c r="AD34" i="77"/>
  <c r="AE33" i="77"/>
  <c r="AD33" i="77"/>
  <c r="AE32" i="77"/>
  <c r="AD32" i="77"/>
  <c r="AE31" i="77"/>
  <c r="AD31" i="77"/>
  <c r="AE30" i="77"/>
  <c r="AD30" i="77"/>
  <c r="AE29" i="77"/>
  <c r="AD29" i="77"/>
  <c r="AE28" i="77"/>
  <c r="AD28" i="77"/>
  <c r="AE27" i="77"/>
  <c r="AD27" i="77"/>
  <c r="AE26" i="77"/>
  <c r="AD26" i="77"/>
  <c r="AE25" i="77"/>
  <c r="AD25" i="77"/>
  <c r="H25" i="77"/>
  <c r="G25" i="77"/>
  <c r="F25" i="77"/>
  <c r="AE24" i="77"/>
  <c r="AD24" i="77"/>
  <c r="AE23" i="77"/>
  <c r="AD23" i="77"/>
  <c r="AE22" i="77"/>
  <c r="AD22" i="77"/>
  <c r="AE21" i="77"/>
  <c r="AD21" i="77"/>
  <c r="AE20" i="77"/>
  <c r="AD20" i="77"/>
  <c r="AE19" i="77"/>
  <c r="AD19" i="77"/>
  <c r="AE18" i="77"/>
  <c r="AD18" i="77"/>
  <c r="M18" i="77"/>
  <c r="H18" i="77"/>
  <c r="C18" i="77"/>
  <c r="Q2" i="77" s="1"/>
  <c r="AE17" i="77"/>
  <c r="AD17" i="77"/>
  <c r="AE16" i="77"/>
  <c r="AD16" i="77"/>
  <c r="AE15" i="77"/>
  <c r="AD15" i="77"/>
  <c r="AE14" i="77"/>
  <c r="AD14" i="77"/>
  <c r="AE13" i="77"/>
  <c r="AD13" i="77"/>
  <c r="AE12" i="77"/>
  <c r="AD12" i="77"/>
  <c r="AE11" i="77"/>
  <c r="AD11" i="77"/>
  <c r="Q11" i="77"/>
  <c r="AE10" i="77"/>
  <c r="AD10" i="77"/>
  <c r="AE9" i="77"/>
  <c r="AD9" i="77"/>
  <c r="AE8" i="77"/>
  <c r="AD8" i="77"/>
  <c r="AE7" i="77"/>
  <c r="AD7" i="77"/>
  <c r="AE6" i="77"/>
  <c r="AD6" i="77"/>
  <c r="AE5" i="77"/>
  <c r="AD5" i="77"/>
  <c r="AE4" i="77"/>
  <c r="AD4" i="77"/>
  <c r="AE3" i="77"/>
  <c r="AD3" i="77"/>
  <c r="AE2" i="77"/>
  <c r="AD2" i="77"/>
  <c r="K18" i="77"/>
  <c r="F2" i="77"/>
  <c r="F18" i="77" s="1"/>
  <c r="D435" i="38"/>
  <c r="E435" i="38"/>
  <c r="G435" i="38"/>
  <c r="H435" i="38"/>
  <c r="K435" i="38"/>
  <c r="L435" i="38"/>
  <c r="O435" i="38" s="1"/>
  <c r="P435" i="38" s="1"/>
  <c r="M435" i="38"/>
  <c r="T435" i="38" s="1"/>
  <c r="R435" i="38"/>
  <c r="U435" i="38"/>
  <c r="C85" i="77"/>
  <c r="C19" i="77"/>
  <c r="K19" i="77"/>
  <c r="H19" i="77"/>
  <c r="F19" i="77"/>
  <c r="M19" i="77"/>
  <c r="M85" i="77"/>
  <c r="K85" i="77"/>
  <c r="H85" i="77"/>
  <c r="F85" i="77"/>
  <c r="O436" i="38" l="1"/>
  <c r="P436" i="38" s="1"/>
  <c r="V436" i="38"/>
  <c r="W436" i="38" s="1"/>
  <c r="M66" i="77"/>
  <c r="Q10" i="77" s="1"/>
  <c r="Q3" i="77"/>
  <c r="Q6" i="77" s="1"/>
  <c r="Q5" i="77"/>
  <c r="Q8" i="77"/>
  <c r="V435" i="38"/>
  <c r="N435" i="38"/>
  <c r="W435" i="38" s="1"/>
  <c r="D434" i="38"/>
  <c r="E434" i="38"/>
  <c r="G434" i="38"/>
  <c r="H434" i="38"/>
  <c r="K434" i="38"/>
  <c r="L434" i="38"/>
  <c r="O434" i="38" s="1"/>
  <c r="P434" i="38" s="1"/>
  <c r="M434" i="38"/>
  <c r="T434" i="38" s="1"/>
  <c r="R434" i="38"/>
  <c r="U434" i="38"/>
  <c r="F37" i="25"/>
  <c r="F36" i="25"/>
  <c r="F10" i="61"/>
  <c r="Q9" i="77" l="1"/>
  <c r="Q7" i="77"/>
  <c r="V434" i="38"/>
  <c r="N434" i="38"/>
  <c r="W434" i="38" s="1"/>
  <c r="F34" i="64"/>
  <c r="H34" i="64"/>
  <c r="G34" i="64"/>
  <c r="K34" i="64" s="1"/>
  <c r="L34" i="64" s="1"/>
  <c r="T283" i="1"/>
  <c r="F45" i="57"/>
  <c r="G45" i="57"/>
  <c r="H45" i="57"/>
  <c r="F42" i="61"/>
  <c r="G42" i="61"/>
  <c r="H42" i="61"/>
  <c r="D433" i="38"/>
  <c r="E433" i="38"/>
  <c r="G433" i="38"/>
  <c r="H433" i="38"/>
  <c r="K433" i="38"/>
  <c r="L433" i="38" s="1"/>
  <c r="O433" i="38" s="1"/>
  <c r="M433" i="38"/>
  <c r="N433" i="38" s="1"/>
  <c r="R433" i="38"/>
  <c r="T433" i="38" l="1"/>
  <c r="F40" i="45"/>
  <c r="H40" i="45"/>
  <c r="G40" i="45"/>
  <c r="K40" i="45" s="1"/>
  <c r="F5" i="45"/>
  <c r="L432" i="38"/>
  <c r="O432" i="38" s="1"/>
  <c r="G426" i="38"/>
  <c r="G427" i="38"/>
  <c r="G428" i="38"/>
  <c r="G429" i="38"/>
  <c r="G430" i="38"/>
  <c r="G431" i="38"/>
  <c r="G432" i="38"/>
  <c r="D431" i="38"/>
  <c r="D432" i="38"/>
  <c r="E432" i="38"/>
  <c r="H432" i="38"/>
  <c r="K432" i="38"/>
  <c r="M432" i="38"/>
  <c r="T432" i="38" s="1"/>
  <c r="N432" i="38"/>
  <c r="R432" i="38"/>
  <c r="E431" i="38" l="1"/>
  <c r="H431" i="38"/>
  <c r="K431" i="38"/>
  <c r="M431" i="38"/>
  <c r="T431" i="38" s="1"/>
  <c r="R431" i="38"/>
  <c r="L431" i="38" l="1"/>
  <c r="N431" i="38"/>
  <c r="O431" i="38"/>
  <c r="D430" i="38"/>
  <c r="E430" i="38"/>
  <c r="H430" i="38"/>
  <c r="K430" i="38"/>
  <c r="L430" i="38" s="1"/>
  <c r="O430" i="38" s="1"/>
  <c r="M430" i="38"/>
  <c r="T430" i="38" s="1"/>
  <c r="N430" i="38"/>
  <c r="R430" i="38"/>
  <c r="D429" i="38" l="1"/>
  <c r="E429" i="38"/>
  <c r="H429" i="38"/>
  <c r="K429" i="38"/>
  <c r="L429" i="38" s="1"/>
  <c r="O429" i="38"/>
  <c r="M429" i="38"/>
  <c r="N429" i="38" s="1"/>
  <c r="R429" i="38"/>
  <c r="F83" i="25"/>
  <c r="H83" i="25"/>
  <c r="G83" i="25"/>
  <c r="F35" i="25"/>
  <c r="F34" i="25"/>
  <c r="T429" i="38" l="1"/>
  <c r="D428" i="38"/>
  <c r="E428" i="38"/>
  <c r="H428" i="38"/>
  <c r="K428" i="38"/>
  <c r="L428" i="38" s="1"/>
  <c r="O428" i="38" s="1"/>
  <c r="M428" i="38"/>
  <c r="T428" i="38" s="1"/>
  <c r="R428" i="38"/>
  <c r="G72" i="40"/>
  <c r="F19" i="40"/>
  <c r="K8" i="17"/>
  <c r="F15" i="57"/>
  <c r="C18" i="57"/>
  <c r="F5" i="64"/>
  <c r="N428" i="38" l="1"/>
  <c r="D427" i="38"/>
  <c r="E427" i="38"/>
  <c r="H427" i="38"/>
  <c r="K427" i="38"/>
  <c r="L427" i="38" s="1"/>
  <c r="O427" i="38"/>
  <c r="M427" i="38"/>
  <c r="T427" i="38" s="1"/>
  <c r="R427" i="38"/>
  <c r="N427" i="38" l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T426" i="38"/>
  <c r="O426" i="38"/>
  <c r="E425" i="38"/>
  <c r="H425" i="38"/>
  <c r="K425" i="38"/>
  <c r="L425" i="38" s="1"/>
  <c r="O425" i="38"/>
  <c r="M425" i="38"/>
  <c r="T425" i="38" s="1"/>
  <c r="R425" i="38"/>
  <c r="K33" i="64"/>
  <c r="L33" i="64" s="1"/>
  <c r="F33" i="64"/>
  <c r="H33" i="64"/>
  <c r="G33" i="64"/>
  <c r="M91" i="76"/>
  <c r="H91" i="76"/>
  <c r="F91" i="76"/>
  <c r="C91" i="76"/>
  <c r="K75" i="76"/>
  <c r="K91" i="76" s="1"/>
  <c r="F75" i="76"/>
  <c r="K12" i="40"/>
  <c r="K3" i="64"/>
  <c r="F82" i="25"/>
  <c r="H82" i="25"/>
  <c r="G82" i="25"/>
  <c r="K10" i="25"/>
  <c r="F62" i="17"/>
  <c r="H62" i="17"/>
  <c r="G62" i="17"/>
  <c r="L62" i="17" s="1"/>
  <c r="K7" i="17"/>
  <c r="E424" i="38"/>
  <c r="H424" i="38"/>
  <c r="K424" i="38"/>
  <c r="L424" i="38" s="1"/>
  <c r="O424" i="38" s="1"/>
  <c r="M424" i="38"/>
  <c r="T424" i="38" s="1"/>
  <c r="N424" i="38"/>
  <c r="R424" i="38"/>
  <c r="M73" i="76" l="1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K23" i="50"/>
  <c r="G23" i="50"/>
  <c r="F23" i="50"/>
  <c r="F2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11" i="17"/>
  <c r="F10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C18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44" i="57"/>
  <c r="G44" i="57"/>
  <c r="H44" i="57"/>
  <c r="F14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43" i="57"/>
  <c r="G43" i="57"/>
  <c r="H43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K6" i="17"/>
  <c r="K5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/>
  <c r="M415" i="38"/>
  <c r="T415" i="38" s="1"/>
  <c r="N415" i="38"/>
  <c r="R415" i="38"/>
  <c r="F75" i="25"/>
  <c r="H75" i="25"/>
  <c r="G75" i="25"/>
  <c r="F30" i="25"/>
  <c r="F29" i="25"/>
  <c r="F41" i="61"/>
  <c r="G41" i="61"/>
  <c r="H41" i="61"/>
  <c r="K5" i="61"/>
  <c r="D414" i="38" l="1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N413" i="38"/>
  <c r="R413" i="38"/>
  <c r="F33" i="58"/>
  <c r="H33" i="58"/>
  <c r="G33" i="58"/>
  <c r="F6" i="58"/>
  <c r="L413" i="38" l="1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3" i="17"/>
  <c r="K4" i="17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K3" i="17"/>
  <c r="F40" i="61"/>
  <c r="G40" i="61"/>
  <c r="H40" i="61"/>
  <c r="F9" i="61"/>
  <c r="E410" i="38"/>
  <c r="H410" i="38"/>
  <c r="K410" i="38"/>
  <c r="L410" i="38" s="1"/>
  <c r="O410" i="38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M77" i="69"/>
  <c r="K77" i="69"/>
  <c r="H77" i="69"/>
  <c r="F77" i="69"/>
  <c r="C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9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K19" i="76"/>
  <c r="M19" i="76"/>
  <c r="H19" i="76"/>
  <c r="F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F8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7" i="17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398" i="17"/>
  <c r="F39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6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K93" i="68"/>
  <c r="H93" i="68"/>
  <c r="C93" i="68"/>
  <c r="M93" i="68"/>
  <c r="F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2" i="25"/>
  <c r="H612" i="25"/>
  <c r="C612" i="25"/>
  <c r="F588" i="25"/>
  <c r="F587" i="25"/>
  <c r="F586" i="25"/>
  <c r="F585" i="25"/>
  <c r="F584" i="25"/>
  <c r="F583" i="25"/>
  <c r="F582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F494" i="25"/>
  <c r="F493" i="25"/>
  <c r="F492" i="25"/>
  <c r="K491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F613" i="25"/>
  <c r="C613" i="25"/>
  <c r="K613" i="25"/>
  <c r="H613" i="25"/>
  <c r="M613" i="25"/>
  <c r="N363" i="38" l="1"/>
  <c r="F612" i="25"/>
  <c r="K612" i="25"/>
  <c r="O363" i="38"/>
  <c r="M349" i="25" l="1"/>
  <c r="Q10" i="25" s="1"/>
  <c r="E362" i="38"/>
  <c r="H362" i="38"/>
  <c r="K362" i="38"/>
  <c r="M362" i="38"/>
  <c r="T362" i="38" s="1"/>
  <c r="R362" i="38"/>
  <c r="L83" i="25" l="1"/>
  <c r="L82" i="25"/>
  <c r="L80" i="25"/>
  <c r="L81" i="25"/>
  <c r="L79" i="25"/>
  <c r="L78" i="25"/>
  <c r="L77" i="25"/>
  <c r="L76" i="25"/>
  <c r="L75" i="25"/>
  <c r="L74" i="25"/>
  <c r="L73" i="25"/>
  <c r="L72" i="25"/>
  <c r="L71" i="25"/>
  <c r="L70" i="25"/>
  <c r="L68" i="25"/>
  <c r="L69" i="25"/>
  <c r="L67" i="25"/>
  <c r="L66" i="25"/>
  <c r="L65" i="25"/>
  <c r="L64" i="25"/>
  <c r="L63" i="25"/>
  <c r="L62" i="25"/>
  <c r="L61" i="25"/>
  <c r="L60" i="25"/>
  <c r="L59" i="25"/>
  <c r="L58" i="25"/>
  <c r="L57" i="25"/>
  <c r="L56" i="25"/>
  <c r="L362" i="38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G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AE69" i="51"/>
  <c r="AD69" i="51"/>
  <c r="H87" i="51"/>
  <c r="G87" i="51"/>
  <c r="F87" i="51"/>
  <c r="AE68" i="51"/>
  <c r="AD68" i="51"/>
  <c r="H86" i="51"/>
  <c r="G86" i="51"/>
  <c r="F86" i="51"/>
  <c r="AE67" i="51"/>
  <c r="AD67" i="51"/>
  <c r="H85" i="51"/>
  <c r="G85" i="51"/>
  <c r="F85" i="51"/>
  <c r="AE66" i="51"/>
  <c r="AD66" i="51"/>
  <c r="H84" i="51"/>
  <c r="G84" i="51"/>
  <c r="F84" i="51"/>
  <c r="AE65" i="51"/>
  <c r="AD65" i="51"/>
  <c r="H83" i="51"/>
  <c r="G83" i="51"/>
  <c r="F83" i="51"/>
  <c r="AE64" i="51"/>
  <c r="AD64" i="51"/>
  <c r="H82" i="51"/>
  <c r="G82" i="51"/>
  <c r="F82" i="51"/>
  <c r="AE63" i="51"/>
  <c r="AD63" i="51"/>
  <c r="H81" i="51"/>
  <c r="G81" i="51"/>
  <c r="F81" i="51"/>
  <c r="AE62" i="51"/>
  <c r="AD62" i="51"/>
  <c r="H80" i="51"/>
  <c r="G80" i="51"/>
  <c r="F80" i="51"/>
  <c r="AE61" i="51"/>
  <c r="AD61" i="51"/>
  <c r="P61" i="51"/>
  <c r="H79" i="51"/>
  <c r="G79" i="51"/>
  <c r="F79" i="51"/>
  <c r="AE60" i="51"/>
  <c r="AD60" i="51"/>
  <c r="P60" i="51"/>
  <c r="H78" i="51"/>
  <c r="G78" i="51"/>
  <c r="F78" i="51"/>
  <c r="AE59" i="51"/>
  <c r="AD59" i="51"/>
  <c r="P59" i="51"/>
  <c r="H77" i="51"/>
  <c r="G77" i="51"/>
  <c r="F77" i="51"/>
  <c r="AE58" i="51"/>
  <c r="AD58" i="51"/>
  <c r="P58" i="51"/>
  <c r="H76" i="51"/>
  <c r="G76" i="51"/>
  <c r="F76" i="51"/>
  <c r="AE57" i="51"/>
  <c r="AD57" i="51"/>
  <c r="P57" i="51"/>
  <c r="H75" i="51"/>
  <c r="G75" i="51"/>
  <c r="F75" i="51"/>
  <c r="AE56" i="51"/>
  <c r="AD56" i="51"/>
  <c r="P56" i="51"/>
  <c r="H74" i="51"/>
  <c r="G74" i="51"/>
  <c r="F74" i="51"/>
  <c r="AE55" i="51"/>
  <c r="AD55" i="51"/>
  <c r="P55" i="51"/>
  <c r="H73" i="51"/>
  <c r="G73" i="51"/>
  <c r="F73" i="51"/>
  <c r="AE54" i="51"/>
  <c r="AD54" i="51"/>
  <c r="P54" i="51"/>
  <c r="H72" i="51"/>
  <c r="G72" i="51"/>
  <c r="F72" i="51"/>
  <c r="AE53" i="51"/>
  <c r="AD53" i="51"/>
  <c r="P53" i="51"/>
  <c r="H71" i="51"/>
  <c r="G71" i="51"/>
  <c r="F71" i="51"/>
  <c r="AE52" i="51"/>
  <c r="AD52" i="51"/>
  <c r="P52" i="51"/>
  <c r="H70" i="51"/>
  <c r="G70" i="51"/>
  <c r="F70" i="51"/>
  <c r="AE51" i="51"/>
  <c r="AD51" i="51"/>
  <c r="P51" i="51"/>
  <c r="H69" i="51"/>
  <c r="G69" i="51"/>
  <c r="F69" i="51"/>
  <c r="AE50" i="51"/>
  <c r="AD50" i="51"/>
  <c r="P50" i="51"/>
  <c r="H68" i="51"/>
  <c r="G68" i="51"/>
  <c r="F68" i="51"/>
  <c r="AE49" i="51"/>
  <c r="AD49" i="51"/>
  <c r="P49" i="51"/>
  <c r="H67" i="51"/>
  <c r="G67" i="51"/>
  <c r="F67" i="51"/>
  <c r="AE48" i="51"/>
  <c r="AD48" i="51"/>
  <c r="P48" i="51"/>
  <c r="H66" i="51"/>
  <c r="G66" i="51"/>
  <c r="F66" i="51"/>
  <c r="AE47" i="51"/>
  <c r="AD47" i="51"/>
  <c r="P47" i="51"/>
  <c r="H65" i="51"/>
  <c r="G65" i="51"/>
  <c r="F65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H95" i="25"/>
  <c r="G95" i="25"/>
  <c r="H94" i="25"/>
  <c r="G94" i="25"/>
  <c r="H93" i="25"/>
  <c r="G93" i="25"/>
  <c r="H92" i="25"/>
  <c r="G92" i="25"/>
  <c r="H91" i="25"/>
  <c r="G91" i="25"/>
  <c r="H90" i="25"/>
  <c r="G90" i="25"/>
  <c r="M49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3" i="1"/>
  <c r="N271" i="1" s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54"/>
  <c r="F19" i="68"/>
  <c r="H19" i="58"/>
  <c r="M19" i="68"/>
  <c r="K67" i="60"/>
  <c r="K19" i="61"/>
  <c r="K103" i="58"/>
  <c r="H86" i="53"/>
  <c r="H19" i="60"/>
  <c r="C75" i="41"/>
  <c r="F19" i="59"/>
  <c r="K19" i="75"/>
  <c r="C30" i="49"/>
  <c r="M19" i="55"/>
  <c r="C19" i="57"/>
  <c r="M19" i="64"/>
  <c r="K30" i="49"/>
  <c r="C111" i="54"/>
  <c r="H19" i="50"/>
  <c r="F19" i="45"/>
  <c r="C120" i="57"/>
  <c r="K77" i="70"/>
  <c r="C19" i="41"/>
  <c r="C19" i="45"/>
  <c r="C19" i="50"/>
  <c r="F90" i="72"/>
  <c r="F407" i="17"/>
  <c r="F19" i="54"/>
  <c r="C24" i="40"/>
  <c r="K19" i="63"/>
  <c r="K19" i="58"/>
  <c r="K19" i="55"/>
  <c r="F19" i="61"/>
  <c r="C19" i="61"/>
  <c r="C23" i="17"/>
  <c r="H19" i="64"/>
  <c r="K55" i="50"/>
  <c r="M111" i="54"/>
  <c r="F19" i="69"/>
  <c r="C148" i="45"/>
  <c r="M77" i="70"/>
  <c r="H19" i="45"/>
  <c r="H19" i="66"/>
  <c r="F86" i="53"/>
  <c r="C100" i="34"/>
  <c r="H77" i="70"/>
  <c r="M19" i="59"/>
  <c r="H29" i="51"/>
  <c r="K19" i="45"/>
  <c r="K19" i="73"/>
  <c r="F30" i="49"/>
  <c r="M19" i="34"/>
  <c r="H111" i="54"/>
  <c r="F19" i="73"/>
  <c r="M19" i="66"/>
  <c r="F120" i="57"/>
  <c r="M23" i="17"/>
  <c r="H23" i="17"/>
  <c r="C103" i="58"/>
  <c r="H156" i="49"/>
  <c r="F19" i="60"/>
  <c r="M19" i="60"/>
  <c r="F94" i="52"/>
  <c r="C65" i="63"/>
  <c r="H75" i="41"/>
  <c r="H19" i="71"/>
  <c r="F148" i="45"/>
  <c r="K19" i="68"/>
  <c r="M50" i="25"/>
  <c r="K19" i="34"/>
  <c r="M19" i="57"/>
  <c r="F84" i="61"/>
  <c r="C19" i="3"/>
  <c r="M19" i="53"/>
  <c r="C50" i="25"/>
  <c r="K90" i="72"/>
  <c r="M120" i="57"/>
  <c r="K19" i="57"/>
  <c r="H148" i="45"/>
  <c r="C156" i="49"/>
  <c r="M19" i="52"/>
  <c r="C407" i="17"/>
  <c r="K32" i="31"/>
  <c r="H84" i="61"/>
  <c r="C19" i="62"/>
  <c r="H19" i="68"/>
  <c r="H32" i="31"/>
  <c r="C19" i="55"/>
  <c r="K72" i="59"/>
  <c r="C19" i="71"/>
  <c r="H19" i="72"/>
  <c r="C67" i="60"/>
  <c r="K19" i="52"/>
  <c r="H24" i="40"/>
  <c r="C19" i="59"/>
  <c r="K65" i="71"/>
  <c r="F119" i="7"/>
  <c r="F50" i="25"/>
  <c r="M156" i="49"/>
  <c r="C19" i="75"/>
  <c r="H120" i="57"/>
  <c r="H50" i="25"/>
  <c r="H19" i="3"/>
  <c r="K84" i="61"/>
  <c r="F65" i="71"/>
  <c r="F63" i="66"/>
  <c r="K19" i="66"/>
  <c r="K148" i="45"/>
  <c r="H407" i="17"/>
  <c r="F19" i="71"/>
  <c r="K19" i="59"/>
  <c r="M32" i="31"/>
  <c r="C19" i="72"/>
  <c r="F29" i="51"/>
  <c r="C90" i="72"/>
  <c r="C19" i="34"/>
  <c r="M30" i="49"/>
  <c r="H67" i="60"/>
  <c r="M19" i="61"/>
  <c r="H63" i="66"/>
  <c r="C19" i="54"/>
  <c r="H19" i="41"/>
  <c r="M19" i="71"/>
  <c r="M19" i="3"/>
  <c r="F19" i="75"/>
  <c r="F100" i="34"/>
  <c r="M19" i="58"/>
  <c r="M407" i="17"/>
  <c r="M19" i="69"/>
  <c r="C19" i="70"/>
  <c r="M29" i="51"/>
  <c r="H65" i="71"/>
  <c r="F77" i="70"/>
  <c r="M55" i="50"/>
  <c r="H19" i="54"/>
  <c r="C29" i="51"/>
  <c r="F19" i="58"/>
  <c r="K23" i="17"/>
  <c r="K19" i="62"/>
  <c r="C19" i="60"/>
  <c r="H19" i="57"/>
  <c r="C77" i="70"/>
  <c r="F19" i="70"/>
  <c r="K19" i="70"/>
  <c r="C63" i="66"/>
  <c r="K407" i="17"/>
  <c r="M19" i="70"/>
  <c r="H19" i="53"/>
  <c r="M19" i="75"/>
  <c r="K100" i="34"/>
  <c r="C86" i="53"/>
  <c r="C19" i="66"/>
  <c r="C19" i="69"/>
  <c r="M19" i="50"/>
  <c r="F19" i="3"/>
  <c r="M103" i="58"/>
  <c r="F19" i="50"/>
  <c r="M67" i="60"/>
  <c r="M24" i="40"/>
  <c r="H103" i="58"/>
  <c r="K111" i="54"/>
  <c r="M86" i="53"/>
  <c r="K19" i="60"/>
  <c r="H19" i="75"/>
  <c r="K19" i="3"/>
  <c r="K63" i="66"/>
  <c r="K19" i="54"/>
  <c r="C55" i="50"/>
  <c r="H19" i="34"/>
  <c r="K50" i="25"/>
  <c r="F23" i="17"/>
  <c r="K19" i="50"/>
  <c r="K19" i="72"/>
  <c r="K19" i="53"/>
  <c r="K86" i="53"/>
  <c r="M63" i="66"/>
  <c r="F19" i="53"/>
  <c r="M90" i="72"/>
  <c r="F19" i="57"/>
  <c r="H19" i="63"/>
  <c r="C19" i="63"/>
  <c r="F103" i="58"/>
  <c r="F19" i="62"/>
  <c r="M148" i="45"/>
  <c r="F85" i="64"/>
  <c r="K75" i="41"/>
  <c r="H55" i="50"/>
  <c r="K120" i="57"/>
  <c r="C85" i="64"/>
  <c r="M94" i="52"/>
  <c r="M19" i="63"/>
  <c r="H30" i="49"/>
  <c r="K65" i="63"/>
  <c r="H100" i="34"/>
  <c r="H19" i="73"/>
  <c r="C72" i="59"/>
  <c r="H19" i="55"/>
  <c r="C19" i="53"/>
  <c r="K19" i="71"/>
  <c r="K19" i="69"/>
  <c r="F19" i="63"/>
  <c r="C19" i="68"/>
  <c r="F19" i="66"/>
  <c r="F111" i="54"/>
  <c r="K119" i="7"/>
  <c r="H19" i="70"/>
  <c r="H119" i="7"/>
  <c r="H19" i="59"/>
  <c r="M19" i="45"/>
  <c r="K29" i="51"/>
  <c r="H94" i="52"/>
  <c r="M100" i="34"/>
  <c r="M65" i="71"/>
  <c r="C84" i="61"/>
  <c r="F19" i="34"/>
  <c r="K94" i="52"/>
  <c r="F72" i="59"/>
  <c r="C119" i="7"/>
  <c r="F75" i="41"/>
  <c r="F19" i="52"/>
  <c r="M119" i="7"/>
  <c r="M19" i="73"/>
  <c r="C32" i="31"/>
  <c r="K24" i="40"/>
  <c r="C94" i="52"/>
  <c r="F65" i="63"/>
  <c r="H85" i="64"/>
  <c r="M19" i="41"/>
  <c r="C19" i="52"/>
  <c r="C65" i="71"/>
  <c r="H72" i="59"/>
  <c r="H65" i="63"/>
  <c r="M84" i="61"/>
  <c r="K85" i="64"/>
  <c r="C19" i="73"/>
  <c r="M19" i="72"/>
  <c r="F19" i="41"/>
  <c r="F55" i="50"/>
  <c r="F67" i="60"/>
  <c r="M85" i="64"/>
  <c r="K156" i="49"/>
  <c r="M65" i="63"/>
  <c r="M75" i="41"/>
  <c r="M72" i="59"/>
  <c r="H19" i="52"/>
  <c r="H90" i="72"/>
  <c r="H19" i="62"/>
  <c r="F19" i="64"/>
  <c r="F32" i="31"/>
  <c r="F19" i="72"/>
  <c r="K19" i="41"/>
  <c r="C19" i="64"/>
  <c r="M19" i="62"/>
  <c r="C19" i="58"/>
  <c r="F19" i="55"/>
  <c r="F156" i="49"/>
  <c r="K19" i="64"/>
  <c r="H19" i="69"/>
  <c r="H19" i="61"/>
  <c r="F24" i="40"/>
  <c r="U433" i="38" l="1"/>
  <c r="U432" i="38"/>
  <c r="U431" i="38"/>
  <c r="U430" i="38"/>
  <c r="U429" i="38"/>
  <c r="U428" i="38"/>
  <c r="U427" i="38"/>
  <c r="U426" i="38"/>
  <c r="U425" i="38"/>
  <c r="U424" i="38"/>
  <c r="F18" i="57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06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31" i="38" s="1"/>
  <c r="W431" i="38" s="1"/>
  <c r="K86" i="38"/>
  <c r="L86" i="38" s="1"/>
  <c r="V433" i="38" s="1"/>
  <c r="W433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25" i="38" l="1"/>
  <c r="W425" i="38" s="1"/>
  <c r="P432" i="38"/>
  <c r="V410" i="38"/>
  <c r="W410" i="38" s="1"/>
  <c r="V426" i="38"/>
  <c r="W426" i="38" s="1"/>
  <c r="V427" i="38"/>
  <c r="W427" i="38" s="1"/>
  <c r="P428" i="38"/>
  <c r="V424" i="38"/>
  <c r="W424" i="38" s="1"/>
  <c r="V429" i="38"/>
  <c r="W429" i="38" s="1"/>
  <c r="P425" i="38"/>
  <c r="P427" i="38"/>
  <c r="V432" i="38"/>
  <c r="W432" i="38" s="1"/>
  <c r="V428" i="38"/>
  <c r="W428" i="38" s="1"/>
  <c r="P429" i="38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L50" i="51" l="1"/>
  <c r="L49" i="51"/>
  <c r="L48" i="51"/>
  <c r="L47" i="51"/>
  <c r="L46" i="51"/>
  <c r="L45" i="51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0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1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3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5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8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8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71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1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2" name="Connection881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<sst xmlns="http://schemas.openxmlformats.org/spreadsheetml/2006/main" count="5550" uniqueCount="763">
  <si>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</si>
  <si>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</si>
  <si>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</si>
  <si>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</si>
  <si>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</si>
  <si>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</si>
  <si>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</si>
  <si>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</si>
  <si>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</si>
  <si>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</si>
  <si>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</si>
  <si>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</si>
  <si>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</si>
  <si>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</si>
  <si>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</si>
  <si>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</si>
  <si>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</si>
  <si>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</si>
  <si>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</si>
  <si>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</si>
  <si>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</si>
  <si>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</si>
  <si>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</si>
  <si>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</si>
  <si>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</si>
  <si>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</si>
  <si>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</si>
  <si>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</si>
  <si>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</si>
  <si>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</si>
  <si>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</si>
  <si>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</si>
  <si>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</si>
  <si>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</si>
  <si>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</si>
  <si>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</si>
  <si>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</si>
  <si>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</si>
  <si>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</si>
  <si>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</si>
  <si>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</si>
  <si>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</si>
  <si>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</si>
  <si>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</si>
  <si>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</si>
  <si>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</si>
  <si>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</si>
  <si>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</si>
  <si>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</si>
  <si>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</si>
  <si>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</si>
  <si>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</si>
  <si>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</si>
  <si>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</si>
  <si>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</si>
  <si>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</si>
  <si>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</si>
  <si>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</si>
  <si>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</si>
  <si>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</si>
  <si>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</si>
  <si>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</si>
  <si>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</si>
  <si>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</si>
  <si>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</si>
  <si>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</si>
  <si>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</si>
  <si>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</si>
  <si>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</si>
  <si>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</si>
  <si>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</si>
  <si>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</si>
  <si>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</si>
  <si>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</si>
  <si>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</si>
  <si>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</si>
  <si>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</si>
  <si>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</si>
  <si>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</si>
  <si>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</si>
  <si>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</si>
  <si>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</si>
  <si>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</si>
  <si>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</si>
  <si>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</si>
  <si>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</si>
  <si>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</si>
  <si>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</si>
  <si>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</si>
  <si>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</si>
  <si>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</si>
  <si>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</si>
  <si>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</si>
  <si>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</si>
  <si>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</si>
  <si>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</si>
  <si>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</si>
  <si>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</si>
  <si>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</si>
  <si>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</si>
  <si>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</si>
  <si>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</si>
  <si>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</si>
  <si>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</si>
  <si>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</si>
  <si>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</si>
  <si>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</si>
  <si>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</si>
  <si>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</si>
  <si>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</si>
  <si>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</si>
  <si>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</si>
  <si>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</si>
  <si>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</si>
  <si>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</si>
  <si>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</si>
  <si>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</si>
  <si>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</si>
  <si>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</si>
  <si>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</si>
  <si>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</si>
  <si>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</si>
  <si>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</si>
  <si>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</si>
  <si>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</si>
  <si>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</si>
  <si>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</si>
  <si>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</si>
  <si>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</si>
  <si>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</si>
  <si>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</si>
  <si>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</si>
  <si>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</si>
  <si>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</si>
  <si>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</si>
  <si>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</si>
  <si>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</si>
  <si>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</si>
  <si>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</si>
  <si>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</si>
  <si>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</si>
  <si>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</si>
  <si>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</si>
  <si>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</si>
  <si>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</si>
  <si>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</si>
  <si>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</si>
  <si>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</si>
  <si>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</si>
  <si>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</si>
  <si>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</si>
  <si>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</si>
  <si>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</si>
  <si>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</si>
  <si>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</si>
  <si>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</si>
  <si>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</si>
  <si>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</si>
  <si>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</si>
  <si>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</si>
  <si>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</si>
  <si>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</si>
  <si>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</si>
  <si>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</si>
  <si>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</si>
  <si>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</si>
  <si>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</si>
  <si>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</si>
  <si>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</si>
  <si>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</si>
  <si>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</si>
  <si>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</si>
  <si>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</si>
  <si>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</si>
  <si>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</si>
  <si>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</si>
  <si>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</si>
  <si>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</si>
  <si>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</si>
  <si>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</si>
  <si>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</si>
  <si>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</si>
  <si>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</si>
  <si>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</si>
  <si>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</si>
  <si>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</si>
  <si>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</si>
  <si>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</si>
  <si>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</si>
  <si>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</si>
  <si>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</si>
  <si>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</si>
  <si>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</si>
  <si>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</si>
  <si>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</si>
  <si>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</si>
  <si>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</si>
  <si>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</si>
  <si>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</si>
  <si>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</si>
  <si>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</si>
  <si>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</si>
  <si>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</si>
  <si>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</si>
  <si>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</si>
  <si>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</si>
  <si>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</si>
  <si>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</si>
  <si>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</si>
  <si>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</si>
  <si>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</si>
  <si>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</si>
  <si>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</si>
  <si>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</si>
  <si>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</si>
  <si>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</si>
  <si>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</si>
  <si>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</si>
  <si>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</si>
  <si>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</si>
  <si>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</si>
  <si>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</si>
  <si>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</si>
  <si>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</si>
  <si>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</si>
  <si>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</si>
  <si>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</si>
  <si>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</si>
  <si>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</si>
  <si>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</si>
  <si>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</si>
  <si>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</si>
  <si>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</si>
  <si>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</si>
  <si>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</si>
  <si>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</si>
  <si>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</si>
  <si>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</si>
  <si>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</si>
  <si>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</si>
  <si>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</si>
  <si>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</si>
  <si>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</si>
  <si>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</si>
  <si>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</si>
  <si>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</si>
  <si>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</si>
  <si>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</si>
  <si>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</si>
  <si>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</si>
  <si>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</si>
  <si>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</si>
  <si>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</si>
  <si>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</si>
  <si>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</si>
  <si>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</si>
  <si>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</si>
  <si>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</si>
  <si>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</si>
  <si>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</si>
  <si>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</si>
  <si>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</si>
  <si>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</si>
  <si>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</si>
  <si>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</si>
  <si>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</si>
  <si>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</si>
  <si>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</si>
  <si>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</si>
  <si>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</si>
  <si>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</si>
  <si>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</si>
  <si>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</si>
  <si>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</si>
  <si>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</si>
  <si>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</si>
  <si>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</si>
  <si>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</si>
  <si>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</si>
  <si>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</si>
  <si>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</si>
  <si>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</si>
  <si>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</si>
  <si>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</si>
  <si>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</si>
  <si>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</si>
  <si>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</si>
  <si>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</si>
  <si>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</si>
  <si>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</si>
  <si>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</si>
  <si>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</si>
  <si>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</si>
  <si>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</si>
  <si>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</si>
  <si>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</si>
  <si>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</si>
  <si>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</si>
  <si>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</si>
  <si>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</si>
  <si>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</si>
  <si>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</si>
  <si>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</si>
  <si>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</si>
  <si>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</si>
  <si>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</si>
  <si>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</si>
  <si>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</si>
  <si>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</si>
  <si>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</si>
  <si>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</si>
  <si>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</si>
  <si>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</si>
  <si>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</si>
  <si>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</si>
  <si>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</si>
  <si>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</si>
  <si>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</si>
  <si>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</si>
  <si>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</si>
  <si>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</si>
  <si>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</si>
  <si>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</si>
  <si>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</si>
  <si>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</si>
  <si>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</si>
  <si>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</si>
  <si>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</si>
  <si>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</si>
  <si>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</si>
  <si>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</si>
  <si>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</si>
  <si>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</si>
  <si>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</si>
  <si>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</si>
  <si>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</si>
  <si>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</si>
  <si>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</si>
  <si>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</si>
  <si>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</si>
  <si>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</si>
  <si>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</si>
  <si>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</si>
  <si>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</si>
  <si>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</si>
  <si>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</si>
  <si>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</si>
  <si>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</si>
  <si>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</si>
  <si>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</si>
  <si>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</si>
  <si>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</si>
  <si>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</si>
  <si>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</si>
  <si>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</si>
  <si>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</si>
  <si>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</si>
  <si>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</si>
  <si>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</si>
  <si>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</si>
  <si>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</si>
  <si>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</si>
  <si>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</si>
  <si>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</si>
  <si>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</si>
  <si>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</si>
  <si>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</si>
  <si>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</si>
  <si>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</si>
  <si>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</si>
  <si>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</si>
  <si>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</si>
  <si>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</si>
  <si>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</si>
  <si>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</si>
  <si>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</si>
  <si>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</si>
  <si>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</si>
  <si>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</si>
  <si>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</si>
  <si>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</si>
  <si>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</si>
  <si>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</si>
  <si>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</si>
  <si>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</si>
  <si>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</si>
  <si>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</si>
  <si>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</si>
  <si>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</si>
  <si>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</si>
  <si>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</si>
  <si>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</si>
  <si>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</si>
  <si>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</si>
  <si>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</si>
  <si>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</si>
  <si>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</si>
  <si>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</si>
  <si>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</si>
  <si>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</si>
  <si>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</si>
  <si>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</si>
  <si>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</si>
  <si>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</si>
  <si>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</si>
  <si>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</si>
  <si>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</si>
  <si>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</si>
  <si>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</si>
  <si>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</si>
  <si>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</si>
  <si>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</si>
  <si>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</si>
  <si>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</si>
  <si>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</si>
  <si>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</si>
  <si>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</si>
  <si>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</si>
  <si>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</si>
  <si>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</si>
  <si>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</si>
  <si>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</si>
  <si>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</si>
  <si>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</si>
  <si>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</si>
  <si>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</si>
  <si>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</si>
  <si>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</si>
  <si>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</si>
  <si>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</si>
  <si>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</si>
  <si>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</si>
  <si>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</si>
  <si>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</si>
  <si>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</si>
  <si>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</si>
  <si>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</si>
  <si>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</si>
  <si>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</si>
  <si>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</si>
  <si>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</si>
  <si>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</si>
  <si>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</si>
  <si>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</si>
  <si>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</si>
  <si>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</si>
  <si>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</si>
  <si>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</si>
  <si>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</si>
  <si>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</si>
  <si>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</si>
  <si>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</si>
  <si>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</si>
  <si>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</si>
  <si>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</si>
  <si>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</si>
  <si>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</si>
  <si>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</si>
  <si>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</si>
  <si>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</si>
  <si>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</si>
  <si>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</si>
  <si>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</si>
  <si>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</si>
  <si>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</si>
  <si>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</si>
  <si>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</si>
  <si>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</si>
  <si>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</si>
  <si>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</si>
  <si>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</si>
  <si>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</si>
  <si>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</si>
  <si>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</si>
  <si>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</si>
  <si>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</si>
  <si>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</si>
  <si>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</si>
  <si>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</si>
  <si>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</si>
  <si>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</si>
  <si>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</si>
  <si>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</si>
  <si>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</si>
  <si>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</si>
  <si>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</si>
  <si>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</si>
  <si>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</si>
  <si>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</si>
  <si>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</si>
  <si>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</si>
  <si>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</si>
  <si>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</si>
  <si>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</si>
  <si>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</si>
  <si>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</si>
  <si>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</si>
  <si>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</si>
  <si>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</si>
  <si>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</si>
  <si>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</si>
  <si>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</si>
  <si>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</si>
  <si>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</si>
  <si>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</si>
  <si>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</si>
  <si>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</si>
  <si>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</si>
  <si>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</si>
  <si>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</si>
  <si>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</si>
  <si>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</si>
  <si>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</si>
  <si>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</si>
  <si>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</si>
  <si>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</si>
  <si>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</si>
  <si>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</si>
  <si>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</si>
  <si>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</si>
  <si>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</si>
  <si>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</si>
  <si>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</si>
  <si>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</si>
  <si>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</si>
  <si>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</si>
  <si>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</si>
  <si>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</si>
  <si>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</si>
  <si>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</si>
  <si>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</si>
  <si>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</si>
  <si>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</si>
  <si>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</si>
  <si>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</si>
  <si>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5/15</t>
  </si>
  <si>
    <t>ex ~5/15</t>
  </si>
  <si>
    <t>ex ~6/6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</si>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</sst>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6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63"/>
      <tableStyleElement type="headerRow" dxfId="1362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252416"/>
        <c:axId val="541252808"/>
      </c:scatterChart>
      <c:valAx>
        <c:axId val="54125241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2808"/>
        <c:crosses val="autoZero"/>
        <c:crossBetween val="midCat"/>
      </c:valAx>
      <c:valAx>
        <c:axId val="541252808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253592"/>
        <c:axId val="541253984"/>
      </c:scatterChart>
      <c:valAx>
        <c:axId val="54125359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3984"/>
        <c:crosses val="autoZero"/>
        <c:crossBetween val="midCat"/>
      </c:valAx>
      <c:valAx>
        <c:axId val="54125398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3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254768"/>
        <c:axId val="541255160"/>
      </c:scatterChart>
      <c:valAx>
        <c:axId val="54125476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5160"/>
        <c:crosses val="autoZero"/>
        <c:crossBetween val="midCat"/>
      </c:valAx>
      <c:valAx>
        <c:axId val="54125516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4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257512"/>
        <c:axId val="541257904"/>
      </c:scatterChart>
      <c:valAx>
        <c:axId val="54125751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7904"/>
        <c:crosses val="autoZero"/>
        <c:crossBetween val="midCat"/>
      </c:valAx>
      <c:valAx>
        <c:axId val="54125790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7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258688"/>
        <c:axId val="541259080"/>
      </c:scatterChart>
      <c:valAx>
        <c:axId val="54125868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9080"/>
        <c:crosses val="autoZero"/>
        <c:crossBetween val="midCat"/>
      </c:valAx>
      <c:valAx>
        <c:axId val="54125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260256"/>
        <c:axId val="541260648"/>
      </c:scatterChart>
      <c:valAx>
        <c:axId val="54126025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60648"/>
        <c:crosses val="autoZero"/>
        <c:crossBetween val="midCat"/>
      </c:valAx>
      <c:valAx>
        <c:axId val="54126064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60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261432"/>
        <c:axId val="541261824"/>
      </c:scatterChart>
      <c:valAx>
        <c:axId val="54126143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61824"/>
        <c:crosses val="autoZero"/>
        <c:crossBetween val="midCat"/>
      </c:valAx>
      <c:valAx>
        <c:axId val="5412618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614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211920"/>
        <c:axId val="543212312"/>
      </c:lineChart>
      <c:dateAx>
        <c:axId val="543211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12312"/>
        <c:crosses val="autoZero"/>
        <c:auto val="1"/>
        <c:lblOffset val="100"/>
        <c:baseTimeUnit val="days"/>
      </c:dateAx>
      <c:valAx>
        <c:axId val="54321231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1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257120"/>
        <c:axId val="541256728"/>
      </c:lineChart>
      <c:dateAx>
        <c:axId val="541257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6728"/>
        <c:crosses val="autoZero"/>
        <c:auto val="1"/>
        <c:lblOffset val="100"/>
        <c:baseTimeUnit val="days"/>
      </c:dateAx>
      <c:valAx>
        <c:axId val="54125672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215056"/>
        <c:axId val="543215448"/>
      </c:lineChart>
      <c:dateAx>
        <c:axId val="543215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15448"/>
        <c:crosses val="autoZero"/>
        <c:auto val="1"/>
        <c:lblOffset val="100"/>
        <c:baseTimeUnit val="days"/>
      </c:dateAx>
      <c:valAx>
        <c:axId val="5432154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1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259864"/>
        <c:axId val="543217408"/>
      </c:lineChart>
      <c:dateAx>
        <c:axId val="541259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17408"/>
        <c:crosses val="autoZero"/>
        <c:auto val="1"/>
        <c:lblOffset val="100"/>
        <c:baseTimeUnit val="days"/>
      </c:dateAx>
      <c:valAx>
        <c:axId val="5432174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39592"/>
        <c:axId val="684539984"/>
      </c:lineChart>
      <c:dateAx>
        <c:axId val="684539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39984"/>
        <c:crosses val="autoZero"/>
        <c:auto val="1"/>
        <c:lblOffset val="100"/>
        <c:baseTimeUnit val="days"/>
      </c:dateAx>
      <c:valAx>
        <c:axId val="68453998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39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41944"/>
        <c:axId val="684542336"/>
      </c:lineChart>
      <c:dateAx>
        <c:axId val="684541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42336"/>
        <c:crosses val="autoZero"/>
        <c:auto val="1"/>
        <c:lblOffset val="100"/>
        <c:baseTimeUnit val="days"/>
      </c:dateAx>
      <c:valAx>
        <c:axId val="6845423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41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44296"/>
        <c:axId val="684544688"/>
      </c:lineChart>
      <c:dateAx>
        <c:axId val="684544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44688"/>
        <c:crosses val="autoZero"/>
        <c:auto val="1"/>
        <c:lblOffset val="100"/>
        <c:baseTimeUnit val="days"/>
      </c:dateAx>
      <c:valAx>
        <c:axId val="68454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4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46648"/>
        <c:axId val="684547040"/>
      </c:lineChart>
      <c:dateAx>
        <c:axId val="684546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47040"/>
        <c:crosses val="autoZero"/>
        <c:auto val="1"/>
        <c:lblOffset val="100"/>
        <c:baseTimeUnit val="days"/>
      </c:dateAx>
      <c:valAx>
        <c:axId val="6845470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4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49000"/>
        <c:axId val="684549392"/>
      </c:lineChart>
      <c:dateAx>
        <c:axId val="684549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49392"/>
        <c:crosses val="autoZero"/>
        <c:auto val="1"/>
        <c:lblOffset val="100"/>
        <c:baseTimeUnit val="days"/>
      </c:dateAx>
      <c:valAx>
        <c:axId val="68454939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4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51352"/>
        <c:axId val="684551744"/>
      </c:lineChart>
      <c:dateAx>
        <c:axId val="684551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51744"/>
        <c:crosses val="autoZero"/>
        <c:auto val="1"/>
        <c:lblOffset val="100"/>
        <c:baseTimeUnit val="days"/>
      </c:dateAx>
      <c:valAx>
        <c:axId val="68455174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5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53704"/>
        <c:axId val="684554096"/>
      </c:lineChart>
      <c:dateAx>
        <c:axId val="684553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54096"/>
        <c:crosses val="autoZero"/>
        <c:auto val="1"/>
        <c:lblOffset val="100"/>
        <c:baseTimeUnit val="days"/>
      </c:dateAx>
      <c:valAx>
        <c:axId val="6845540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5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710000"/>
        <c:axId val="686710392"/>
      </c:lineChart>
      <c:dateAx>
        <c:axId val="686710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10392"/>
        <c:crosses val="autoZero"/>
        <c:auto val="1"/>
        <c:lblOffset val="100"/>
        <c:baseTimeUnit val="days"/>
      </c:dateAx>
      <c:valAx>
        <c:axId val="6867103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1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711568"/>
        <c:axId val="686711960"/>
      </c:lineChart>
      <c:catAx>
        <c:axId val="686711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11960"/>
        <c:crosses val="autoZero"/>
        <c:auto val="1"/>
        <c:lblAlgn val="ctr"/>
        <c:lblOffset val="100"/>
        <c:noMultiLvlLbl val="0"/>
      </c:catAx>
      <c:valAx>
        <c:axId val="6867119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1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714312"/>
        <c:axId val="686714704"/>
      </c:lineChart>
      <c:dateAx>
        <c:axId val="686714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14704"/>
        <c:crosses val="autoZero"/>
        <c:auto val="1"/>
        <c:lblOffset val="100"/>
        <c:baseTimeUnit val="days"/>
      </c:dateAx>
      <c:valAx>
        <c:axId val="6867147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1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717056"/>
        <c:axId val="686717448"/>
      </c:lineChart>
      <c:dateAx>
        <c:axId val="686717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17448"/>
        <c:crosses val="autoZero"/>
        <c:auto val="1"/>
        <c:lblOffset val="100"/>
        <c:baseTimeUnit val="days"/>
      </c:dateAx>
      <c:valAx>
        <c:axId val="68671744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1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719016"/>
        <c:axId val="686719408"/>
      </c:lineChart>
      <c:catAx>
        <c:axId val="686719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19408"/>
        <c:crosses val="autoZero"/>
        <c:auto val="1"/>
        <c:lblAlgn val="ctr"/>
        <c:lblOffset val="100"/>
        <c:noMultiLvlLbl val="1"/>
      </c:catAx>
      <c:valAx>
        <c:axId val="68671940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1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720976"/>
        <c:axId val="686721368"/>
      </c:lineChart>
      <c:dateAx>
        <c:axId val="686720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21368"/>
        <c:crosses val="autoZero"/>
        <c:auto val="1"/>
        <c:lblOffset val="100"/>
        <c:baseTimeUnit val="days"/>
      </c:dateAx>
      <c:valAx>
        <c:axId val="686721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2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AAP!$W$2:$W$67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AAP!$AA$2:$AA$68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6996216"/>
        <c:axId val="906993864"/>
      </c:lineChart>
      <c:dateAx>
        <c:axId val="906996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993864"/>
        <c:crosses val="autoZero"/>
        <c:auto val="1"/>
        <c:lblOffset val="100"/>
        <c:baseTimeUnit val="days"/>
      </c:dateAx>
      <c:valAx>
        <c:axId val="9069938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996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723328"/>
        <c:axId val="686723720"/>
      </c:lineChart>
      <c:dateAx>
        <c:axId val="6867233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23720"/>
        <c:crosses val="autoZero"/>
        <c:auto val="1"/>
        <c:lblOffset val="100"/>
        <c:baseTimeUnit val="days"/>
      </c:dateAx>
      <c:valAx>
        <c:axId val="68672372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2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257760"/>
        <c:axId val="697258152"/>
      </c:lineChart>
      <c:dateAx>
        <c:axId val="697257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58152"/>
        <c:crosses val="autoZero"/>
        <c:auto val="1"/>
        <c:lblOffset val="100"/>
        <c:baseTimeUnit val="days"/>
      </c:dateAx>
      <c:valAx>
        <c:axId val="6972581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5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260112"/>
        <c:axId val="697260504"/>
      </c:lineChart>
      <c:dateAx>
        <c:axId val="697260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60504"/>
        <c:crosses val="autoZero"/>
        <c:auto val="1"/>
        <c:lblOffset val="100"/>
        <c:baseTimeUnit val="days"/>
      </c:dateAx>
      <c:valAx>
        <c:axId val="69726050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6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262464"/>
        <c:axId val="697262856"/>
      </c:lineChart>
      <c:dateAx>
        <c:axId val="697262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62856"/>
        <c:crosses val="autoZero"/>
        <c:auto val="1"/>
        <c:lblOffset val="100"/>
        <c:baseTimeUnit val="days"/>
      </c:dateAx>
      <c:valAx>
        <c:axId val="6972628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6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264816"/>
        <c:axId val="697265208"/>
      </c:lineChart>
      <c:catAx>
        <c:axId val="697264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65208"/>
        <c:crosses val="autoZero"/>
        <c:auto val="1"/>
        <c:lblAlgn val="ctr"/>
        <c:lblOffset val="100"/>
        <c:noMultiLvlLbl val="0"/>
      </c:catAx>
      <c:valAx>
        <c:axId val="6972652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6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267560"/>
        <c:axId val="697267952"/>
      </c:lineChart>
      <c:dateAx>
        <c:axId val="697267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67952"/>
        <c:crosses val="autoZero"/>
        <c:auto val="1"/>
        <c:lblOffset val="100"/>
        <c:baseTimeUnit val="days"/>
      </c:dateAx>
      <c:valAx>
        <c:axId val="6972679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6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269912"/>
        <c:axId val="697270304"/>
      </c:lineChart>
      <c:catAx>
        <c:axId val="697269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70304"/>
        <c:crosses val="autoZero"/>
        <c:auto val="1"/>
        <c:lblAlgn val="ctr"/>
        <c:lblOffset val="100"/>
        <c:noMultiLvlLbl val="0"/>
      </c:catAx>
      <c:valAx>
        <c:axId val="6972703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6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272264"/>
        <c:axId val="697272656"/>
      </c:lineChart>
      <c:dateAx>
        <c:axId val="697272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72656"/>
        <c:crosses val="autoZero"/>
        <c:auto val="1"/>
        <c:lblOffset val="100"/>
        <c:baseTimeUnit val="days"/>
      </c:dateAx>
      <c:valAx>
        <c:axId val="6972726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72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054200"/>
        <c:axId val="717054592"/>
      </c:lineChart>
      <c:catAx>
        <c:axId val="717054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54592"/>
        <c:crosses val="autoZero"/>
        <c:auto val="1"/>
        <c:lblAlgn val="ctr"/>
        <c:lblOffset val="100"/>
        <c:noMultiLvlLbl val="0"/>
      </c:catAx>
      <c:valAx>
        <c:axId val="717054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5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056552"/>
        <c:axId val="717056944"/>
      </c:lineChart>
      <c:dateAx>
        <c:axId val="717056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56944"/>
        <c:crosses val="autoZero"/>
        <c:auto val="1"/>
        <c:lblOffset val="100"/>
        <c:baseTimeUnit val="days"/>
      </c:dateAx>
      <c:valAx>
        <c:axId val="7170569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56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058904"/>
        <c:axId val="717059296"/>
      </c:lineChart>
      <c:dateAx>
        <c:axId val="717058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59296"/>
        <c:crosses val="autoZero"/>
        <c:auto val="1"/>
        <c:lblOffset val="100"/>
        <c:baseTimeUnit val="days"/>
      </c:dateAx>
      <c:valAx>
        <c:axId val="71705929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5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061256"/>
        <c:axId val="717061648"/>
      </c:lineChart>
      <c:dateAx>
        <c:axId val="717061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61648"/>
        <c:crosses val="autoZero"/>
        <c:auto val="1"/>
        <c:lblOffset val="100"/>
        <c:baseTimeUnit val="days"/>
      </c:dateAx>
      <c:valAx>
        <c:axId val="7170616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61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063608"/>
        <c:axId val="717064000"/>
      </c:lineChart>
      <c:dateAx>
        <c:axId val="717063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64000"/>
        <c:crosses val="autoZero"/>
        <c:auto val="1"/>
        <c:lblOffset val="100"/>
        <c:baseTimeUnit val="days"/>
      </c:dateAx>
      <c:valAx>
        <c:axId val="7170640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63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065960"/>
        <c:axId val="717066352"/>
      </c:lineChart>
      <c:dateAx>
        <c:axId val="717065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66352"/>
        <c:crosses val="autoZero"/>
        <c:auto val="1"/>
        <c:lblOffset val="100"/>
        <c:baseTimeUnit val="days"/>
      </c:dateAx>
      <c:valAx>
        <c:axId val="71706635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65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068312"/>
        <c:axId val="717068704"/>
      </c:lineChart>
      <c:dateAx>
        <c:axId val="71706831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68704"/>
        <c:crosses val="autoZero"/>
        <c:auto val="0"/>
        <c:lblOffset val="100"/>
        <c:baseTimeUnit val="days"/>
      </c:dateAx>
      <c:valAx>
        <c:axId val="71706870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68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314800"/>
        <c:axId val="735315192"/>
      </c:lineChart>
      <c:catAx>
        <c:axId val="735314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15192"/>
        <c:crosses val="autoZero"/>
        <c:auto val="1"/>
        <c:lblAlgn val="ctr"/>
        <c:lblOffset val="100"/>
        <c:noMultiLvlLbl val="1"/>
      </c:catAx>
      <c:valAx>
        <c:axId val="735315192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1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317152"/>
        <c:axId val="735317544"/>
      </c:lineChart>
      <c:dateAx>
        <c:axId val="735317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17544"/>
        <c:crosses val="autoZero"/>
        <c:auto val="1"/>
        <c:lblOffset val="100"/>
        <c:baseTimeUnit val="days"/>
      </c:dateAx>
      <c:valAx>
        <c:axId val="73531754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1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319504"/>
        <c:axId val="735319896"/>
      </c:lineChart>
      <c:dateAx>
        <c:axId val="735319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19896"/>
        <c:crosses val="autoZero"/>
        <c:auto val="1"/>
        <c:lblOffset val="100"/>
        <c:baseTimeUnit val="days"/>
      </c:dateAx>
      <c:valAx>
        <c:axId val="73531989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1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321856"/>
        <c:axId val="735322248"/>
      </c:lineChart>
      <c:dateAx>
        <c:axId val="735321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22248"/>
        <c:crosses val="autoZero"/>
        <c:auto val="1"/>
        <c:lblOffset val="100"/>
        <c:baseTimeUnit val="days"/>
      </c:dateAx>
      <c:valAx>
        <c:axId val="7353222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2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324208"/>
        <c:axId val="735324600"/>
      </c:lineChart>
      <c:catAx>
        <c:axId val="735324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24600"/>
        <c:crosses val="autoZero"/>
        <c:auto val="1"/>
        <c:lblAlgn val="ctr"/>
        <c:lblOffset val="100"/>
        <c:noMultiLvlLbl val="0"/>
      </c:catAx>
      <c:valAx>
        <c:axId val="7353246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2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326560"/>
        <c:axId val="735326952"/>
      </c:lineChart>
      <c:catAx>
        <c:axId val="735326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26952"/>
        <c:crosses val="autoZero"/>
        <c:auto val="1"/>
        <c:lblAlgn val="ctr"/>
        <c:lblOffset val="100"/>
        <c:noMultiLvlLbl val="0"/>
      </c:catAx>
      <c:valAx>
        <c:axId val="73532695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2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328912"/>
        <c:axId val="735329304"/>
      </c:lineChart>
      <c:catAx>
        <c:axId val="735328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29304"/>
        <c:crosses val="autoZero"/>
        <c:auto val="1"/>
        <c:lblAlgn val="ctr"/>
        <c:lblOffset val="100"/>
        <c:noMultiLvlLbl val="0"/>
      </c:catAx>
      <c:valAx>
        <c:axId val="7353293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2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004920"/>
        <c:axId val="766005312"/>
      </c:lineChart>
      <c:dateAx>
        <c:axId val="766004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05312"/>
        <c:crosses val="autoZero"/>
        <c:auto val="1"/>
        <c:lblOffset val="100"/>
        <c:baseTimeUnit val="days"/>
      </c:dateAx>
      <c:valAx>
        <c:axId val="7660053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0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007272"/>
        <c:axId val="766007664"/>
      </c:lineChart>
      <c:dateAx>
        <c:axId val="766007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07664"/>
        <c:crosses val="autoZero"/>
        <c:auto val="1"/>
        <c:lblOffset val="100"/>
        <c:baseTimeUnit val="days"/>
      </c:dateAx>
      <c:valAx>
        <c:axId val="76600766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0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009624"/>
        <c:axId val="766010016"/>
      </c:lineChart>
      <c:dateAx>
        <c:axId val="766009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10016"/>
        <c:crosses val="autoZero"/>
        <c:auto val="1"/>
        <c:lblOffset val="100"/>
        <c:baseTimeUnit val="days"/>
      </c:dateAx>
      <c:valAx>
        <c:axId val="76601001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0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011584"/>
        <c:axId val="766011976"/>
      </c:lineChart>
      <c:catAx>
        <c:axId val="766011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11976"/>
        <c:crosses val="autoZero"/>
        <c:auto val="1"/>
        <c:lblAlgn val="ctr"/>
        <c:lblOffset val="100"/>
        <c:noMultiLvlLbl val="1"/>
      </c:catAx>
      <c:valAx>
        <c:axId val="76601197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1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013936"/>
        <c:axId val="766014328"/>
      </c:lineChart>
      <c:dateAx>
        <c:axId val="766013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14328"/>
        <c:crosses val="autoZero"/>
        <c:auto val="1"/>
        <c:lblOffset val="100"/>
        <c:baseTimeUnit val="days"/>
      </c:dateAx>
      <c:valAx>
        <c:axId val="7660143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1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016288"/>
        <c:axId val="766016680"/>
      </c:lineChart>
      <c:dateAx>
        <c:axId val="766016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16680"/>
        <c:crosses val="autoZero"/>
        <c:auto val="1"/>
        <c:lblOffset val="100"/>
        <c:baseTimeUnit val="days"/>
      </c:dateAx>
      <c:valAx>
        <c:axId val="766016680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1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018640"/>
        <c:axId val="766019032"/>
      </c:lineChart>
      <c:catAx>
        <c:axId val="766018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19032"/>
        <c:crosses val="autoZero"/>
        <c:auto val="1"/>
        <c:lblAlgn val="ctr"/>
        <c:lblOffset val="100"/>
        <c:noMultiLvlLbl val="0"/>
      </c:catAx>
      <c:valAx>
        <c:axId val="766019032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1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194920"/>
        <c:axId val="766195312"/>
      </c:lineChart>
      <c:dateAx>
        <c:axId val="766194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95312"/>
        <c:crosses val="autoZero"/>
        <c:auto val="1"/>
        <c:lblOffset val="100"/>
        <c:baseTimeUnit val="days"/>
      </c:dateAx>
      <c:valAx>
        <c:axId val="7661953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9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197272"/>
        <c:axId val="766197664"/>
      </c:lineChart>
      <c:dateAx>
        <c:axId val="766197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97664"/>
        <c:crosses val="autoZero"/>
        <c:auto val="1"/>
        <c:lblOffset val="100"/>
        <c:baseTimeUnit val="days"/>
      </c:dateAx>
      <c:valAx>
        <c:axId val="7661976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9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199624"/>
        <c:axId val="766200016"/>
      </c:lineChart>
      <c:catAx>
        <c:axId val="766199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200016"/>
        <c:crosses val="autoZero"/>
        <c:auto val="1"/>
        <c:lblAlgn val="ctr"/>
        <c:lblOffset val="100"/>
        <c:noMultiLvlLbl val="0"/>
      </c:catAx>
      <c:valAx>
        <c:axId val="7662000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9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201976"/>
        <c:axId val="766202368"/>
      </c:lineChart>
      <c:catAx>
        <c:axId val="766201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202368"/>
        <c:crosses val="autoZero"/>
        <c:auto val="1"/>
        <c:lblAlgn val="ctr"/>
        <c:lblOffset val="100"/>
        <c:noMultiLvlLbl val="0"/>
      </c:catAx>
      <c:valAx>
        <c:axId val="766202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20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204328"/>
        <c:axId val="766204720"/>
      </c:lineChart>
      <c:catAx>
        <c:axId val="766204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204720"/>
        <c:crosses val="autoZero"/>
        <c:auto val="1"/>
        <c:lblAlgn val="ctr"/>
        <c:lblOffset val="100"/>
        <c:noMultiLvlLbl val="0"/>
      </c:catAx>
      <c:valAx>
        <c:axId val="7662047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204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206680"/>
        <c:axId val="766207072"/>
      </c:lineChart>
      <c:dateAx>
        <c:axId val="766206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207072"/>
        <c:crosses val="autoZero"/>
        <c:auto val="1"/>
        <c:lblOffset val="100"/>
        <c:baseTimeUnit val="days"/>
      </c:dateAx>
      <c:valAx>
        <c:axId val="7662070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20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209032"/>
        <c:axId val="766209424"/>
      </c:lineChart>
      <c:dateAx>
        <c:axId val="7662090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209424"/>
        <c:crosses val="autoZero"/>
        <c:auto val="1"/>
        <c:lblOffset val="100"/>
        <c:baseTimeUnit val="days"/>
      </c:dateAx>
      <c:valAx>
        <c:axId val="7662094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20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8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KAM" backgroundRefresh="0" connectionId="8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JNJ" backgroundRefresh="0" connectionId="10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dg" backgroundRefresh="0" connectionId="9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MOS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vgk" backgroundRefresh="0" connectionId="7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vgk" backgroundRefres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clh" backgroundRefresh="0" connectionId="9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SPY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SPY" backgroundRefresh="0" connectionId="7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ALL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backgroundRefresh="0" adjustColumnWidth="0" connectionId="7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IS" adjustColumnWidth="0" connectionId="7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4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http://www.trendforce.com/price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4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59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61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3.xml"/><Relationship Id="rId4" Type="http://schemas.openxmlformats.org/officeDocument/2006/relationships/queryTable" Target="../queryTables/queryTable6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6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6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7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8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queryTable" Target="../queryTables/queryTable84.xml"/><Relationship Id="rId1" Type="http://schemas.openxmlformats.org/officeDocument/2006/relationships/drawing" Target="../drawings/drawing5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8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89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queryTable" Target="../queryTables/queryTable94.xml"/><Relationship Id="rId1" Type="http://schemas.openxmlformats.org/officeDocument/2006/relationships/drawing" Target="../drawings/drawing5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9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9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0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queryTable" Target="../queryTables/queryTable102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41" activePane="bottomLeft" state="frozen"/>
      <selection pane="bottomLeft" activeCell="M60" sqref="M60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1" ht="21.95" customHeight="1" x14ac:dyDescent="0.25">
      <c r="A2" s="51"/>
      <c r="B2" s="51"/>
      <c r="C2" s="52"/>
      <c r="E2" s="23" t="s">
        <v>10</v>
      </c>
      <c r="F2" s="246">
        <v>32.94</v>
      </c>
      <c r="G2" s="246">
        <v>32.94</v>
      </c>
      <c r="H2" s="334">
        <v>0</v>
      </c>
      <c r="I2" s="49">
        <v>0</v>
      </c>
      <c r="J2" s="372">
        <v>0</v>
      </c>
      <c r="K2" s="358">
        <v>0</v>
      </c>
      <c r="L2" s="372">
        <v>1128.3800000000047</v>
      </c>
      <c r="M2">
        <v>0</v>
      </c>
      <c r="N2" s="369" t="str">
        <f>HYPERLINK("http://finance.yahoo.com/q?s=" &amp; E2, "Link")</f>
        <v>Link</v>
      </c>
      <c r="O2" s="368">
        <v>1.2500000000000001E-2</v>
      </c>
      <c r="P2" s="368">
        <v>-1.14E-2</v>
      </c>
      <c r="Q2" s="150"/>
      <c r="R2" s="49"/>
      <c r="S2" s="49"/>
    </row>
    <row r="3" spans="1:21" ht="21.95" customHeight="1" x14ac:dyDescent="0.25">
      <c r="A3" s="51"/>
      <c r="B3" s="51"/>
      <c r="C3" s="52"/>
      <c r="E3" s="23" t="s">
        <v>762</v>
      </c>
      <c r="F3" s="246">
        <v>131.30000000000001</v>
      </c>
      <c r="G3" s="246">
        <v>132.88</v>
      </c>
      <c r="H3" s="334">
        <v>25</v>
      </c>
      <c r="I3" s="49">
        <v>3322</v>
      </c>
      <c r="J3" s="372">
        <v>-39.499999999999545</v>
      </c>
      <c r="K3" s="358">
        <v>-1.1890427453341242E-2</v>
      </c>
      <c r="L3" s="372">
        <v>-39.499999999999545</v>
      </c>
      <c r="M3" s="30">
        <v>42923</v>
      </c>
      <c r="N3" s="369" t="str">
        <f>HYPERLINK("http://finance.yahoo.com/q?s=" &amp; E3, "Link")</f>
        <v>Link</v>
      </c>
      <c r="O3" s="368">
        <v>1.49E-2</v>
      </c>
      <c r="P3" s="368">
        <v>-3.15E-2</v>
      </c>
      <c r="Q3" s="150"/>
      <c r="S3" s="49"/>
      <c r="U3" s="49"/>
    </row>
    <row r="4" spans="1:21" ht="21.95" customHeight="1" x14ac:dyDescent="0.25">
      <c r="A4" s="157"/>
      <c r="B4" s="51"/>
      <c r="C4" s="52"/>
      <c r="E4" s="23" t="s">
        <v>205</v>
      </c>
      <c r="F4" s="246">
        <v>154.44999999999999</v>
      </c>
      <c r="G4" s="246">
        <v>154.44999999999999</v>
      </c>
      <c r="H4" s="50">
        <v>0</v>
      </c>
      <c r="I4" s="49">
        <v>0</v>
      </c>
      <c r="J4" s="372">
        <v>0</v>
      </c>
      <c r="K4" s="358">
        <v>0</v>
      </c>
      <c r="L4" s="49">
        <v>363.09999999999945</v>
      </c>
      <c r="M4">
        <v>0</v>
      </c>
      <c r="N4" s="369" t="str">
        <f>HYPERLINK("http://finance.yahoo.com/q?s=" &amp; E4, "Link")</f>
        <v>Link</v>
      </c>
      <c r="O4" s="358">
        <v>1.5900000000000001E-2</v>
      </c>
      <c r="P4" s="358">
        <v>3.3999999999999998E-3</v>
      </c>
      <c r="R4" s="49"/>
      <c r="S4" s="49"/>
      <c r="T4" s="49"/>
    </row>
    <row r="5" spans="1:21" ht="21.95" customHeight="1" x14ac:dyDescent="0.25">
      <c r="A5" s="51"/>
      <c r="B5" s="52"/>
      <c r="C5" s="52"/>
      <c r="E5" s="23" t="s">
        <v>254</v>
      </c>
      <c r="F5" s="246">
        <v>48.45</v>
      </c>
      <c r="G5" s="246">
        <v>48.45</v>
      </c>
      <c r="H5" s="334">
        <v>0</v>
      </c>
      <c r="I5" s="49">
        <v>0</v>
      </c>
      <c r="J5" s="372">
        <v>0</v>
      </c>
      <c r="K5" s="358">
        <v>0</v>
      </c>
      <c r="L5" s="372">
        <v>92.650000000000091</v>
      </c>
      <c r="M5">
        <v>0</v>
      </c>
      <c r="N5" s="369" t="str">
        <f>HYPERLINK("http://finance.yahoo.com/q?s=" &amp; E5, "Link")</f>
        <v>Link</v>
      </c>
      <c r="O5" s="368">
        <v>0</v>
      </c>
      <c r="P5" s="368">
        <v>-9.4000000000000004E-3</v>
      </c>
      <c r="Q5" s="150"/>
      <c r="R5" s="49"/>
    </row>
    <row r="6" spans="1:21" ht="21.95" customHeight="1" x14ac:dyDescent="0.25">
      <c r="A6" s="51"/>
      <c r="B6" s="51"/>
      <c r="C6" s="52"/>
      <c r="E6" s="23" t="s">
        <v>45</v>
      </c>
      <c r="F6" s="246">
        <v>85.82</v>
      </c>
      <c r="G6" s="246">
        <v>85.82</v>
      </c>
      <c r="H6" s="334">
        <v>0</v>
      </c>
      <c r="I6" s="49">
        <v>0</v>
      </c>
      <c r="J6" s="372">
        <v>0</v>
      </c>
      <c r="K6" s="358">
        <v>0</v>
      </c>
      <c r="L6" s="372">
        <v>523.61999999999898</v>
      </c>
      <c r="M6">
        <v>0</v>
      </c>
      <c r="N6" s="369" t="str">
        <f>HYPERLINK("http://finance.yahoo.com/q?s=" &amp; E6, "Link")</f>
        <v>Link</v>
      </c>
      <c r="O6" s="368">
        <v>1.67E-2</v>
      </c>
      <c r="P6" s="368">
        <v>-9.1000000000000004E-3</v>
      </c>
      <c r="Q6" s="150"/>
      <c r="R6" s="49"/>
      <c r="S6" s="49"/>
    </row>
    <row r="7" spans="1:21" ht="21.95" customHeight="1" x14ac:dyDescent="0.25">
      <c r="A7" s="51"/>
      <c r="B7" s="51"/>
      <c r="C7" s="52"/>
      <c r="E7" s="23" t="s">
        <v>341</v>
      </c>
      <c r="F7" s="246">
        <v>23.824999999999999</v>
      </c>
      <c r="G7" s="246">
        <v>23.824999999999999</v>
      </c>
      <c r="H7" s="50">
        <v>0</v>
      </c>
      <c r="I7" s="49">
        <v>0</v>
      </c>
      <c r="J7" s="372">
        <v>0</v>
      </c>
      <c r="K7" s="358">
        <v>0</v>
      </c>
      <c r="L7" s="49">
        <v>1283.4199999999946</v>
      </c>
      <c r="M7">
        <v>0</v>
      </c>
      <c r="N7" s="369" t="str">
        <f>HYPERLINK("http://finance.yahoo.com/q?s=" &amp; E7, "Link")</f>
        <v>Link</v>
      </c>
      <c r="O7" s="358">
        <v>0</v>
      </c>
      <c r="P7" s="358">
        <v>5.2700000000000004E-3</v>
      </c>
      <c r="S7" s="49"/>
    </row>
    <row r="8" spans="1:21" ht="21.95" customHeight="1" x14ac:dyDescent="0.25">
      <c r="A8" s="51"/>
      <c r="B8" s="51"/>
      <c r="C8" s="52"/>
      <c r="E8" s="23" t="s">
        <v>755</v>
      </c>
      <c r="F8" s="246">
        <v>27.47</v>
      </c>
      <c r="G8" s="246">
        <v>27.47</v>
      </c>
      <c r="H8" s="334">
        <v>0</v>
      </c>
      <c r="I8" s="49">
        <v>0</v>
      </c>
      <c r="J8" s="372">
        <v>0</v>
      </c>
      <c r="K8" s="358">
        <v>0</v>
      </c>
      <c r="L8" s="372">
        <v>309.26000000000022</v>
      </c>
      <c r="M8">
        <v>0</v>
      </c>
      <c r="N8" s="369" t="str">
        <f>HYPERLINK("http://finance.yahoo.com/q?s=" &amp; E8, "Link")</f>
        <v>Link</v>
      </c>
      <c r="O8" s="368">
        <v>8.8000000000000005E-3</v>
      </c>
      <c r="P8" s="368">
        <v>0</v>
      </c>
      <c r="Q8" s="150"/>
      <c r="S8" s="49"/>
      <c r="T8" s="49"/>
    </row>
    <row r="9" spans="1:21" ht="21.95" customHeight="1" x14ac:dyDescent="0.25">
      <c r="A9" s="51"/>
      <c r="B9" s="51"/>
      <c r="C9" s="52"/>
      <c r="E9" s="23" t="s">
        <v>33</v>
      </c>
      <c r="F9" s="246">
        <v>253.86</v>
      </c>
      <c r="G9" s="246">
        <v>253.86</v>
      </c>
      <c r="H9" s="334">
        <v>0</v>
      </c>
      <c r="I9" s="49">
        <v>0</v>
      </c>
      <c r="J9" s="372">
        <v>0</v>
      </c>
      <c r="K9" s="358">
        <v>0</v>
      </c>
      <c r="L9" s="372">
        <v>780.73999999999796</v>
      </c>
      <c r="M9">
        <v>0</v>
      </c>
      <c r="N9" s="369" t="str">
        <f>HYPERLINK("http://finance.yahoo.com/q?s=" &amp; E9, "Link")</f>
        <v>Link</v>
      </c>
      <c r="O9" s="368">
        <v>1.8599999999999998E-2</v>
      </c>
      <c r="P9" s="368">
        <v>6.4999999999999997E-3</v>
      </c>
      <c r="Q9" s="150"/>
      <c r="R9" s="49"/>
      <c r="S9" s="49"/>
    </row>
    <row r="10" spans="1:21" ht="21.95" customHeight="1" x14ac:dyDescent="0.25">
      <c r="A10" s="51"/>
      <c r="B10" s="51"/>
      <c r="C10" s="52"/>
      <c r="E10" s="23" t="s">
        <v>228</v>
      </c>
      <c r="F10" s="246">
        <v>78.849999999999994</v>
      </c>
      <c r="G10" s="246">
        <v>78.849999999999994</v>
      </c>
      <c r="H10" s="334">
        <v>0</v>
      </c>
      <c r="I10" s="49">
        <v>0</v>
      </c>
      <c r="J10" s="372">
        <v>0</v>
      </c>
      <c r="K10" s="358">
        <v>0</v>
      </c>
      <c r="L10" s="372">
        <v>231.53999999999996</v>
      </c>
      <c r="M10">
        <v>0</v>
      </c>
      <c r="N10" s="369" t="str">
        <f>HYPERLINK("http://finance.yahoo.com/q?s=" &amp; E10, "Link")</f>
        <v>Link</v>
      </c>
      <c r="O10" s="368">
        <v>1.6199999999999999E-2</v>
      </c>
      <c r="P10" s="368">
        <v>-1.5E-3</v>
      </c>
      <c r="Q10" s="150"/>
      <c r="R10" s="49"/>
      <c r="S10" s="49"/>
    </row>
    <row r="11" spans="1:21" ht="21.95" customHeight="1" x14ac:dyDescent="0.25">
      <c r="A11" s="51"/>
      <c r="B11" s="51"/>
      <c r="C11" s="52"/>
      <c r="E11" s="23" t="s">
        <v>62</v>
      </c>
      <c r="F11" s="246">
        <v>257.16000000000003</v>
      </c>
      <c r="G11" s="246">
        <v>257.16000000000003</v>
      </c>
      <c r="H11" s="334">
        <v>0</v>
      </c>
      <c r="I11" s="49">
        <v>0</v>
      </c>
      <c r="J11" s="372">
        <v>0</v>
      </c>
      <c r="K11" s="358">
        <v>0</v>
      </c>
      <c r="L11" s="372">
        <v>1659.3600000000079</v>
      </c>
      <c r="M11">
        <v>0</v>
      </c>
      <c r="N11" s="369" t="str">
        <f>HYPERLINK("http://finance.yahoo.com/q?s=" &amp; E11, "Link")</f>
        <v>Link</v>
      </c>
      <c r="O11" s="368">
        <v>0</v>
      </c>
      <c r="P11" s="368">
        <v>-5.1999999999999998E-3</v>
      </c>
      <c r="Q11" s="49"/>
      <c r="R11" s="49"/>
      <c r="U11" s="49"/>
    </row>
    <row r="12" spans="1:21" ht="21.95" customHeight="1" x14ac:dyDescent="0.25">
      <c r="A12" s="51"/>
      <c r="B12" s="51"/>
      <c r="C12" s="52"/>
      <c r="E12" s="23" t="s">
        <v>310</v>
      </c>
      <c r="F12" s="246">
        <v>51.66</v>
      </c>
      <c r="G12" s="246">
        <v>51.66</v>
      </c>
      <c r="H12" s="334">
        <v>0</v>
      </c>
      <c r="I12" s="49">
        <v>0</v>
      </c>
      <c r="J12" s="372">
        <v>0</v>
      </c>
      <c r="K12" s="358">
        <v>0</v>
      </c>
      <c r="L12" s="372">
        <v>910.79999999999927</v>
      </c>
      <c r="M12">
        <v>0</v>
      </c>
      <c r="N12" s="369" t="str">
        <f>HYPERLINK("http://finance.yahoo.com/q?s=" &amp; E12, "Link")</f>
        <v>Link</v>
      </c>
      <c r="O12" s="368">
        <v>2.87E-2</v>
      </c>
      <c r="P12" s="368">
        <v>-1.34E-2</v>
      </c>
      <c r="Q12" s="49"/>
      <c r="R12" s="49"/>
      <c r="S12" s="49"/>
      <c r="T12" s="49"/>
    </row>
    <row r="13" spans="1:21" ht="21.95" customHeight="1" x14ac:dyDescent="0.25">
      <c r="A13" s="61"/>
      <c r="B13" s="62"/>
      <c r="C13" s="61"/>
      <c r="E13" s="23" t="s">
        <v>52</v>
      </c>
      <c r="F13" s="246">
        <v>73.94</v>
      </c>
      <c r="G13" s="246">
        <v>73.94</v>
      </c>
      <c r="H13" s="334">
        <v>0</v>
      </c>
      <c r="I13" s="49">
        <v>0</v>
      </c>
      <c r="J13" s="372">
        <v>0</v>
      </c>
      <c r="K13" s="358">
        <v>0</v>
      </c>
      <c r="L13" s="372">
        <v>1056.739999999998</v>
      </c>
      <c r="M13">
        <v>0</v>
      </c>
      <c r="N13" s="369" t="str">
        <f>HYPERLINK("http://finance.yahoo.com/q?s=" &amp; E13, "Link")</f>
        <v>Link</v>
      </c>
      <c r="O13" s="368">
        <v>2.1999999999999999E-2</v>
      </c>
      <c r="P13" s="368">
        <v>-0.02</v>
      </c>
      <c r="R13" s="49"/>
    </row>
    <row r="14" spans="1:21" ht="21.95" customHeight="1" x14ac:dyDescent="0.25">
      <c r="A14" s="51"/>
      <c r="B14" s="51"/>
      <c r="C14" s="51"/>
      <c r="E14" s="23" t="s">
        <v>328</v>
      </c>
      <c r="F14" s="246">
        <v>40.950000000000003</v>
      </c>
      <c r="G14" s="246">
        <v>40.950000000000003</v>
      </c>
      <c r="H14" s="334">
        <v>0</v>
      </c>
      <c r="I14" s="49">
        <v>0</v>
      </c>
      <c r="J14" s="372">
        <v>0</v>
      </c>
      <c r="K14" s="358">
        <v>0</v>
      </c>
      <c r="L14" s="372">
        <v>264.92000000000007</v>
      </c>
      <c r="M14">
        <v>0</v>
      </c>
      <c r="N14" s="369" t="str">
        <f>HYPERLINK("http://finance.yahoo.com/q?s=" &amp; E14, "Link")</f>
        <v>Link</v>
      </c>
      <c r="O14" s="368">
        <v>3.4200000000000001E-2</v>
      </c>
      <c r="P14" s="368">
        <v>-6.7999999999999996E-3</v>
      </c>
      <c r="S14" s="49"/>
    </row>
    <row r="15" spans="1:21" ht="21.95" customHeight="1" x14ac:dyDescent="0.25">
      <c r="A15" s="51"/>
      <c r="B15" s="51"/>
      <c r="C15" s="52"/>
      <c r="E15" s="23" t="s">
        <v>226</v>
      </c>
      <c r="F15" s="246">
        <v>26.1</v>
      </c>
      <c r="G15" s="246">
        <v>29.892942857142859</v>
      </c>
      <c r="H15" s="334">
        <v>350</v>
      </c>
      <c r="I15" s="49">
        <v>10462.530000000001</v>
      </c>
      <c r="J15" s="372">
        <v>-1327.5300000000007</v>
      </c>
      <c r="K15" s="358">
        <v>-0.12688422398788823</v>
      </c>
      <c r="L15" s="372">
        <v>1982.9399999999932</v>
      </c>
      <c r="M15">
        <v>250</v>
      </c>
      <c r="N15" s="369" t="str">
        <f>HYPERLINK("http://finance.yahoo.com/q?s=" &amp; E15, "Link")</f>
        <v>Link</v>
      </c>
      <c r="O15" s="368">
        <v>4.0899999999999999E-2</v>
      </c>
      <c r="P15" s="368">
        <v>-6.7999999999999996E-3</v>
      </c>
      <c r="Q15" s="49"/>
      <c r="R15" s="49"/>
      <c r="S15" s="49"/>
      <c r="T15" s="49"/>
    </row>
    <row r="16" spans="1:21" ht="21.95" customHeight="1" x14ac:dyDescent="0.25">
      <c r="A16" s="61"/>
      <c r="B16" s="62"/>
      <c r="C16" s="61"/>
      <c r="E16" s="23" t="s">
        <v>8</v>
      </c>
      <c r="F16" s="246">
        <v>78.86</v>
      </c>
      <c r="G16" s="50">
        <v>78.86</v>
      </c>
      <c r="H16" s="334">
        <v>0</v>
      </c>
      <c r="I16" s="49">
        <v>0</v>
      </c>
      <c r="J16" s="372">
        <v>0</v>
      </c>
      <c r="K16" s="358">
        <v>0</v>
      </c>
      <c r="L16" s="372">
        <v>121.94999999999982</v>
      </c>
      <c r="M16">
        <v>0</v>
      </c>
      <c r="N16" s="369" t="str">
        <f>HYPERLINK("http://finance.yahoo.com/q?s=" &amp; E16, "Link")</f>
        <v>Link</v>
      </c>
      <c r="O16" s="368">
        <v>1.67E-2</v>
      </c>
      <c r="P16" s="368">
        <v>4.0000000000000002E-4</v>
      </c>
      <c r="Q16" s="150"/>
      <c r="R16" s="49"/>
      <c r="S16" s="49"/>
      <c r="T16" s="49"/>
    </row>
    <row r="17" spans="1:22" ht="21.95" customHeight="1" x14ac:dyDescent="0.25">
      <c r="A17" s="51"/>
      <c r="B17" s="51"/>
      <c r="C17" s="52"/>
      <c r="E17" s="23" t="s">
        <v>17</v>
      </c>
      <c r="F17" s="246">
        <v>13.1</v>
      </c>
      <c r="G17" s="246">
        <v>35.485680000000166</v>
      </c>
      <c r="H17" s="334">
        <v>1000</v>
      </c>
      <c r="I17" s="49">
        <v>35485.680000000168</v>
      </c>
      <c r="J17" s="372">
        <v>-22385.680000000168</v>
      </c>
      <c r="K17" s="358">
        <v>-0.63083700241900564</v>
      </c>
      <c r="L17" s="372">
        <v>-22385.680000000168</v>
      </c>
      <c r="M17">
        <v>1000</v>
      </c>
      <c r="N17" s="369" t="str">
        <f>HYPERLINK("http://finance.yahoo.com/q?s=" &amp; E17, "Link")</f>
        <v>Link</v>
      </c>
      <c r="O17" s="368">
        <v>0</v>
      </c>
      <c r="P17" s="368">
        <v>1.1599999999999999E-2</v>
      </c>
      <c r="S17" s="49"/>
    </row>
    <row r="18" spans="1:22" ht="21.95" customHeight="1" x14ac:dyDescent="0.25">
      <c r="A18" s="52"/>
      <c r="B18" s="52"/>
      <c r="C18" s="52"/>
      <c r="E18" s="23" t="s">
        <v>284</v>
      </c>
      <c r="F18" s="246">
        <v>77.900000000000006</v>
      </c>
      <c r="G18" s="246">
        <v>77.900000000000006</v>
      </c>
      <c r="H18" s="334">
        <v>0</v>
      </c>
      <c r="I18" s="49">
        <v>0</v>
      </c>
      <c r="J18" s="372">
        <v>0</v>
      </c>
      <c r="K18" s="358">
        <v>0</v>
      </c>
      <c r="L18" s="372">
        <v>197.20999999999549</v>
      </c>
      <c r="M18">
        <v>0</v>
      </c>
      <c r="N18" s="369" t="str">
        <f>HYPERLINK("http://finance.yahoo.com/q?s=" &amp; E18, "Link")</f>
        <v>Link</v>
      </c>
      <c r="O18" s="368">
        <v>2.5499999999999998E-2</v>
      </c>
      <c r="P18" s="368">
        <v>-1.1299999999999999E-2</v>
      </c>
      <c r="Q18" s="49"/>
      <c r="R18" s="49"/>
      <c r="T18" s="49"/>
      <c r="V18" s="49"/>
    </row>
    <row r="19" spans="1:22" ht="21.95" customHeight="1" x14ac:dyDescent="0.25">
      <c r="A19" s="52"/>
      <c r="B19" s="52"/>
      <c r="C19" s="52"/>
      <c r="E19" s="23" t="s">
        <v>32</v>
      </c>
      <c r="F19" s="246">
        <v>51.23</v>
      </c>
      <c r="G19" s="246">
        <v>51.23</v>
      </c>
      <c r="H19" s="50">
        <v>0</v>
      </c>
      <c r="I19" s="49">
        <v>0</v>
      </c>
      <c r="J19" s="372">
        <v>0</v>
      </c>
      <c r="K19" s="358">
        <v>0</v>
      </c>
      <c r="L19" s="49">
        <v>1198.4699999999971</v>
      </c>
      <c r="M19">
        <v>0</v>
      </c>
      <c r="N19" s="369" t="str">
        <f>HYPERLINK("http://finance.yahoo.com/q?s=" &amp; E19, "Link")</f>
        <v>Link</v>
      </c>
      <c r="O19" s="358">
        <v>1.7600000000000001E-2</v>
      </c>
      <c r="P19" s="358">
        <v>-3.0999999999999999E-3</v>
      </c>
      <c r="R19" s="49"/>
      <c r="T19" s="49"/>
    </row>
    <row r="20" spans="1:22" ht="21.95" customHeight="1" x14ac:dyDescent="0.25">
      <c r="A20" s="52"/>
      <c r="B20" s="157"/>
      <c r="C20" s="335"/>
      <c r="E20" s="23" t="s">
        <v>274</v>
      </c>
      <c r="F20" s="246">
        <v>75.34</v>
      </c>
      <c r="G20" s="246">
        <v>69.666600000000003</v>
      </c>
      <c r="H20" s="334">
        <v>100</v>
      </c>
      <c r="I20" s="435">
        <v>6966.66</v>
      </c>
      <c r="J20" s="372">
        <v>567.34000000000015</v>
      </c>
      <c r="K20" s="358">
        <v>8.1436441565972795E-2</v>
      </c>
      <c r="L20" s="372">
        <v>725.63999999999942</v>
      </c>
      <c r="M20" s="30">
        <v>42902</v>
      </c>
      <c r="N20" s="369" t="str">
        <f>HYPERLINK("http://finance.yahoo.com/q?s=" &amp; E20, "Link")</f>
        <v>Link</v>
      </c>
      <c r="O20" s="368">
        <v>1.49E-2</v>
      </c>
      <c r="P20" s="368">
        <v>-3.7900000000000003E-2</v>
      </c>
      <c r="R20" s="49"/>
    </row>
    <row r="21" spans="1:22" ht="21.95" customHeight="1" x14ac:dyDescent="0.25">
      <c r="A21" s="52"/>
      <c r="B21" s="51"/>
      <c r="C21" s="52"/>
      <c r="E21" s="23" t="s">
        <v>63</v>
      </c>
      <c r="F21" s="246">
        <v>105.5</v>
      </c>
      <c r="G21" s="246">
        <v>105.5</v>
      </c>
      <c r="H21" s="334">
        <v>0</v>
      </c>
      <c r="I21" s="49">
        <v>0</v>
      </c>
      <c r="J21" s="372">
        <v>0</v>
      </c>
      <c r="K21" s="358">
        <v>0</v>
      </c>
      <c r="L21" s="372">
        <v>257.30999999999949</v>
      </c>
      <c r="M21">
        <v>0</v>
      </c>
      <c r="N21" s="369" t="str">
        <f>HYPERLINK("http://finance.yahoo.com/q?s=" &amp; E21, "Link")</f>
        <v>Link</v>
      </c>
      <c r="O21" s="368">
        <v>1.38E-2</v>
      </c>
      <c r="P21" s="368">
        <v>-9.5999999999999992E-3</v>
      </c>
      <c r="Q21" s="445"/>
      <c r="R21" s="49"/>
      <c r="S21" s="49"/>
    </row>
    <row r="22" spans="1:22" ht="21.95" customHeight="1" x14ac:dyDescent="0.25">
      <c r="A22" s="51"/>
      <c r="B22" s="52"/>
      <c r="C22" s="52"/>
      <c r="E22" s="23" t="s">
        <v>320</v>
      </c>
      <c r="F22" s="246">
        <v>116.84</v>
      </c>
      <c r="G22" s="246">
        <v>116.84</v>
      </c>
      <c r="H22" s="334">
        <v>0</v>
      </c>
      <c r="I22" s="49">
        <v>0</v>
      </c>
      <c r="J22" s="372">
        <v>0</v>
      </c>
      <c r="K22" s="358">
        <v>0</v>
      </c>
      <c r="L22" s="372">
        <v>720.56000000000131</v>
      </c>
      <c r="M22">
        <v>0</v>
      </c>
      <c r="N22" s="369" t="str">
        <f>HYPERLINK("http://finance.yahoo.com/q?s=" &amp; E22, "Link")</f>
        <v>Link</v>
      </c>
      <c r="O22" s="368">
        <v>0</v>
      </c>
      <c r="P22" s="368">
        <v>-8.9999999999999998E-4</v>
      </c>
      <c r="S22" s="49"/>
    </row>
    <row r="23" spans="1:22" ht="21.95" customHeight="1" x14ac:dyDescent="0.25">
      <c r="A23" s="51"/>
      <c r="B23" s="51"/>
      <c r="C23" s="52"/>
      <c r="E23" s="23" t="s">
        <v>199</v>
      </c>
      <c r="F23" s="246">
        <v>11.12</v>
      </c>
      <c r="G23" s="246">
        <v>11.12</v>
      </c>
      <c r="H23" s="50">
        <v>0</v>
      </c>
      <c r="I23" s="49">
        <v>0</v>
      </c>
      <c r="J23" s="372">
        <v>0</v>
      </c>
      <c r="K23" s="358">
        <v>0</v>
      </c>
      <c r="L23" s="49">
        <v>251.26000000000022</v>
      </c>
      <c r="M23">
        <v>0</v>
      </c>
      <c r="N23" s="369" t="str">
        <f>HYPERLINK("http://finance.yahoo.com/q?s=" &amp; E23, "Link")</f>
        <v>Link</v>
      </c>
      <c r="O23" s="358">
        <v>5.1499999999999997E-2</v>
      </c>
      <c r="P23" s="358">
        <v>-1.1599999999999999E-2</v>
      </c>
      <c r="Q23" s="150"/>
    </row>
    <row r="24" spans="1:22" ht="21.95" customHeight="1" x14ac:dyDescent="0.25">
      <c r="A24" s="51"/>
      <c r="B24" s="51"/>
      <c r="C24" s="52"/>
      <c r="E24" s="23" t="s">
        <v>275</v>
      </c>
      <c r="F24" s="246">
        <v>27.53</v>
      </c>
      <c r="G24" s="246">
        <v>27.53</v>
      </c>
      <c r="H24" s="334">
        <v>0</v>
      </c>
      <c r="I24" s="49">
        <v>0</v>
      </c>
      <c r="J24" s="372">
        <v>0</v>
      </c>
      <c r="K24" s="358">
        <v>0</v>
      </c>
      <c r="L24" s="372">
        <v>98.449999999999818</v>
      </c>
      <c r="M24">
        <v>0</v>
      </c>
      <c r="N24" s="369" t="str">
        <f>HYPERLINK("http://finance.yahoo.com/q?s=" &amp; E24, "Link")</f>
        <v>Link</v>
      </c>
      <c r="O24" s="368">
        <v>1.11E-2</v>
      </c>
      <c r="P24" s="368">
        <v>-7.6E-3</v>
      </c>
      <c r="Q24" s="445"/>
      <c r="R24" s="49"/>
      <c r="S24" s="49"/>
      <c r="T24" s="49"/>
    </row>
    <row r="25" spans="1:22" ht="21.95" customHeight="1" x14ac:dyDescent="0.25">
      <c r="A25" s="51"/>
      <c r="B25" s="51"/>
      <c r="C25" s="52"/>
      <c r="E25" s="23" t="s">
        <v>9</v>
      </c>
      <c r="F25" s="246">
        <v>1.27</v>
      </c>
      <c r="G25" s="246">
        <v>2.6636025000000001</v>
      </c>
      <c r="H25" s="334">
        <v>4000</v>
      </c>
      <c r="I25" s="49">
        <v>10654.41</v>
      </c>
      <c r="J25" s="372">
        <v>-5574.41</v>
      </c>
      <c r="K25" s="358">
        <v>-0.5232021294468675</v>
      </c>
      <c r="L25" s="372">
        <v>-5139.4799999999996</v>
      </c>
      <c r="M25">
        <v>2000</v>
      </c>
      <c r="N25" s="369" t="str">
        <f>HYPERLINK("http://finance.yahoo.com/q?s=" &amp; E25, "Link")</f>
        <v>Link</v>
      </c>
      <c r="O25" s="368">
        <v>0.1963</v>
      </c>
      <c r="P25" s="368">
        <v>-7.7999999999999996E-3</v>
      </c>
      <c r="Q25" s="49"/>
      <c r="R25" s="49"/>
      <c r="S25" s="49"/>
      <c r="T25" s="356"/>
      <c r="U25" s="356"/>
    </row>
    <row r="26" spans="1:22" ht="21.95" customHeight="1" x14ac:dyDescent="0.25">
      <c r="A26" s="51"/>
      <c r="B26" s="51"/>
      <c r="C26" s="52"/>
      <c r="E26" s="23" t="s">
        <v>55</v>
      </c>
      <c r="F26" s="246">
        <v>64.849999999999994</v>
      </c>
      <c r="G26" s="246">
        <v>78.163960000000031</v>
      </c>
      <c r="H26" s="50">
        <v>250</v>
      </c>
      <c r="I26" s="49">
        <v>19540.990000000009</v>
      </c>
      <c r="J26" s="372">
        <v>-3328.4900000000071</v>
      </c>
      <c r="K26" s="358">
        <v>-0.17033374460557055</v>
      </c>
      <c r="L26" s="49">
        <v>-3328.4900000000071</v>
      </c>
      <c r="M26">
        <v>250</v>
      </c>
      <c r="N26" s="369" t="str">
        <f>HYPERLINK("http://finance.yahoo.com/q?s=" &amp; E26, "Link")</f>
        <v>Link</v>
      </c>
      <c r="O26" s="358">
        <v>3.0599999999999999E-2</v>
      </c>
      <c r="P26" s="358">
        <v>-9.5999999999999992E-3</v>
      </c>
      <c r="Q26" s="445"/>
      <c r="R26" s="49"/>
      <c r="S26" s="49"/>
      <c r="U26" s="49"/>
    </row>
    <row r="27" spans="1:22" ht="21.95" customHeight="1" x14ac:dyDescent="0.25">
      <c r="A27" s="51"/>
      <c r="B27" s="51"/>
      <c r="C27" s="52"/>
      <c r="E27" s="23" t="s">
        <v>172</v>
      </c>
      <c r="F27" s="246">
        <v>57.53</v>
      </c>
      <c r="G27" s="246">
        <v>58.896450000000002</v>
      </c>
      <c r="H27" s="50">
        <v>200</v>
      </c>
      <c r="I27" s="49">
        <v>11779.29</v>
      </c>
      <c r="J27" s="372">
        <v>-273.29000000000087</v>
      </c>
      <c r="K27" s="358">
        <v>-2.3200889017928931E-2</v>
      </c>
      <c r="L27" s="49">
        <v>-223.34000000000106</v>
      </c>
      <c r="M27">
        <v>150</v>
      </c>
      <c r="N27" s="369" t="str">
        <f>HYPERLINK("http://finance.yahoo.com/q?s=" &amp; E27, "Link")</f>
        <v>Link</v>
      </c>
      <c r="O27" s="358">
        <v>3.2500000000000001E-2</v>
      </c>
      <c r="P27" s="358">
        <v>1.6000000000000001E-3</v>
      </c>
      <c r="R27" s="49"/>
      <c r="S27" s="49"/>
      <c r="T27" s="49"/>
    </row>
    <row r="28" spans="1:22" ht="21.95" customHeight="1" x14ac:dyDescent="0.25">
      <c r="A28" s="157"/>
      <c r="B28" s="51"/>
      <c r="C28" s="52"/>
      <c r="E28" s="23" t="s">
        <v>56</v>
      </c>
      <c r="F28" s="246">
        <v>34.43</v>
      </c>
      <c r="G28" s="246">
        <v>34.43</v>
      </c>
      <c r="H28" s="334">
        <v>0</v>
      </c>
      <c r="I28" s="49">
        <v>0</v>
      </c>
      <c r="J28" s="372">
        <v>0</v>
      </c>
      <c r="K28" s="358">
        <v>0</v>
      </c>
      <c r="L28" s="372">
        <v>36.819999999999709</v>
      </c>
      <c r="M28">
        <v>0</v>
      </c>
      <c r="N28" s="369" t="str">
        <f>HYPERLINK("http://finance.yahoo.com/q?s=" &amp; E28, "Link")</f>
        <v>Link</v>
      </c>
      <c r="O28" s="368">
        <v>4.2999999999999997E-2</v>
      </c>
      <c r="P28" s="368">
        <v>-8.9999999999999998E-4</v>
      </c>
      <c r="Q28" s="49"/>
      <c r="R28" s="49"/>
      <c r="S28" s="49"/>
      <c r="T28" s="49"/>
    </row>
    <row r="29" spans="1:22" ht="21.95" customHeight="1" x14ac:dyDescent="0.25">
      <c r="A29" s="51"/>
      <c r="B29" s="51"/>
      <c r="C29" s="52"/>
      <c r="E29" s="23" t="s">
        <v>22</v>
      </c>
      <c r="F29" s="246">
        <v>46.94</v>
      </c>
      <c r="G29" s="246">
        <v>46.94</v>
      </c>
      <c r="H29" s="50">
        <v>0</v>
      </c>
      <c r="I29" s="49">
        <v>0</v>
      </c>
      <c r="J29" s="372">
        <v>0</v>
      </c>
      <c r="K29" s="358">
        <v>0</v>
      </c>
      <c r="L29" s="49">
        <v>3178.8000000000466</v>
      </c>
      <c r="M29">
        <v>0</v>
      </c>
      <c r="N29" s="369" t="str">
        <f>HYPERLINK("http://finance.yahoo.com/q?s=" &amp; E29, "Link")</f>
        <v>Link</v>
      </c>
      <c r="O29" s="358">
        <v>2.07E-2</v>
      </c>
      <c r="P29" s="358">
        <v>1.7999999999999999E-2</v>
      </c>
      <c r="R29" s="49"/>
      <c r="S29" s="49"/>
    </row>
    <row r="30" spans="1:22" ht="21.95" customHeight="1" x14ac:dyDescent="0.25">
      <c r="A30" s="51"/>
      <c r="B30" s="51"/>
      <c r="C30" s="52"/>
      <c r="E30" s="23" t="s">
        <v>27</v>
      </c>
      <c r="F30" s="246">
        <v>36.130000000000003</v>
      </c>
      <c r="G30" s="246">
        <v>36.130000000000003</v>
      </c>
      <c r="H30" s="50">
        <v>0</v>
      </c>
      <c r="I30" s="49">
        <v>0</v>
      </c>
      <c r="J30" s="372">
        <v>0</v>
      </c>
      <c r="K30" s="358">
        <v>0</v>
      </c>
      <c r="L30" s="49">
        <v>1407.5400000000009</v>
      </c>
      <c r="M30">
        <v>0</v>
      </c>
      <c r="N30" s="369" t="str">
        <f>HYPERLINK("http://finance.yahoo.com/q?s=" &amp; E30, "Link")</f>
        <v>Link</v>
      </c>
      <c r="O30" s="358">
        <v>3.0200000000000001E-2</v>
      </c>
      <c r="P30" s="358">
        <v>-5.7999999999999996E-3</v>
      </c>
    </row>
    <row r="31" spans="1:22" ht="21.95" customHeight="1" x14ac:dyDescent="0.25">
      <c r="A31" s="51"/>
      <c r="B31" s="51"/>
      <c r="C31" s="52"/>
      <c r="E31" s="23" t="s">
        <v>173</v>
      </c>
      <c r="F31" s="246">
        <v>53.85</v>
      </c>
      <c r="G31" s="246">
        <v>53.85</v>
      </c>
      <c r="H31" s="50">
        <v>0</v>
      </c>
      <c r="I31" s="49">
        <v>0</v>
      </c>
      <c r="J31" s="372">
        <v>0</v>
      </c>
      <c r="K31" s="358">
        <v>0</v>
      </c>
      <c r="L31" s="49">
        <v>119.92000000000053</v>
      </c>
      <c r="M31">
        <v>0</v>
      </c>
      <c r="N31" s="369" t="str">
        <f>HYPERLINK("http://finance.yahoo.com/q?s=" &amp; E31, "Link")</f>
        <v>Link</v>
      </c>
      <c r="O31" s="358">
        <v>3.6400000000000002E-2</v>
      </c>
      <c r="P31" s="358">
        <v>-5.4000000000000003E-3</v>
      </c>
      <c r="S31" s="49"/>
      <c r="T31" s="49"/>
    </row>
    <row r="32" spans="1:22" ht="21.95" customHeight="1" x14ac:dyDescent="0.25">
      <c r="A32" s="52"/>
      <c r="B32" s="52"/>
      <c r="C32" s="52"/>
      <c r="E32" s="23" t="s">
        <v>278</v>
      </c>
      <c r="F32" s="246">
        <v>130.83000000000001</v>
      </c>
      <c r="G32" s="246">
        <v>130.83000000000001</v>
      </c>
      <c r="H32" s="50">
        <v>0</v>
      </c>
      <c r="I32" s="49">
        <v>0</v>
      </c>
      <c r="J32" s="372">
        <v>0</v>
      </c>
      <c r="K32" s="358">
        <v>0</v>
      </c>
      <c r="L32" s="49">
        <v>154.77999999999975</v>
      </c>
      <c r="M32">
        <v>0</v>
      </c>
      <c r="N32" s="369" t="str">
        <f>HYPERLINK("http://finance.yahoo.com/q?s=" &amp; E32, "Link")</f>
        <v>Link</v>
      </c>
      <c r="O32" s="358">
        <v>2.5700000000000001E-2</v>
      </c>
      <c r="P32" s="358">
        <v>3.5999999999999999E-3</v>
      </c>
      <c r="Q32" s="49"/>
      <c r="R32" s="49"/>
      <c r="S32" s="49"/>
      <c r="T32" s="49"/>
    </row>
    <row r="33" spans="1:22" ht="21.95" customHeight="1" x14ac:dyDescent="0.25">
      <c r="A33" s="51"/>
      <c r="B33" s="51"/>
      <c r="C33" s="52"/>
      <c r="E33" s="23" t="s">
        <v>24</v>
      </c>
      <c r="F33" s="246">
        <v>34.619999999999997</v>
      </c>
      <c r="G33" s="246">
        <v>34.619999999999997</v>
      </c>
      <c r="H33" s="334">
        <v>0</v>
      </c>
      <c r="I33" s="49">
        <v>0</v>
      </c>
      <c r="J33" s="372">
        <v>0</v>
      </c>
      <c r="K33" s="358">
        <v>0</v>
      </c>
      <c r="L33" s="372">
        <v>937.36999999999534</v>
      </c>
      <c r="M33">
        <v>0</v>
      </c>
      <c r="N33" s="369" t="str">
        <f>HYPERLINK("http://finance.yahoo.com/q?s=" &amp; E33, "Link")</f>
        <v>Link</v>
      </c>
      <c r="O33" s="368">
        <v>0</v>
      </c>
      <c r="P33" s="368">
        <v>3.8E-3</v>
      </c>
      <c r="Q33" s="150"/>
      <c r="S33" s="49"/>
      <c r="T33" s="49"/>
    </row>
    <row r="34" spans="1:22" ht="21.95" customHeight="1" x14ac:dyDescent="0.25">
      <c r="A34" s="51"/>
      <c r="B34" s="51"/>
      <c r="C34" s="52"/>
      <c r="E34" s="23" t="s">
        <v>198</v>
      </c>
      <c r="F34" s="246">
        <v>29.81</v>
      </c>
      <c r="G34" s="246">
        <v>31.73925333333333</v>
      </c>
      <c r="H34" s="50">
        <v>1500</v>
      </c>
      <c r="I34" s="49">
        <v>47608.88</v>
      </c>
      <c r="J34" s="372">
        <v>-2893.8799999999974</v>
      </c>
      <c r="K34" s="358">
        <v>-6.0784458697621072E-2</v>
      </c>
      <c r="L34" s="49">
        <v>-1145.9100000000035</v>
      </c>
      <c r="M34">
        <v>1500</v>
      </c>
      <c r="N34" s="369" t="str">
        <f>HYPERLINK("http://finance.yahoo.com/q?s=" &amp; E34, "Link")</f>
        <v>Link</v>
      </c>
      <c r="O34" s="358">
        <v>1.6299999999999999E-2</v>
      </c>
      <c r="P34" s="358">
        <v>-9.2999999999999992E-3</v>
      </c>
      <c r="Q34" s="150"/>
      <c r="R34" s="49"/>
      <c r="S34" s="49"/>
      <c r="T34" s="49"/>
    </row>
    <row r="35" spans="1:22" ht="21.95" customHeight="1" x14ac:dyDescent="0.25">
      <c r="A35" s="51"/>
      <c r="B35" s="51"/>
      <c r="C35" s="52"/>
      <c r="E35" s="23" t="s">
        <v>36</v>
      </c>
      <c r="F35" s="246">
        <v>60.1</v>
      </c>
      <c r="G35" s="246">
        <v>60.1</v>
      </c>
      <c r="H35" s="334">
        <v>0</v>
      </c>
      <c r="I35" s="49">
        <v>0</v>
      </c>
      <c r="J35" s="372">
        <v>0</v>
      </c>
      <c r="K35" s="358">
        <v>0</v>
      </c>
      <c r="L35" s="372">
        <v>117.73999999999978</v>
      </c>
      <c r="M35">
        <v>0</v>
      </c>
      <c r="N35" s="369" t="str">
        <f>HYPERLINK("http://finance.yahoo.com/q?s=" &amp; E35, "Link")</f>
        <v>Link</v>
      </c>
      <c r="O35" s="368">
        <v>7.4000000000000003E-3</v>
      </c>
      <c r="P35" s="368">
        <v>-1.46E-2</v>
      </c>
      <c r="Q35" s="445"/>
      <c r="R35" s="49"/>
      <c r="S35" s="49"/>
      <c r="T35" s="49"/>
    </row>
    <row r="36" spans="1:22" ht="21.95" customHeight="1" x14ac:dyDescent="0.25">
      <c r="A36" s="51"/>
      <c r="B36" s="51"/>
      <c r="C36" s="52"/>
      <c r="E36" s="23" t="s">
        <v>229</v>
      </c>
      <c r="F36" s="246">
        <v>22.6</v>
      </c>
      <c r="G36" s="246">
        <v>25.629266666666666</v>
      </c>
      <c r="H36" s="334">
        <v>600</v>
      </c>
      <c r="I36" s="49">
        <v>15377.56</v>
      </c>
      <c r="J36" s="372">
        <v>-1817.5599999999995</v>
      </c>
      <c r="K36" s="358">
        <v>-0.11819560450422556</v>
      </c>
      <c r="L36" s="372">
        <v>-365.30000000000109</v>
      </c>
      <c r="M36">
        <v>400</v>
      </c>
      <c r="N36" s="369" t="str">
        <f>HYPERLINK("http://finance.yahoo.com/q?s=" &amp; E36, "Link")</f>
        <v>Link</v>
      </c>
      <c r="O36" s="368">
        <v>2.06E-2</v>
      </c>
      <c r="P36" s="368">
        <v>0</v>
      </c>
      <c r="R36" s="49"/>
    </row>
    <row r="37" spans="1:22" ht="21.95" customHeight="1" x14ac:dyDescent="0.25">
      <c r="A37" s="51"/>
      <c r="B37" s="51"/>
      <c r="C37" s="52"/>
      <c r="E37" s="23" t="s">
        <v>50</v>
      </c>
      <c r="F37" s="246">
        <v>12.88</v>
      </c>
      <c r="G37" s="246">
        <v>15.624008749999998</v>
      </c>
      <c r="H37" s="334">
        <v>8000</v>
      </c>
      <c r="I37" s="49">
        <v>124992.06999999998</v>
      </c>
      <c r="J37" s="372">
        <v>-21952.069999999978</v>
      </c>
      <c r="K37" s="358">
        <v>-0.17562770182140339</v>
      </c>
      <c r="L37" s="372">
        <v>-7336.4989999983518</v>
      </c>
      <c r="M37">
        <v>5800</v>
      </c>
      <c r="N37" s="369" t="str">
        <f>HYPERLINK("http://finance.yahoo.com/q?s=" &amp; E37, "Link")</f>
        <v>Link</v>
      </c>
      <c r="O37" s="368">
        <v>1.34E-2</v>
      </c>
      <c r="P37" s="368">
        <v>7.7999999999999996E-3</v>
      </c>
      <c r="Q37" s="150"/>
      <c r="S37" s="49"/>
    </row>
    <row r="38" spans="1:22" ht="21.95" customHeight="1" x14ac:dyDescent="0.25">
      <c r="A38" s="51"/>
      <c r="B38" s="51"/>
      <c r="C38" s="52"/>
      <c r="E38" s="23" t="s">
        <v>34</v>
      </c>
      <c r="F38" s="246">
        <v>31.57</v>
      </c>
      <c r="G38" s="246">
        <v>18.652675000000016</v>
      </c>
      <c r="H38" s="334">
        <v>400</v>
      </c>
      <c r="I38" s="49">
        <v>7461.070000000007</v>
      </c>
      <c r="J38" s="372">
        <v>5166.929999999993</v>
      </c>
      <c r="K38" s="358">
        <v>0.69251863338636266</v>
      </c>
      <c r="L38" s="372">
        <v>20662.796999999846</v>
      </c>
      <c r="M38" s="30">
        <v>42905</v>
      </c>
      <c r="N38" s="369" t="str">
        <f>HYPERLINK("http://finance.yahoo.com/q?s=" &amp; E38, "Link")</f>
        <v>Link</v>
      </c>
      <c r="O38" s="368">
        <v>0</v>
      </c>
      <c r="P38" s="368">
        <v>1.15E-2</v>
      </c>
      <c r="Q38" s="150"/>
      <c r="T38" s="49"/>
    </row>
    <row r="39" spans="1:22" ht="21.95" customHeight="1" x14ac:dyDescent="0.25">
      <c r="A39" s="51"/>
      <c r="B39" s="51"/>
      <c r="C39" s="52"/>
      <c r="E39" s="23" t="s">
        <v>206</v>
      </c>
      <c r="F39" s="246">
        <v>38.549999999999997</v>
      </c>
      <c r="G39" s="246">
        <v>38.549999999999997</v>
      </c>
      <c r="H39" s="334">
        <v>0</v>
      </c>
      <c r="I39" s="49">
        <v>0</v>
      </c>
      <c r="J39" s="372">
        <v>0</v>
      </c>
      <c r="K39" s="358">
        <v>0</v>
      </c>
      <c r="L39" s="372">
        <v>439.77999999999975</v>
      </c>
      <c r="M39">
        <v>0</v>
      </c>
      <c r="N39" s="369" t="str">
        <f>HYPERLINK("http://finance.yahoo.com/q?s=" &amp; E39, "Link")</f>
        <v>Link</v>
      </c>
      <c r="O39" s="368">
        <v>0</v>
      </c>
      <c r="P39" s="368">
        <v>-2.3E-3</v>
      </c>
      <c r="R39" s="49"/>
      <c r="S39" s="49"/>
      <c r="T39" s="49"/>
    </row>
    <row r="40" spans="1:22" ht="21.95" customHeight="1" x14ac:dyDescent="0.25">
      <c r="A40" s="51"/>
      <c r="B40" s="51"/>
      <c r="C40" s="52"/>
      <c r="E40" s="23" t="s">
        <v>276</v>
      </c>
      <c r="F40" s="246">
        <v>49.72</v>
      </c>
      <c r="G40" s="246">
        <v>49.72</v>
      </c>
      <c r="H40" s="334">
        <v>0</v>
      </c>
      <c r="I40" s="49">
        <v>0</v>
      </c>
      <c r="J40" s="372">
        <v>0</v>
      </c>
      <c r="K40" s="358">
        <v>0</v>
      </c>
      <c r="L40" s="372">
        <v>427.92000000000007</v>
      </c>
      <c r="M40">
        <v>0</v>
      </c>
      <c r="N40" s="369" t="str">
        <f>HYPERLINK("http://finance.yahoo.com/q?s=" &amp; E40, "Link")</f>
        <v>Link</v>
      </c>
      <c r="O40" s="368">
        <v>0</v>
      </c>
      <c r="P40" s="368">
        <v>-1.17E-2</v>
      </c>
      <c r="R40" s="49"/>
      <c r="S40" s="49"/>
    </row>
    <row r="41" spans="1:22" ht="21.95" customHeight="1" x14ac:dyDescent="0.25">
      <c r="A41" s="51"/>
      <c r="B41" s="52"/>
      <c r="C41" s="52"/>
      <c r="E41" s="23" t="s">
        <v>197</v>
      </c>
      <c r="F41" s="246">
        <v>52.48</v>
      </c>
      <c r="G41" s="246">
        <v>51.65</v>
      </c>
      <c r="H41" s="334">
        <v>50</v>
      </c>
      <c r="I41" s="49">
        <v>2582.5</v>
      </c>
      <c r="J41" s="372">
        <v>41.5</v>
      </c>
      <c r="K41" s="358">
        <v>1.6069699903194547E-2</v>
      </c>
      <c r="L41" s="372">
        <v>516.97999999999956</v>
      </c>
      <c r="M41" s="30">
        <v>42905</v>
      </c>
      <c r="N41" s="369" t="str">
        <f>HYPERLINK("http://finance.yahoo.com/q?s=" &amp; E41, "Link")</f>
        <v>Link</v>
      </c>
      <c r="O41" s="368">
        <v>1.29E-2</v>
      </c>
      <c r="P41" s="368">
        <v>-0.01</v>
      </c>
      <c r="Q41" s="150"/>
      <c r="S41" s="49"/>
    </row>
    <row r="42" spans="1:22" ht="21.95" customHeight="1" x14ac:dyDescent="0.25">
      <c r="A42" s="51"/>
      <c r="B42" s="51"/>
      <c r="C42" s="52"/>
      <c r="E42" s="23" t="s">
        <v>47</v>
      </c>
      <c r="F42" s="246">
        <v>120.95</v>
      </c>
      <c r="G42" s="246">
        <v>120.95</v>
      </c>
      <c r="H42" s="50">
        <v>0</v>
      </c>
      <c r="I42" s="49">
        <v>0</v>
      </c>
      <c r="J42" s="372">
        <v>0</v>
      </c>
      <c r="K42" s="358">
        <v>0</v>
      </c>
      <c r="L42" s="49">
        <v>-168.6200000000008</v>
      </c>
      <c r="M42">
        <v>0</v>
      </c>
      <c r="N42" s="369" t="str">
        <f>HYPERLINK("http://finance.yahoo.com/q?s=" &amp; E42, "Link")</f>
        <v>Link</v>
      </c>
      <c r="O42" s="358">
        <v>2.18E-2</v>
      </c>
      <c r="P42" s="358">
        <v>-1.2699999999999999E-2</v>
      </c>
      <c r="Q42" s="445"/>
      <c r="R42" s="49"/>
      <c r="S42" s="49"/>
      <c r="T42" s="49"/>
      <c r="V42" s="49"/>
    </row>
    <row r="43" spans="1:22" ht="21.95" customHeight="1" x14ac:dyDescent="0.25">
      <c r="A43" s="51"/>
      <c r="B43" s="51"/>
      <c r="C43" s="52"/>
      <c r="E43" s="23" t="s">
        <v>175</v>
      </c>
      <c r="F43" s="246">
        <v>52.73</v>
      </c>
      <c r="G43" s="246">
        <v>52.73</v>
      </c>
      <c r="H43" s="334">
        <v>0</v>
      </c>
      <c r="I43" s="49">
        <v>0</v>
      </c>
      <c r="J43" s="372">
        <v>0</v>
      </c>
      <c r="K43" s="358">
        <v>0</v>
      </c>
      <c r="L43" s="372">
        <v>75.019999999999982</v>
      </c>
      <c r="M43">
        <v>0</v>
      </c>
      <c r="N43" s="369" t="str">
        <f>HYPERLINK("http://finance.yahoo.com/q?s=" &amp; E43, "Link")</f>
        <v>Link</v>
      </c>
      <c r="O43" s="368">
        <v>1.61E-2</v>
      </c>
      <c r="P43" s="368">
        <v>-6.7999999999999996E-3</v>
      </c>
      <c r="R43" s="49"/>
    </row>
    <row r="44" spans="1:22" ht="21.95" customHeight="1" x14ac:dyDescent="0.25">
      <c r="A44" s="52"/>
      <c r="B44" s="52"/>
      <c r="C44" s="52"/>
      <c r="E44" s="23" t="s">
        <v>23</v>
      </c>
      <c r="F44" s="246">
        <v>35.28</v>
      </c>
      <c r="G44" s="246">
        <v>35.28</v>
      </c>
      <c r="H44" s="334">
        <v>0</v>
      </c>
      <c r="I44" s="49">
        <v>0</v>
      </c>
      <c r="J44" s="372">
        <v>0</v>
      </c>
      <c r="K44" s="358">
        <v>0</v>
      </c>
      <c r="L44" s="372">
        <v>171.89999999999964</v>
      </c>
      <c r="M44">
        <v>0</v>
      </c>
      <c r="N44" s="369" t="str">
        <f>HYPERLINK("http://finance.yahoo.com/q?s=" &amp; E44, "Link")</f>
        <v>Link</v>
      </c>
      <c r="O44" s="368">
        <v>0</v>
      </c>
      <c r="P44" s="368">
        <v>-2.5000000000000001E-3</v>
      </c>
      <c r="S44" s="49"/>
      <c r="T44" s="49"/>
    </row>
    <row r="45" spans="1:22" ht="21.95" customHeight="1" x14ac:dyDescent="0.25">
      <c r="A45" s="52"/>
      <c r="B45" s="52"/>
      <c r="C45" s="52"/>
      <c r="E45" s="23" t="s">
        <v>217</v>
      </c>
      <c r="F45" s="246">
        <v>53.95</v>
      </c>
      <c r="G45" s="246">
        <v>65.906725000000009</v>
      </c>
      <c r="H45" s="334">
        <v>400</v>
      </c>
      <c r="I45" s="49">
        <v>26362.690000000002</v>
      </c>
      <c r="J45" s="372">
        <v>-4782.690000000006</v>
      </c>
      <c r="K45" s="358">
        <v>-0.18141889162297178</v>
      </c>
      <c r="L45" s="372">
        <v>-4106.7400000000052</v>
      </c>
      <c r="M45">
        <v>200</v>
      </c>
      <c r="N45" s="369" t="str">
        <f>HYPERLINK("http://finance.yahoo.com/q?s=" &amp; E45, "Link")</f>
        <v>Link</v>
      </c>
      <c r="O45" s="368">
        <v>1.7899999999999999E-2</v>
      </c>
      <c r="P45" s="368">
        <v>2.0400000000000001E-2</v>
      </c>
      <c r="Q45" s="49"/>
      <c r="S45" s="49"/>
    </row>
    <row r="46" spans="1:22" ht="21.95" customHeight="1" x14ac:dyDescent="0.25">
      <c r="A46" s="51"/>
      <c r="B46" s="51"/>
      <c r="C46" s="52"/>
      <c r="E46" s="23" t="s">
        <v>176</v>
      </c>
      <c r="F46" s="246">
        <v>243.21</v>
      </c>
      <c r="G46" s="246">
        <v>243.21</v>
      </c>
      <c r="H46" s="334">
        <v>0</v>
      </c>
      <c r="I46" s="49">
        <v>0</v>
      </c>
      <c r="J46" s="372">
        <v>0</v>
      </c>
      <c r="K46" s="358">
        <v>0</v>
      </c>
      <c r="L46" s="372">
        <v>160.82999999999993</v>
      </c>
      <c r="M46">
        <v>0</v>
      </c>
      <c r="N46" s="369" t="str">
        <f>HYPERLINK("http://finance.yahoo.com/q?s=" &amp; E46, "Link")</f>
        <v>Link</v>
      </c>
      <c r="O46" s="368">
        <v>0</v>
      </c>
      <c r="P46" s="368">
        <v>-3.2000000000000002E-3</v>
      </c>
      <c r="R46" s="49"/>
      <c r="S46" s="49"/>
    </row>
    <row r="47" spans="1:22" ht="21.95" customHeight="1" x14ac:dyDescent="0.25">
      <c r="A47" s="51"/>
      <c r="B47" s="51"/>
      <c r="C47" s="52"/>
      <c r="E47" s="23" t="s">
        <v>171</v>
      </c>
      <c r="F47" s="246">
        <v>107.86</v>
      </c>
      <c r="G47" s="246">
        <v>107.86</v>
      </c>
      <c r="H47" s="334">
        <v>0</v>
      </c>
      <c r="I47" s="49">
        <v>0</v>
      </c>
      <c r="J47" s="372">
        <v>0</v>
      </c>
      <c r="K47" s="358">
        <v>0</v>
      </c>
      <c r="L47" s="372">
        <v>1368.9000000000015</v>
      </c>
      <c r="M47">
        <v>0</v>
      </c>
      <c r="N47" s="369" t="str">
        <f>HYPERLINK("http://finance.yahoo.com/q?s=" &amp; E47, "Link")</f>
        <v>Link</v>
      </c>
      <c r="O47" s="368">
        <v>1.14E-2</v>
      </c>
      <c r="P47" s="368">
        <v>-2.7000000000000001E-3</v>
      </c>
      <c r="Q47" s="445"/>
      <c r="R47" s="49"/>
      <c r="S47" s="49"/>
    </row>
    <row r="48" spans="1:22" ht="21.95" customHeight="1" x14ac:dyDescent="0.25">
      <c r="A48" s="52"/>
      <c r="B48" s="157"/>
      <c r="C48" s="335"/>
      <c r="E48" s="23" t="s">
        <v>345</v>
      </c>
      <c r="F48" s="246">
        <v>28.75</v>
      </c>
      <c r="G48" s="246">
        <v>30.670562499999999</v>
      </c>
      <c r="H48" s="334">
        <v>160</v>
      </c>
      <c r="I48" s="49">
        <v>4907.29</v>
      </c>
      <c r="J48" s="372">
        <v>-307.28999999999996</v>
      </c>
      <c r="K48" s="358">
        <v>-6.2619083037684722E-2</v>
      </c>
      <c r="L48" s="372">
        <v>-307.28999999999996</v>
      </c>
      <c r="M48">
        <v>80</v>
      </c>
      <c r="N48" s="369" t="str">
        <f>HYPERLINK("http://finance.yahoo.com/q?s=" &amp; E48, "Link")</f>
        <v>Link</v>
      </c>
      <c r="O48" s="368">
        <v>4.24E-2</v>
      </c>
      <c r="P48" s="368">
        <v>-8.3000000000000001E-3</v>
      </c>
      <c r="Q48" s="150"/>
      <c r="R48" s="49"/>
      <c r="S48" s="49"/>
      <c r="T48" s="49"/>
    </row>
    <row r="49" spans="1:20" ht="21.95" customHeight="1" x14ac:dyDescent="0.25">
      <c r="A49" s="51"/>
      <c r="B49" s="51"/>
      <c r="C49" s="52"/>
      <c r="E49" s="23" t="s">
        <v>359</v>
      </c>
      <c r="F49" s="246">
        <v>54.58</v>
      </c>
      <c r="G49" s="246">
        <v>56.016153846153848</v>
      </c>
      <c r="H49" s="334">
        <v>130</v>
      </c>
      <c r="I49" s="49">
        <v>7282.1</v>
      </c>
      <c r="J49" s="372">
        <v>-186.70000000000073</v>
      </c>
      <c r="K49" s="358">
        <v>-2.5638208758462601E-2</v>
      </c>
      <c r="L49" s="372">
        <v>-186.70000000000073</v>
      </c>
      <c r="M49">
        <v>50</v>
      </c>
      <c r="N49" s="369" t="str">
        <f>HYPERLINK("http://finance.yahoo.com/q?s=" &amp; E49, "Link")</f>
        <v>Link</v>
      </c>
      <c r="O49" s="368">
        <v>4.3499999999999997E-2</v>
      </c>
      <c r="P49" s="368">
        <v>-1.89E-2</v>
      </c>
      <c r="S49" s="49"/>
      <c r="T49" s="49"/>
    </row>
    <row r="50" spans="1:20" ht="21.95" customHeight="1" x14ac:dyDescent="0.25">
      <c r="A50" s="52"/>
      <c r="B50" s="52"/>
      <c r="C50" s="52"/>
      <c r="E50" s="23" t="s">
        <v>39</v>
      </c>
      <c r="F50" s="246">
        <v>45.25</v>
      </c>
      <c r="G50" s="246">
        <v>45.25</v>
      </c>
      <c r="H50" s="334">
        <v>0</v>
      </c>
      <c r="I50" s="49">
        <v>0</v>
      </c>
      <c r="J50" s="372">
        <v>0</v>
      </c>
      <c r="K50" s="358">
        <v>0</v>
      </c>
      <c r="L50" s="372">
        <v>529.88000000000284</v>
      </c>
      <c r="M50">
        <v>0</v>
      </c>
      <c r="N50" s="369" t="str">
        <f>HYPERLINK("http://finance.yahoo.com/q?s=" &amp; E50, "Link")</f>
        <v>Link</v>
      </c>
      <c r="O50" s="368">
        <v>2.3E-2</v>
      </c>
      <c r="P50" s="368">
        <v>-1.2E-2</v>
      </c>
      <c r="Q50" s="150"/>
      <c r="R50" s="49"/>
      <c r="S50" s="49"/>
      <c r="T50" s="49"/>
    </row>
    <row r="51" spans="1:20" ht="21.95" customHeight="1" x14ac:dyDescent="0.25">
      <c r="A51" s="52"/>
      <c r="B51" s="52"/>
      <c r="C51" s="52"/>
      <c r="E51" s="23" t="s">
        <v>0</v>
      </c>
      <c r="F51" s="246">
        <v>176.07</v>
      </c>
      <c r="G51" s="246">
        <v>176.07</v>
      </c>
      <c r="H51" s="50">
        <v>0</v>
      </c>
      <c r="I51" s="49">
        <v>0</v>
      </c>
      <c r="J51" s="372">
        <v>0</v>
      </c>
      <c r="K51" s="358">
        <v>0</v>
      </c>
      <c r="L51" s="49">
        <v>465.57999999999993</v>
      </c>
      <c r="M51">
        <v>0</v>
      </c>
      <c r="N51" s="369" t="str">
        <f>HYPERLINK("http://finance.yahoo.com/q?s=" &amp; E51, "Link")</f>
        <v>Link</v>
      </c>
      <c r="O51" s="358">
        <v>3.8999999999999998E-3</v>
      </c>
      <c r="P51" s="358">
        <v>-2.0999999999999999E-3</v>
      </c>
      <c r="R51" s="49"/>
      <c r="S51" s="49"/>
    </row>
    <row r="52" spans="1:20" ht="21.95" customHeight="1" x14ac:dyDescent="0.25">
      <c r="A52" s="51"/>
      <c r="B52" s="51"/>
      <c r="C52" s="52"/>
      <c r="E52" s="23" t="s">
        <v>13</v>
      </c>
      <c r="F52" s="246">
        <v>81.239999999999995</v>
      </c>
      <c r="G52" s="246">
        <v>81.239999999999995</v>
      </c>
      <c r="H52" s="334">
        <v>0</v>
      </c>
      <c r="I52" s="49">
        <v>0</v>
      </c>
      <c r="J52" s="372">
        <v>0</v>
      </c>
      <c r="K52" s="358">
        <v>0</v>
      </c>
      <c r="L52" s="372">
        <v>1461.5600000000013</v>
      </c>
      <c r="M52">
        <v>0</v>
      </c>
      <c r="N52" s="369" t="str">
        <f>HYPERLINK("http://finance.yahoo.com/q?s=" &amp; E52, "Link")</f>
        <v>Link</v>
      </c>
      <c r="O52" s="368">
        <v>0</v>
      </c>
      <c r="P52" s="368">
        <v>-5.3E-3</v>
      </c>
      <c r="S52" s="49"/>
    </row>
    <row r="53" spans="1:20" ht="21.95" customHeight="1" x14ac:dyDescent="0.25">
      <c r="A53" s="51"/>
      <c r="B53" s="52"/>
      <c r="C53" s="52"/>
      <c r="E53" s="23" t="s">
        <v>51</v>
      </c>
      <c r="F53" s="246">
        <v>180.82</v>
      </c>
      <c r="G53" s="246">
        <v>180.82</v>
      </c>
      <c r="H53" s="334">
        <v>0</v>
      </c>
      <c r="I53" s="49">
        <v>0</v>
      </c>
      <c r="J53" s="372">
        <v>0</v>
      </c>
      <c r="K53" s="358">
        <v>0</v>
      </c>
      <c r="L53" s="372">
        <v>176.70000000000073</v>
      </c>
      <c r="M53">
        <v>0</v>
      </c>
      <c r="N53" s="369" t="str">
        <f>HYPERLINK("http://finance.yahoo.com/q?s=" &amp; E53, "Link")</f>
        <v>Link</v>
      </c>
      <c r="O53" s="368">
        <v>1.52E-2</v>
      </c>
      <c r="P53" s="368">
        <v>8.0999999999999996E-3</v>
      </c>
      <c r="R53" s="49"/>
      <c r="S53" s="49"/>
      <c r="T53" s="49"/>
    </row>
    <row r="54" spans="1:20" ht="21.95" customHeight="1" x14ac:dyDescent="0.25">
      <c r="A54" s="51"/>
      <c r="B54" s="51"/>
      <c r="C54" s="52"/>
      <c r="E54" s="23" t="s">
        <v>42</v>
      </c>
      <c r="F54" s="246">
        <v>108.96</v>
      </c>
      <c r="G54" s="246">
        <v>108.96</v>
      </c>
      <c r="H54" s="334">
        <v>0</v>
      </c>
      <c r="I54" s="49">
        <v>0</v>
      </c>
      <c r="J54" s="372">
        <v>0</v>
      </c>
      <c r="K54" s="358">
        <v>0</v>
      </c>
      <c r="L54" s="372">
        <v>128.08999999999833</v>
      </c>
      <c r="M54">
        <v>0</v>
      </c>
      <c r="N54" s="369" t="str">
        <f>HYPERLINK("http://finance.yahoo.com/q?s=" &amp; E54, "Link")</f>
        <v>Link</v>
      </c>
      <c r="O54" s="368">
        <v>2.18E-2</v>
      </c>
      <c r="P54" s="368">
        <v>-1.12E-2</v>
      </c>
      <c r="R54" s="49"/>
      <c r="S54" s="49"/>
    </row>
    <row r="55" spans="1:20" ht="21.95" customHeight="1" x14ac:dyDescent="0.25">
      <c r="A55" s="51"/>
      <c r="B55" s="51"/>
      <c r="C55" s="52"/>
      <c r="E55" s="23" t="s">
        <v>54</v>
      </c>
      <c r="F55" s="246">
        <v>120.12</v>
      </c>
      <c r="G55" s="246">
        <v>120.12</v>
      </c>
      <c r="H55" s="50">
        <v>0</v>
      </c>
      <c r="I55" s="49">
        <v>0</v>
      </c>
      <c r="J55" s="372">
        <v>0</v>
      </c>
      <c r="K55" s="358">
        <v>0</v>
      </c>
      <c r="L55" s="49">
        <v>114.84999999999991</v>
      </c>
      <c r="M55">
        <v>0</v>
      </c>
      <c r="N55" s="369" t="str">
        <f>HYPERLINK("http://finance.yahoo.com/q?s=" &amp; E55, "Link")</f>
        <v>Link</v>
      </c>
      <c r="O55" s="358">
        <v>2.35E-2</v>
      </c>
      <c r="P55" s="358">
        <v>-7.1000000000000004E-3</v>
      </c>
      <c r="R55" s="49"/>
      <c r="S55" s="49"/>
      <c r="T55" s="49"/>
    </row>
    <row r="56" spans="1:20" ht="21.95" customHeight="1" x14ac:dyDescent="0.25">
      <c r="A56" s="52"/>
      <c r="B56" s="52"/>
      <c r="C56" s="52"/>
      <c r="E56" s="23" t="s">
        <v>227</v>
      </c>
      <c r="F56" s="246">
        <v>56.37</v>
      </c>
      <c r="G56" s="246">
        <v>56.37</v>
      </c>
      <c r="H56" s="334">
        <v>0</v>
      </c>
      <c r="I56" s="49">
        <v>0</v>
      </c>
      <c r="J56" s="372">
        <v>0</v>
      </c>
      <c r="K56" s="358">
        <v>0</v>
      </c>
      <c r="L56" s="372">
        <v>257.64999999999964</v>
      </c>
      <c r="M56">
        <v>0</v>
      </c>
      <c r="N56" s="369" t="str">
        <f>HYPERLINK("http://finance.yahoo.com/q?s=" &amp; E56, "Link")</f>
        <v>Link</v>
      </c>
      <c r="O56" s="368">
        <v>0</v>
      </c>
      <c r="P56" s="368">
        <v>-3.8999999999999998E-3</v>
      </c>
      <c r="S56" s="49"/>
    </row>
    <row r="57" spans="1:20" ht="21.95" customHeight="1" x14ac:dyDescent="0.25">
      <c r="A57" s="52"/>
      <c r="B57" s="52"/>
      <c r="C57" s="52"/>
      <c r="E57" s="23" t="s">
        <v>174</v>
      </c>
      <c r="F57" s="246">
        <v>51.81</v>
      </c>
      <c r="G57" s="246">
        <v>53.87</v>
      </c>
      <c r="H57" s="334">
        <v>200</v>
      </c>
      <c r="I57" s="49">
        <v>10774</v>
      </c>
      <c r="J57" s="372">
        <v>-412</v>
      </c>
      <c r="K57" s="358">
        <v>-3.8240207907926399E-2</v>
      </c>
      <c r="L57" s="372">
        <v>792.88000000000102</v>
      </c>
      <c r="M57">
        <v>120</v>
      </c>
      <c r="N57" s="369" t="str">
        <f>HYPERLINK("http://finance.yahoo.com/q?s=" &amp; E57, "Link")</f>
        <v>Link</v>
      </c>
      <c r="O57" s="368">
        <v>2.7300000000000001E-2</v>
      </c>
      <c r="P57" s="368">
        <v>1.6999999999999999E-3</v>
      </c>
      <c r="R57" s="49"/>
      <c r="T57" s="49"/>
    </row>
    <row r="58" spans="1:20" ht="21.95" customHeight="1" x14ac:dyDescent="0.25">
      <c r="A58" s="51"/>
      <c r="B58" s="51"/>
      <c r="C58" s="52"/>
      <c r="E58" s="23" t="s">
        <v>53</v>
      </c>
      <c r="F58" s="246">
        <v>69.27</v>
      </c>
      <c r="G58" s="246">
        <v>69.27</v>
      </c>
      <c r="H58" s="334">
        <v>0</v>
      </c>
      <c r="I58" s="49">
        <v>0</v>
      </c>
      <c r="J58" s="372">
        <v>0</v>
      </c>
      <c r="K58" s="358">
        <v>0</v>
      </c>
      <c r="L58" s="372">
        <v>33.940000000000055</v>
      </c>
      <c r="M58">
        <v>0</v>
      </c>
      <c r="N58" s="369" t="str">
        <f>HYPERLINK("http://finance.yahoo.com/q?s=" &amp; E58, "Link")</f>
        <v>Link</v>
      </c>
      <c r="O58" s="368">
        <v>7.4000000000000003E-3</v>
      </c>
      <c r="P58" s="368">
        <v>-5.1999999999999998E-3</v>
      </c>
    </row>
    <row r="59" spans="1:20" ht="21.95" customHeight="1" x14ac:dyDescent="0.25">
      <c r="A59" s="51"/>
      <c r="B59" s="51"/>
      <c r="C59" s="52"/>
      <c r="E59" s="23"/>
      <c r="J59" s="372"/>
      <c r="K59" s="358"/>
      <c r="N59" s="369"/>
      <c r="R59" s="49"/>
      <c r="S59" s="49"/>
    </row>
    <row r="60" spans="1:20" ht="21.95" customHeight="1" x14ac:dyDescent="0.25">
      <c r="A60" s="51"/>
      <c r="B60" s="51"/>
      <c r="C60" s="51"/>
      <c r="E60" s="23"/>
      <c r="H60" s="334"/>
      <c r="J60" s="372"/>
      <c r="K60" s="358"/>
      <c r="L60" s="372"/>
      <c r="M60" s="30"/>
      <c r="N60" s="369"/>
      <c r="O60" s="368"/>
      <c r="P60" s="368"/>
    </row>
  </sheetData>
  <sortState ref="A2:V60">
    <sortCondition ref="E1"/>
  </sortState>
  <dataConsolidate/>
  <conditionalFormatting sqref="O1:O1048576">
    <cfRule type="expression" dxfId="1361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60" priority="13">
      <formula>$H2=0</formula>
    </cfRule>
  </conditionalFormatting>
  <conditionalFormatting sqref="J2:K200">
    <cfRule type="expression" dxfId="1359" priority="14">
      <formula>$J2=0</formula>
    </cfRule>
  </conditionalFormatting>
  <conditionalFormatting sqref="L1:L1048576">
    <cfRule type="expression" dxfId="1358" priority="12">
      <formula>$L2=0</formula>
    </cfRule>
  </conditionalFormatting>
  <conditionalFormatting sqref="M1">
    <cfRule type="expression" dxfId="1357" priority="8">
      <formula>$L2=0</formula>
    </cfRule>
  </conditionalFormatting>
  <conditionalFormatting sqref="J2:K58">
    <cfRule type="expression" dxfId="1356" priority="56">
      <formula>$J2&gt;0</formula>
    </cfRule>
  </conditionalFormatting>
  <conditionalFormatting sqref="L2:L58">
    <cfRule type="expression" dxfId="1355" priority="10">
      <formula>$L2&lt;0</formula>
    </cfRule>
    <cfRule type="expression" dxfId="1354" priority="11">
      <formula>$L2&gt;0</formula>
    </cfRule>
  </conditionalFormatting>
  <conditionalFormatting sqref="J2:K458">
    <cfRule type="expression" dxfId="1353" priority="55">
      <formula>$J2&lt;0</formula>
    </cfRule>
  </conditionalFormatting>
  <conditionalFormatting sqref="P1:P1048576">
    <cfRule type="expression" dxfId="1352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11" location="BIIB!A1" display="BIIB"/>
    <hyperlink ref="E39" location="MYL!A1" display="MYL"/>
    <hyperlink ref="E45" location="SIG!A1" display="SIG"/>
    <hyperlink ref="E4" location="AAPL!A1" display="AAPL"/>
    <hyperlink ref="E10" location="AXP!A1" display="AXP"/>
    <hyperlink ref="E20" location="DG!A1" display="DG"/>
    <hyperlink ref="E44" location="PINC!A1" display="PINC"/>
    <hyperlink ref="E24" location="FOXA!A1" display="FOXA"/>
    <hyperlink ref="E7" location="AOBC!A1" display="AOBC"/>
    <hyperlink ref="E35" location="LUV!A1" display="LUV"/>
    <hyperlink ref="E14" location="CCE!A1" display="CCE"/>
    <hyperlink ref="E12" location="BMY!A1" display="BMY"/>
    <hyperlink ref="E5" location="AKAM!A1" display="AKAM"/>
    <hyperlink ref="E8" location="ARNC!A1" display="ARNC"/>
    <hyperlink ref="E18" location="CVS!A1" display="CVS"/>
    <hyperlink ref="E37" location="MRO!A1" display="MRO"/>
    <hyperlink ref="E34" location="KR!A1" display="KR"/>
    <hyperlink ref="E23" location="F!A1" display="F"/>
    <hyperlink ref="E32" location="JNJ!A1" display="JNJ"/>
    <hyperlink ref="E3" location="AAP!A1" display="AAP"/>
    <hyperlink ref="E17" location="CPN!A1" display="CPN"/>
    <hyperlink ref="E22" location="EW!A1" display="EW"/>
    <hyperlink ref="E41" location="NKE!A1" display="NKE"/>
    <hyperlink ref="E36" location="MOS!A1" display="MOS"/>
    <hyperlink ref="E56" location="VGK!A1" display="VGK"/>
    <hyperlink ref="E38" location="MU!A1" display="MU"/>
    <hyperlink ref="E31" location="IP!A1" display="IP"/>
    <hyperlink ref="E30" location="INTC!A1" display="INTC"/>
    <hyperlink ref="E29" location="HES!A1" display="HES"/>
    <hyperlink ref="E54" location="UNP!A1" display="UNP"/>
    <hyperlink ref="E40" location="NCLH!A1" display="NCLH"/>
    <hyperlink ref="E46" location="SPY!A1" display="SPY"/>
    <hyperlink ref="E47" location="SWKS!A1" display="SWKS"/>
    <hyperlink ref="E16" location="CNI!A1" display="CNI"/>
    <hyperlink ref="E57" location="WFC!A1" display="WFC"/>
    <hyperlink ref="E2" location="AA!A1" display="AA"/>
    <hyperlink ref="E15" location="CF!A1" display="CF"/>
    <hyperlink ref="E49" location="TGT!A1" display="TGT"/>
    <hyperlink ref="E43" location="NWL!A1" display="NWL"/>
    <hyperlink ref="E33" location="KORS!A1" display="KORS"/>
    <hyperlink ref="E6" location="ALL!A1" display="ALL"/>
    <hyperlink ref="E42" location="NSC!A1" display="NSC"/>
    <hyperlink ref="E9" location="AVGO!A1" display="AVGO"/>
    <hyperlink ref="E52" location="UAL!A1" display="UAL"/>
    <hyperlink ref="E13" location="CAH!A1" display="CAH"/>
    <hyperlink ref="E19" location="DAL!A1" display="DAL"/>
    <hyperlink ref="E48" location="TEVA!A1" display="TEVA"/>
    <hyperlink ref="E21" location="DIS!A1" display="DIS"/>
    <hyperlink ref="E25" location="FTR!A1" display="FTR"/>
    <hyperlink ref="E26" location="GILD!A1" display="GILD"/>
    <hyperlink ref="E58" location="WWD!A1" display="WWD"/>
    <hyperlink ref="E27" location="GIS!A1" display="GIS"/>
    <hyperlink ref="E28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abSelected="1" workbookViewId="0">
      <pane ySplit="1" topLeftCell="A257" activePane="bottomLeft" state="frozen"/>
      <selection activeCell="E5" sqref="E5"/>
      <selection pane="bottomLeft" activeCell="M279" sqref="M279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696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696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696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696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4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84" t="s">
        <v>405</v>
      </c>
      <c r="B167" s="685">
        <v>42767</v>
      </c>
      <c r="C167" s="686">
        <v>35</v>
      </c>
      <c r="D167" s="687">
        <v>69.58</v>
      </c>
      <c r="E167" s="687">
        <v>0</v>
      </c>
      <c r="F167" s="687">
        <f>C167*D167+E167</f>
        <v>2435.2999999999997</v>
      </c>
      <c r="G167" s="685">
        <v>42803</v>
      </c>
      <c r="H167" s="688">
        <v>35</v>
      </c>
      <c r="I167" s="687">
        <v>87.78</v>
      </c>
      <c r="J167" s="687">
        <v>7.0000000000000007E-2</v>
      </c>
      <c r="K167" s="687">
        <f>I167*H167-J167</f>
        <v>3072.23</v>
      </c>
      <c r="L167" s="685">
        <v>42829</v>
      </c>
      <c r="M167" s="686">
        <v>14.44</v>
      </c>
      <c r="N167" s="689"/>
      <c r="O167" s="690"/>
    </row>
    <row r="168" spans="1:18" ht="18" customHeight="1" x14ac:dyDescent="0.25">
      <c r="A168" s="691"/>
      <c r="B168" s="686"/>
      <c r="C168" s="691">
        <f>SUM(C167:C167)</f>
        <v>35</v>
      </c>
      <c r="D168" s="692"/>
      <c r="E168" s="692"/>
      <c r="F168" s="692">
        <f>SUM(F167:F167)</f>
        <v>2435.2999999999997</v>
      </c>
      <c r="G168" s="691"/>
      <c r="H168" s="691">
        <f>SUM(H167:H167)</f>
        <v>35</v>
      </c>
      <c r="I168" s="692"/>
      <c r="J168" s="692"/>
      <c r="K168" s="692">
        <f>SUM(K167:K167)</f>
        <v>3072.23</v>
      </c>
      <c r="L168" s="691"/>
      <c r="M168" s="692">
        <f>SUM(M167:M167)</f>
        <v>14.44</v>
      </c>
      <c r="N168" s="682">
        <f>K168-F168</f>
        <v>636.93000000000029</v>
      </c>
      <c r="O168" s="683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696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696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1">
        <f>T283</f>
        <v>1012.5200000000001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3162.9980000013461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1863.338000001414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1863.3099999999977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2">
        <f>R283</f>
        <v>0.03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3">
        <f>N269-N271-N270</f>
        <v>-1.9999985836420819E-3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>
        <v>42877</v>
      </c>
      <c r="T277" s="423">
        <v>0.56000000000000005</v>
      </c>
    </row>
    <row r="278" spans="13:20" ht="18" customHeight="1" x14ac:dyDescent="0.25">
      <c r="Q278" s="359"/>
      <c r="R278" s="448"/>
      <c r="S278" s="470">
        <v>42887</v>
      </c>
      <c r="T278" s="423">
        <v>0.24</v>
      </c>
    </row>
    <row r="279" spans="13:20" ht="18" customHeight="1" x14ac:dyDescent="0.25">
      <c r="Q279" s="359"/>
      <c r="R279" s="448"/>
      <c r="S279" s="470"/>
      <c r="T279" s="423"/>
    </row>
    <row r="280" spans="13:20" ht="18" customHeight="1" x14ac:dyDescent="0.25">
      <c r="Q280" s="359"/>
      <c r="R280" s="448"/>
      <c r="S280" s="470"/>
      <c r="T280" s="423"/>
    </row>
    <row r="281" spans="13:20" ht="18" customHeight="1" x14ac:dyDescent="0.25">
      <c r="Q281" s="359"/>
      <c r="R281" s="448"/>
      <c r="S281" s="470"/>
      <c r="T281" s="423"/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 t="s">
        <v>81</v>
      </c>
      <c r="R283" s="448">
        <f>SUM(R252:R271)</f>
        <v>0.03</v>
      </c>
      <c r="S283" s="424" t="s">
        <v>81</v>
      </c>
      <c r="T283" s="423">
        <f>SUM(T252:T278)</f>
        <v>1012.5200000000001</v>
      </c>
    </row>
    <row r="296" spans="1:1" ht="18" customHeight="1" x14ac:dyDescent="0.25">
      <c r="A296" s="507"/>
    </row>
    <row r="297" spans="1:1" ht="18" customHeight="1" x14ac:dyDescent="0.25">
      <c r="A297" s="508"/>
    </row>
    <row r="298" spans="1:1" ht="18" customHeight="1" x14ac:dyDescent="0.25">
      <c r="A298" s="508"/>
    </row>
    <row r="299" spans="1:1" ht="18" customHeight="1" x14ac:dyDescent="0.25">
      <c r="A299" s="507"/>
    </row>
    <row r="300" spans="1:1" ht="18" customHeight="1" x14ac:dyDescent="0.25">
      <c r="A300" s="508"/>
    </row>
    <row r="301" spans="1:1" ht="18" customHeight="1" x14ac:dyDescent="0.25">
      <c r="A301" s="508"/>
    </row>
    <row r="302" spans="1:1" ht="18" customHeight="1" x14ac:dyDescent="0.25">
      <c r="A302" s="507"/>
    </row>
    <row r="303" spans="1:1" ht="18" customHeight="1" x14ac:dyDescent="0.25">
      <c r="A303" s="508"/>
    </row>
    <row r="304" spans="1:1" ht="18" customHeight="1" x14ac:dyDescent="0.25">
      <c r="A304" s="508"/>
    </row>
    <row r="305" spans="1:1" ht="18" customHeight="1" x14ac:dyDescent="0.25">
      <c r="A305" s="508"/>
    </row>
  </sheetData>
  <mergeCells count="3">
    <mergeCell ref="B12:B13"/>
    <mergeCell ref="B14:B15"/>
    <mergeCell ref="B185:B186"/>
  </mergeCells>
  <conditionalFormatting sqref="Q13">
    <cfRule type="expression" dxfId="1351" priority="7">
      <formula>#REF!&gt;0</formula>
    </cfRule>
    <cfRule type="expression" dxfId="135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36"/>
  <sheetViews>
    <sheetView topLeftCell="G1" zoomScaleNormal="100" workbookViewId="0">
      <pane ySplit="1" topLeftCell="A419" activePane="bottomLeft" state="frozen"/>
      <selection pane="bottomLeft" activeCell="S437" sqref="S437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1863.3099999999977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32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32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26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8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2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8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2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si="644"/>
        <v>1.1306176259533219E-3</v>
      </c>
      <c r="E418" s="249">
        <f t="shared" ref="E418" si="681">(C418-$C$2)/$C$2</f>
        <v>0.14135480679591333</v>
      </c>
      <c r="F418" s="250">
        <v>6129.14</v>
      </c>
      <c r="G418" s="173">
        <f t="shared" si="624"/>
        <v>1.3985602671642884E-3</v>
      </c>
      <c r="H418" s="251">
        <f t="shared" ref="H418" si="682">(F418-F$2)/F$2</f>
        <v>0.20375120293811508</v>
      </c>
      <c r="I418" s="568">
        <v>364191.11</v>
      </c>
      <c r="J418" s="253">
        <v>350000</v>
      </c>
      <c r="K418" s="253">
        <f t="shared" ref="K418" si="683">I418-I417-J418+J417</f>
        <v>6578.5499999999884</v>
      </c>
      <c r="L418" s="173">
        <f t="shared" si="627"/>
        <v>1.839574650286329E-2</v>
      </c>
      <c r="M418" s="602">
        <f t="shared" ref="M418" si="684">I418-J418</f>
        <v>14191.109999999986</v>
      </c>
      <c r="N418" s="255">
        <f t="shared" ref="N418" si="685">M418/J418</f>
        <v>4.0546028571428534E-2</v>
      </c>
      <c r="O418" s="254" t="b">
        <f t="shared" ref="O418" si="686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87">I418-Q418</f>
        <v>102644.90999999997</v>
      </c>
      <c r="S418" s="253">
        <v>-32756</v>
      </c>
      <c r="T418" s="253">
        <f t="shared" ref="T418" si="688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89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si="644"/>
        <v>-2.1628334368215328E-3</v>
      </c>
      <c r="E419" s="249">
        <f t="shared" ref="E419" si="690">(C419-$C$2)/$C$2</f>
        <v>0.13888624645649816</v>
      </c>
      <c r="F419" s="250">
        <v>6115.96</v>
      </c>
      <c r="G419" s="173">
        <f t="shared" si="624"/>
        <v>-2.1503832511576321E-3</v>
      </c>
      <c r="H419" s="251">
        <f t="shared" ref="H419" si="691">(F419-F$2)/F$2</f>
        <v>0.2011626765127561</v>
      </c>
      <c r="I419" s="568">
        <v>363186.71</v>
      </c>
      <c r="J419" s="253">
        <v>350000</v>
      </c>
      <c r="K419" s="253">
        <f t="shared" ref="K419" si="692">I419-I418-J419+J418</f>
        <v>-1004.3999999999651</v>
      </c>
      <c r="L419" s="173">
        <f t="shared" si="627"/>
        <v>-2.7578926899120768E-3</v>
      </c>
      <c r="M419" s="602">
        <f t="shared" ref="M419" si="693">I419-J419</f>
        <v>13186.710000000021</v>
      </c>
      <c r="N419" s="255">
        <f t="shared" ref="N419" si="694">M419/J419</f>
        <v>3.7676314285714343E-2</v>
      </c>
      <c r="O419" s="254" t="b">
        <f t="shared" ref="O419" si="695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696">I419-Q419</f>
        <v>97902.610000000044</v>
      </c>
      <c r="S419" s="253">
        <v>-32128</v>
      </c>
      <c r="T419" s="253">
        <f t="shared" ref="T419" si="697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698">N419/V419</f>
        <v>0.11639379889613433</v>
      </c>
    </row>
    <row r="420" spans="2:23" ht="20.100000000000001" customHeight="1" x14ac:dyDescent="0.25">
      <c r="B420" s="247">
        <v>42867</v>
      </c>
      <c r="C420" s="337">
        <v>2390.9</v>
      </c>
      <c r="D420" s="173">
        <f t="shared" si="644"/>
        <v>-1.4784250179582547E-3</v>
      </c>
      <c r="E420" s="249">
        <f t="shared" ref="E420" si="699">(C420-$C$2)/$C$2</f>
        <v>0.1372024885371283</v>
      </c>
      <c r="F420" s="250">
        <v>6121.23</v>
      </c>
      <c r="G420" s="173">
        <f t="shared" si="624"/>
        <v>8.6167993250438639E-4</v>
      </c>
      <c r="H420" s="251">
        <f t="shared" ref="H420" si="700">(F420-F$2)/F$2</f>
        <v>0.20219769428678042</v>
      </c>
      <c r="I420" s="568">
        <v>359448.71</v>
      </c>
      <c r="J420" s="253">
        <v>350000</v>
      </c>
      <c r="K420" s="253">
        <f t="shared" ref="K420" si="701">I420-I419-J420+J419</f>
        <v>-3738</v>
      </c>
      <c r="L420" s="173">
        <f t="shared" si="627"/>
        <v>-1.0292226827352795E-2</v>
      </c>
      <c r="M420" s="602">
        <f t="shared" ref="M420" si="702">I420-J420</f>
        <v>9448.710000000021</v>
      </c>
      <c r="N420" s="255">
        <f t="shared" ref="N420" si="703">M420/J420</f>
        <v>2.6996314285714345E-2</v>
      </c>
      <c r="O420" s="254" t="b">
        <f t="shared" ref="O420" si="704">L420&gt;D420</f>
        <v>0</v>
      </c>
      <c r="P420" s="255">
        <f>COUNTIF(O$2:O420, TRUE)/(COUNTIF(O$2:O420,FALSE) + COUNTIF(O$2:O420, TRUE))</f>
        <v>0.47971360381861577</v>
      </c>
      <c r="Q420" s="253">
        <v>266142.09999999998</v>
      </c>
      <c r="R420" s="253">
        <f t="shared" ref="R420" si="705">I420-Q420</f>
        <v>93306.610000000044</v>
      </c>
      <c r="S420" s="253">
        <v>-32431</v>
      </c>
      <c r="T420" s="253">
        <f t="shared" ref="T420" si="706">M420-S420</f>
        <v>41879.710000000021</v>
      </c>
      <c r="U420" s="255">
        <f>STDEV(D$2:D420)*SQRT(252)</f>
        <v>0.14933215368764829</v>
      </c>
      <c r="V420" s="255">
        <f>STDEV(L$2:L420)*SQRT(252)</f>
        <v>0.32341728992205637</v>
      </c>
      <c r="W420" s="254">
        <f t="shared" ref="W420" si="707">N420/V420</f>
        <v>8.3472081199556347E-2</v>
      </c>
    </row>
    <row r="421" spans="2:23" ht="20.100000000000001" customHeight="1" x14ac:dyDescent="0.25">
      <c r="B421" s="174">
        <v>42870</v>
      </c>
      <c r="C421" s="218">
        <v>2402.3200000000002</v>
      </c>
      <c r="D421" s="173">
        <f t="shared" si="644"/>
        <v>4.7764440168974326E-3</v>
      </c>
      <c r="E421" s="212">
        <f t="shared" ref="E421" si="708">(C421-$C$2)/$C$2</f>
        <v>0.14263427255950234</v>
      </c>
      <c r="F421" s="222">
        <v>6149.47</v>
      </c>
      <c r="G421" s="173">
        <f t="shared" si="624"/>
        <v>4.6134518716010823E-3</v>
      </c>
      <c r="H421" s="206">
        <f t="shared" ref="H421" si="709">(F421-F$2)/F$2</f>
        <v>0.20774397548952225</v>
      </c>
      <c r="I421" s="224">
        <v>361662.81</v>
      </c>
      <c r="J421" s="175">
        <v>350000</v>
      </c>
      <c r="K421" s="175">
        <f t="shared" ref="K421" si="710">I421-I420-J421+J420</f>
        <v>2214.0999999999767</v>
      </c>
      <c r="L421" s="173">
        <f t="shared" si="627"/>
        <v>6.1597105189220925E-3</v>
      </c>
      <c r="M421" s="185">
        <f t="shared" ref="M421" si="711">I421-J421</f>
        <v>11662.809999999998</v>
      </c>
      <c r="N421" s="187">
        <f t="shared" ref="N421" si="712">M421/J421</f>
        <v>3.3322314285714277E-2</v>
      </c>
      <c r="O421" s="185" t="b">
        <f t="shared" ref="O421" si="713">L421&gt;D421</f>
        <v>1</v>
      </c>
      <c r="P421" s="187">
        <f>COUNTIF(O$2:O421, TRUE)/(COUNTIF(O$2:O421,FALSE) + COUNTIF(O$2:O421, TRUE))</f>
        <v>0.48095238095238096</v>
      </c>
      <c r="Q421" s="175">
        <v>268356.2</v>
      </c>
      <c r="R421" s="175">
        <f t="shared" ref="R421" si="714">I421-Q421</f>
        <v>93306.609999999986</v>
      </c>
      <c r="S421" s="175">
        <v>-31638</v>
      </c>
      <c r="T421" s="175">
        <f t="shared" ref="T421" si="715">M421-S421</f>
        <v>43300.81</v>
      </c>
      <c r="U421" s="187">
        <f>STDEV(D$2:D421)*SQRT(252)</f>
        <v>0.14919288792479243</v>
      </c>
      <c r="V421" s="187">
        <f>STDEV(L$2:L421)*SQRT(252)</f>
        <v>0.32306020565165067</v>
      </c>
      <c r="W421" s="185">
        <f t="shared" ref="W421" si="716">N421/V421</f>
        <v>0.103145833819115</v>
      </c>
    </row>
    <row r="422" spans="2:23" ht="20.100000000000001" customHeight="1" x14ac:dyDescent="0.25">
      <c r="B422" s="174">
        <v>42871</v>
      </c>
      <c r="C422" s="218">
        <v>2400.67</v>
      </c>
      <c r="D422" s="173">
        <f t="shared" si="644"/>
        <v>-6.8683605847684362E-4</v>
      </c>
      <c r="E422" s="212">
        <f t="shared" ref="E422" si="717">(C422-$C$2)/$C$2</f>
        <v>0.14184947013945701</v>
      </c>
      <c r="F422" s="222">
        <v>6169.87</v>
      </c>
      <c r="G422" s="173">
        <f t="shared" si="624"/>
        <v>3.3173590569593211E-3</v>
      </c>
      <c r="H422" s="206">
        <f t="shared" ref="H422" si="718">(F422-F$2)/F$2</f>
        <v>0.21175049590510048</v>
      </c>
      <c r="I422" s="224">
        <v>359481.11</v>
      </c>
      <c r="J422" s="175">
        <v>350000</v>
      </c>
      <c r="K422" s="175">
        <f t="shared" ref="K422" si="719">I422-I421-J422+J421</f>
        <v>-2181.7000000000116</v>
      </c>
      <c r="L422" s="173">
        <f t="shared" si="627"/>
        <v>-6.0324145576372964E-3</v>
      </c>
      <c r="M422" s="185">
        <f t="shared" ref="M422" si="720">I422-J422</f>
        <v>9481.109999999986</v>
      </c>
      <c r="N422" s="187">
        <f t="shared" ref="N422" si="721">M422/J422</f>
        <v>2.7088885714285676E-2</v>
      </c>
      <c r="O422" s="185" t="b">
        <f t="shared" ref="O422" si="722">L422&gt;D422</f>
        <v>0</v>
      </c>
      <c r="P422" s="187">
        <f>COUNTIF(O$2:O422, TRUE)/(COUNTIF(O$2:O422,FALSE) + COUNTIF(O$2:O422, TRUE))</f>
        <v>0.47980997624703087</v>
      </c>
      <c r="Q422" s="175">
        <v>272441</v>
      </c>
      <c r="R422" s="175">
        <f t="shared" ref="R422" si="723">I422-Q422</f>
        <v>87040.109999999986</v>
      </c>
      <c r="S422" s="175">
        <v>-31956</v>
      </c>
      <c r="T422" s="175">
        <f t="shared" ref="T422" si="724">M422-S422</f>
        <v>41437.109999999986</v>
      </c>
      <c r="U422" s="187">
        <f>STDEV(D$2:D422)*SQRT(252)</f>
        <v>0.1490169627374561</v>
      </c>
      <c r="V422" s="187">
        <f>STDEV(L$2:L422)*SQRT(252)</f>
        <v>0.32271407708105421</v>
      </c>
      <c r="W422" s="185">
        <f t="shared" ref="W422" si="725">N422/V422</f>
        <v>8.3940824519662713E-2</v>
      </c>
    </row>
    <row r="423" spans="2:23" ht="20.100000000000001" customHeight="1" x14ac:dyDescent="0.25">
      <c r="B423" s="174">
        <v>42872</v>
      </c>
      <c r="C423" s="218">
        <v>2357.0300000000002</v>
      </c>
      <c r="D423" s="173">
        <f t="shared" si="644"/>
        <v>-1.8178258569482634E-2</v>
      </c>
      <c r="E423" s="212">
        <f t="shared" ref="E423" si="726">(C423-$C$2)/$C$2</f>
        <v>0.12109263522383523</v>
      </c>
      <c r="F423" s="222">
        <v>6011.23</v>
      </c>
      <c r="G423" s="173">
        <f t="shared" si="624"/>
        <v>-2.5712049038310422E-2</v>
      </c>
      <c r="H423" s="206">
        <f t="shared" ref="H423" si="727">(F423-F$2)/F$2</f>
        <v>0.18059390773219156</v>
      </c>
      <c r="I423" s="224">
        <v>358002.43</v>
      </c>
      <c r="J423" s="175">
        <v>350000</v>
      </c>
      <c r="K423" s="175">
        <f t="shared" ref="K423" si="728">I423-I422-J423+J422</f>
        <v>-1478.679999999993</v>
      </c>
      <c r="L423" s="173">
        <f t="shared" si="627"/>
        <v>-4.1133733007556175E-3</v>
      </c>
      <c r="M423" s="185">
        <f t="shared" ref="M423" si="729">I423-J423</f>
        <v>8002.429999999993</v>
      </c>
      <c r="N423" s="187">
        <f t="shared" ref="N423" si="730">M423/J423</f>
        <v>2.2864085714285696E-2</v>
      </c>
      <c r="O423" s="185" t="b">
        <f t="shared" ref="O423" si="731">L423&gt;D423</f>
        <v>1</v>
      </c>
      <c r="P423" s="187">
        <f>COUNTIF(O$2:O423, TRUE)/(COUNTIF(O$2:O423,FALSE) + COUNTIF(O$2:O423, TRUE))</f>
        <v>0.48104265402843605</v>
      </c>
      <c r="Q423" s="175">
        <v>277243.34999999998</v>
      </c>
      <c r="R423" s="175">
        <f t="shared" ref="R423" si="732">I423-Q423</f>
        <v>80759.080000000016</v>
      </c>
      <c r="S423" s="175">
        <v>-31003</v>
      </c>
      <c r="T423" s="175">
        <f t="shared" ref="T423" si="733">M423-S423</f>
        <v>39005.429999999993</v>
      </c>
      <c r="U423" s="187">
        <f>STDEV(D$2:D423)*SQRT(252)</f>
        <v>0.1495288876053591</v>
      </c>
      <c r="V423" s="187">
        <f>STDEV(L$2:L423)*SQRT(252)</f>
        <v>0.32234925335581999</v>
      </c>
      <c r="W423" s="185">
        <f t="shared" ref="W423" si="734">N423/V423</f>
        <v>7.0929544511919643E-2</v>
      </c>
    </row>
    <row r="424" spans="2:23" ht="20.100000000000001" customHeight="1" x14ac:dyDescent="0.25">
      <c r="B424" s="174">
        <v>42873</v>
      </c>
      <c r="C424" s="218">
        <v>2365.7199999999998</v>
      </c>
      <c r="D424" s="173">
        <f t="shared" si="644"/>
        <v>3.686843188249449E-3</v>
      </c>
      <c r="E424" s="212">
        <f t="shared" ref="E424" si="735">(C424-$C$2)/$C$2</f>
        <v>0.12522592796940685</v>
      </c>
      <c r="F424" s="222">
        <v>6055.13</v>
      </c>
      <c r="G424" s="173">
        <f t="shared" si="624"/>
        <v>7.3029978889512714E-3</v>
      </c>
      <c r="H424" s="206">
        <f t="shared" ref="H424" si="736">(F424-F$2)/F$2</f>
        <v>0.18921578254806848</v>
      </c>
      <c r="I424" s="224">
        <v>358058.63</v>
      </c>
      <c r="J424" s="175">
        <v>350000</v>
      </c>
      <c r="K424" s="175">
        <f t="shared" ref="K424" si="737">I424-I423-J424+J423</f>
        <v>56.200000000011642</v>
      </c>
      <c r="L424" s="173">
        <f t="shared" si="627"/>
        <v>1.5698217467409827E-4</v>
      </c>
      <c r="M424" s="185">
        <f t="shared" ref="M424" si="738">I424-J424</f>
        <v>8058.6300000000047</v>
      </c>
      <c r="N424" s="187">
        <f t="shared" ref="N424" si="739">M424/J424</f>
        <v>2.3024657142857157E-2</v>
      </c>
      <c r="O424" s="185" t="b">
        <f t="shared" ref="O424" si="740">L424&gt;D424</f>
        <v>0</v>
      </c>
      <c r="P424" s="187">
        <f>COUNTIF(O$2:O424, TRUE)/(COUNTIF(O$2:O424,FALSE) + COUNTIF(O$2:O424, TRUE))</f>
        <v>0.47990543735224589</v>
      </c>
      <c r="Q424" s="175">
        <v>277930.2</v>
      </c>
      <c r="R424" s="175">
        <f t="shared" ref="R424" si="741">I424-Q424</f>
        <v>80128.429999999993</v>
      </c>
      <c r="S424" s="175">
        <v>-30899</v>
      </c>
      <c r="T424" s="175">
        <f t="shared" ref="T424" si="742">M424-S424</f>
        <v>38957.630000000005</v>
      </c>
      <c r="U424" s="187">
        <f>STDEV(D$2:D424)*SQRT(252)</f>
        <v>0.14937391224983806</v>
      </c>
      <c r="V424" s="187">
        <f>STDEV(L$2:L424)*SQRT(252)</f>
        <v>0.32196627838552588</v>
      </c>
      <c r="W424" s="185">
        <f t="shared" ref="W424" si="743">N424/V424</f>
        <v>7.1512635603680166E-2</v>
      </c>
    </row>
    <row r="425" spans="2:23" ht="20.100000000000001" customHeight="1" x14ac:dyDescent="0.25">
      <c r="B425" s="174">
        <v>42874</v>
      </c>
      <c r="C425" s="218">
        <v>2381.73</v>
      </c>
      <c r="D425" s="173">
        <f t="shared" si="644"/>
        <v>6.7674957306867334E-3</v>
      </c>
      <c r="E425" s="212">
        <f t="shared" ref="E425" si="744">(C425-$C$2)/$C$2</f>
        <v>0.13284088963299784</v>
      </c>
      <c r="F425" s="222">
        <v>6083.7</v>
      </c>
      <c r="G425" s="173">
        <f t="shared" si="624"/>
        <v>4.7183132319206537E-3</v>
      </c>
      <c r="H425" s="206">
        <f t="shared" ref="H425" si="745">(F425-F$2)/F$2</f>
        <v>0.19482687511047392</v>
      </c>
      <c r="I425" s="224">
        <v>363364.53</v>
      </c>
      <c r="J425" s="175">
        <v>350000</v>
      </c>
      <c r="K425" s="175">
        <f t="shared" ref="K425" si="746">I425-I424-J425+J424</f>
        <v>5305.9000000000233</v>
      </c>
      <c r="L425" s="173">
        <f t="shared" si="627"/>
        <v>1.4818522877105415E-2</v>
      </c>
      <c r="M425" s="185">
        <f t="shared" ref="M425" si="747">I425-J425</f>
        <v>13364.530000000028</v>
      </c>
      <c r="N425" s="187">
        <f t="shared" ref="N425" si="748">M425/J425</f>
        <v>3.8184371428571506E-2</v>
      </c>
      <c r="O425" s="185" t="b">
        <f t="shared" ref="O425" si="749">L425&gt;D425</f>
        <v>1</v>
      </c>
      <c r="P425" s="187">
        <f>COUNTIF(O$2:O425, TRUE)/(COUNTIF(O$2:O425,FALSE) + COUNTIF(O$2:O425, TRUE))</f>
        <v>0.48113207547169812</v>
      </c>
      <c r="Q425" s="175">
        <v>263972.7</v>
      </c>
      <c r="R425" s="175">
        <f t="shared" ref="R425" si="750">I425-Q425</f>
        <v>99391.830000000016</v>
      </c>
      <c r="S425" s="175">
        <v>-29778</v>
      </c>
      <c r="T425" s="175">
        <f t="shared" ref="T425" si="751">M425-S425</f>
        <v>43142.530000000028</v>
      </c>
      <c r="U425" s="187">
        <f>STDEV(D$2:D425)*SQRT(252)</f>
        <v>0.14927970106208843</v>
      </c>
      <c r="V425" s="187">
        <f>STDEV(L$2:L425)*SQRT(252)</f>
        <v>0.32177526697453379</v>
      </c>
      <c r="W425" s="185">
        <f t="shared" ref="W425" si="752">N425/V425</f>
        <v>0.11866782611229572</v>
      </c>
    </row>
    <row r="426" spans="2:23" ht="20.100000000000001" customHeight="1" x14ac:dyDescent="0.25">
      <c r="B426" s="247">
        <v>42877</v>
      </c>
      <c r="C426" s="337">
        <v>2394.02</v>
      </c>
      <c r="D426" s="173">
        <f t="shared" si="644"/>
        <v>5.1601147065368294E-3</v>
      </c>
      <c r="E426" s="249">
        <f t="shared" ref="E426" si="753">(C426-$C$2)/$C$2</f>
        <v>0.13868647856775931</v>
      </c>
      <c r="F426" s="250">
        <v>6133.61</v>
      </c>
      <c r="G426" s="173">
        <f t="shared" si="624"/>
        <v>8.2038890806581284E-3</v>
      </c>
      <c r="H426" s="251">
        <f t="shared" ref="H426" si="754">(F426-F$2)/F$2</f>
        <v>0.20462910226446959</v>
      </c>
      <c r="I426" s="568">
        <v>362670.23</v>
      </c>
      <c r="J426" s="253">
        <v>350000</v>
      </c>
      <c r="K426" s="253">
        <f t="shared" ref="K426" si="755">I426-I425-J426+J425</f>
        <v>-694.30000000004657</v>
      </c>
      <c r="L426" s="173">
        <f t="shared" si="627"/>
        <v>-1.9107533693507358E-3</v>
      </c>
      <c r="M426" s="602">
        <f t="shared" ref="M426" si="756">I426-J426</f>
        <v>12670.229999999981</v>
      </c>
      <c r="N426" s="255">
        <f t="shared" ref="N426" si="757">M426/J426</f>
        <v>3.6200657142857091E-2</v>
      </c>
      <c r="O426" s="254" t="b">
        <f t="shared" ref="O426" si="758">L426&gt;D426</f>
        <v>0</v>
      </c>
      <c r="P426" s="255">
        <f>COUNTIF(O$2:O426, TRUE)/(COUNTIF(O$2:O426,FALSE) + COUNTIF(O$2:O426, TRUE))</f>
        <v>0.48</v>
      </c>
      <c r="Q426" s="253">
        <v>263278.40000000002</v>
      </c>
      <c r="R426" s="253">
        <f t="shared" ref="R426" si="759">I426-Q426</f>
        <v>99391.829999999958</v>
      </c>
      <c r="S426" s="253">
        <v>-30076</v>
      </c>
      <c r="T426" s="253">
        <f t="shared" ref="T426" si="760">M426-S426</f>
        <v>42746.229999999981</v>
      </c>
      <c r="U426" s="255">
        <f>STDEV(D$2:D426)*SQRT(252)</f>
        <v>0.14914946204860074</v>
      </c>
      <c r="V426" s="255">
        <f>STDEV(L$2:L426)*SQRT(252)</f>
        <v>0.32140007588338698</v>
      </c>
      <c r="W426" s="254">
        <f t="shared" ref="W426" si="761">N426/V426</f>
        <v>0.11263425200929857</v>
      </c>
    </row>
    <row r="427" spans="2:23" ht="20.100000000000001" customHeight="1" x14ac:dyDescent="0.25">
      <c r="B427" s="247">
        <v>42878</v>
      </c>
      <c r="C427" s="337">
        <v>2398.42</v>
      </c>
      <c r="D427" s="173">
        <f t="shared" ref="D427" si="762">(C427-C426)/C426</f>
        <v>1.837912799391856E-3</v>
      </c>
      <c r="E427" s="249">
        <f t="shared" ref="E427" si="763">(C427-$C$2)/$C$2</f>
        <v>0.14077928502121345</v>
      </c>
      <c r="F427" s="250">
        <v>6138.71</v>
      </c>
      <c r="G427" s="173">
        <f t="shared" si="624"/>
        <v>8.3148423196133497E-4</v>
      </c>
      <c r="H427" s="251">
        <f t="shared" ref="H427" si="764">(F427-F$2)/F$2</f>
        <v>0.20563073236836424</v>
      </c>
      <c r="I427" s="568">
        <v>362550.99</v>
      </c>
      <c r="J427" s="253">
        <v>350000</v>
      </c>
      <c r="K427" s="253">
        <f t="shared" ref="K427" si="765">I427-I426-J427+J426</f>
        <v>-119.23999999999069</v>
      </c>
      <c r="L427" s="173">
        <f t="shared" si="627"/>
        <v>-3.2878353428675603E-4</v>
      </c>
      <c r="M427" s="602">
        <f t="shared" ref="M427" si="766">I427-J427</f>
        <v>12550.989999999991</v>
      </c>
      <c r="N427" s="255">
        <f t="shared" ref="N427" si="767">M427/J427</f>
        <v>3.5859971428571405E-2</v>
      </c>
      <c r="O427" s="254" t="b">
        <f t="shared" ref="O427" si="768">L427&gt;D427</f>
        <v>0</v>
      </c>
      <c r="P427" s="255">
        <f>COUNTIF(O$2:O427, TRUE)/(COUNTIF(O$2:O427,FALSE) + COUNTIF(O$2:O427, TRUE))</f>
        <v>0.47887323943661969</v>
      </c>
      <c r="Q427" s="253">
        <v>263158.59999999998</v>
      </c>
      <c r="R427" s="253">
        <f t="shared" ref="R427" si="769">I427-Q427</f>
        <v>99392.390000000014</v>
      </c>
      <c r="S427" s="253">
        <v>-30424</v>
      </c>
      <c r="T427" s="253">
        <f t="shared" ref="T427" si="770">M427-S427</f>
        <v>42974.989999999991</v>
      </c>
      <c r="U427" s="255">
        <f>STDEV(D$2:D427)*SQRT(252)</f>
        <v>0.1489778784266331</v>
      </c>
      <c r="V427" s="255">
        <f>STDEV(L$2:L427)*SQRT(252)</f>
        <v>0.32102147148537991</v>
      </c>
      <c r="W427" s="254">
        <f t="shared" ref="W427" si="771">N427/V427</f>
        <v>0.11170583469898697</v>
      </c>
    </row>
    <row r="428" spans="2:23" ht="20.100000000000001" customHeight="1" x14ac:dyDescent="0.25">
      <c r="B428" s="247">
        <v>42879</v>
      </c>
      <c r="C428" s="337">
        <v>2404.39</v>
      </c>
      <c r="D428" s="173">
        <f t="shared" ref="D428" si="772">(C428-C427)/C427</f>
        <v>2.4891386829662028E-3</v>
      </c>
      <c r="E428" s="249">
        <f t="shared" ref="E428" si="773">(C428-$C$2)/$C$2</f>
        <v>0.14361884286828627</v>
      </c>
      <c r="F428" s="250">
        <v>6163.02</v>
      </c>
      <c r="G428" s="173">
        <f t="shared" si="624"/>
        <v>3.9601153988379316E-3</v>
      </c>
      <c r="H428" s="251">
        <f t="shared" ref="H428" si="774">(F428-F$2)/F$2</f>
        <v>0.21040516919692848</v>
      </c>
      <c r="I428" s="568">
        <v>361217.77</v>
      </c>
      <c r="J428" s="253">
        <v>350000</v>
      </c>
      <c r="K428" s="253">
        <f t="shared" ref="K428" si="775">I428-I427-J428+J427</f>
        <v>-1333.2199999999721</v>
      </c>
      <c r="L428" s="173">
        <f t="shared" si="627"/>
        <v>-3.6773310148731689E-3</v>
      </c>
      <c r="M428" s="602">
        <f t="shared" ref="M428" si="776">I428-J428</f>
        <v>11217.770000000019</v>
      </c>
      <c r="N428" s="255">
        <f t="shared" ref="N428" si="777">M428/J428</f>
        <v>3.2050771428571483E-2</v>
      </c>
      <c r="O428" s="254" t="b">
        <f t="shared" ref="O428" si="778">L428&gt;D428</f>
        <v>0</v>
      </c>
      <c r="P428" s="255">
        <f>COUNTIF(O$2:O428, TRUE)/(COUNTIF(O$2:O428,FALSE) + COUNTIF(O$2:O428, TRUE))</f>
        <v>0.47775175644028101</v>
      </c>
      <c r="Q428" s="253">
        <v>265004.5</v>
      </c>
      <c r="R428" s="253">
        <f t="shared" ref="R428" si="779">I428-Q428</f>
        <v>96213.270000000019</v>
      </c>
      <c r="S428" s="253">
        <v>-30852</v>
      </c>
      <c r="T428" s="253">
        <f t="shared" ref="T428" si="780">M428-S428</f>
        <v>42069.770000000019</v>
      </c>
      <c r="U428" s="255">
        <f>STDEV(D$2:D428)*SQRT(252)</f>
        <v>0.14881157011695953</v>
      </c>
      <c r="V428" s="255">
        <f>STDEV(L$2:L428)*SQRT(252)</f>
        <v>0.32065963038398737</v>
      </c>
      <c r="W428" s="254">
        <f t="shared" ref="W428" si="781">N428/V428</f>
        <v>9.9952623877820029E-2</v>
      </c>
    </row>
    <row r="429" spans="2:23" ht="20.100000000000001" customHeight="1" x14ac:dyDescent="0.25">
      <c r="B429" s="247">
        <v>42880</v>
      </c>
      <c r="C429" s="337">
        <v>2415.0700000000002</v>
      </c>
      <c r="D429" s="173">
        <f t="shared" ref="D429" si="782">(C429-C428)/C428</f>
        <v>4.4418750701842426E-3</v>
      </c>
      <c r="E429" s="249">
        <f t="shared" ref="E429" si="783">(C429-$C$2)/$C$2</f>
        <v>0.14869865489621586</v>
      </c>
      <c r="F429" s="250">
        <v>6205.25</v>
      </c>
      <c r="G429" s="173">
        <f t="shared" si="624"/>
        <v>6.8521601422678428E-3</v>
      </c>
      <c r="H429" s="251">
        <f t="shared" ref="H429" si="784">(F429-F$2)/F$2</f>
        <v>0.21869905925329461</v>
      </c>
      <c r="I429" s="568">
        <v>353000.67</v>
      </c>
      <c r="J429" s="253">
        <v>350000</v>
      </c>
      <c r="K429" s="253">
        <f t="shared" ref="K429" si="785">I429-I428-J429+J428</f>
        <v>-8217.1000000000349</v>
      </c>
      <c r="L429" s="173">
        <f t="shared" si="627"/>
        <v>-2.2748327137947933E-2</v>
      </c>
      <c r="M429" s="602">
        <f t="shared" ref="M429" si="786">I429-J429</f>
        <v>3000.6699999999837</v>
      </c>
      <c r="N429" s="255">
        <f t="shared" ref="N429" si="787">M429/J429</f>
        <v>8.573342857142811E-3</v>
      </c>
      <c r="O429" s="254" t="b">
        <f t="shared" ref="O429" si="788">L429&gt;D429</f>
        <v>0</v>
      </c>
      <c r="P429" s="255">
        <f>COUNTIF(O$2:O429, TRUE)/(COUNTIF(O$2:O429,FALSE) + COUNTIF(O$2:O429, TRUE))</f>
        <v>0.47663551401869159</v>
      </c>
      <c r="Q429" s="253">
        <v>264898.2</v>
      </c>
      <c r="R429" s="253">
        <f t="shared" ref="R429" si="789">I429-Q429</f>
        <v>88102.469999999972</v>
      </c>
      <c r="S429" s="253">
        <v>-32794</v>
      </c>
      <c r="T429" s="253">
        <f t="shared" ref="T429" si="790">M429-S429</f>
        <v>35794.669999999984</v>
      </c>
      <c r="U429" s="255">
        <f>STDEV(D$2:D429)*SQRT(252)</f>
        <v>0.14866989936871414</v>
      </c>
      <c r="V429" s="255">
        <f>STDEV(L$2:L429)*SQRT(252)</f>
        <v>0.32077996360853689</v>
      </c>
      <c r="W429" s="254">
        <f t="shared" ref="W429" si="791">N429/V429</f>
        <v>2.6726553493862451E-2</v>
      </c>
    </row>
    <row r="430" spans="2:23" ht="20.100000000000001" customHeight="1" x14ac:dyDescent="0.25">
      <c r="B430" s="247">
        <v>42881</v>
      </c>
      <c r="C430" s="337">
        <v>2415.8200000000002</v>
      </c>
      <c r="D430" s="173">
        <f t="shared" ref="D430:D432" si="792">(C430-C429)/C429</f>
        <v>3.105500047617667E-4</v>
      </c>
      <c r="E430" s="249">
        <f t="shared" ref="E430" si="793">(C430-$C$2)/$C$2</f>
        <v>0.14905538326896373</v>
      </c>
      <c r="F430" s="250">
        <v>6210.19</v>
      </c>
      <c r="G430" s="173">
        <f t="shared" si="624"/>
        <v>7.9610007654801977E-4</v>
      </c>
      <c r="H430" s="251">
        <f t="shared" ref="H430" si="794">(F430-F$2)/F$2</f>
        <v>0.21966926566765516</v>
      </c>
      <c r="I430" s="568">
        <v>353471.67</v>
      </c>
      <c r="J430" s="253">
        <v>350000</v>
      </c>
      <c r="K430" s="253">
        <f t="shared" ref="K430" si="795">I430-I429-J430+J429</f>
        <v>471</v>
      </c>
      <c r="L430" s="173">
        <f t="shared" si="627"/>
        <v>1.3342750879198049E-3</v>
      </c>
      <c r="M430" s="602">
        <f t="shared" ref="M430" si="796">I430-J430</f>
        <v>3471.6699999999837</v>
      </c>
      <c r="N430" s="255">
        <f t="shared" ref="N430" si="797">M430/J430</f>
        <v>9.9190571428570962E-3</v>
      </c>
      <c r="O430" s="254" t="b">
        <f t="shared" ref="O430" si="798">L430&gt;D430</f>
        <v>1</v>
      </c>
      <c r="P430" s="255">
        <f>COUNTIF(O$2:O430, TRUE)/(COUNTIF(O$2:O430,FALSE) + COUNTIF(O$2:O430, TRUE))</f>
        <v>0.47785547785547783</v>
      </c>
      <c r="Q430" s="253">
        <v>265363.20000000001</v>
      </c>
      <c r="R430" s="253">
        <f t="shared" ref="R430" si="799">I430-Q430</f>
        <v>88108.469999999972</v>
      </c>
      <c r="S430" s="253">
        <v>-33110</v>
      </c>
      <c r="T430" s="253">
        <f t="shared" ref="T430" si="800">M430-S430</f>
        <v>36581.669999999984</v>
      </c>
      <c r="U430" s="255">
        <f>STDEV(D$2:D430)*SQRT(252)</f>
        <v>0.14849571742002676</v>
      </c>
      <c r="V430" s="255">
        <f>STDEV(L$2:L430)*SQRT(252)</f>
        <v>0.3204048737589808</v>
      </c>
      <c r="W430" s="254">
        <f t="shared" ref="W430" si="801">N430/V430</f>
        <v>3.0957884711574457E-2</v>
      </c>
    </row>
    <row r="431" spans="2:23" ht="20.100000000000001" customHeight="1" x14ac:dyDescent="0.25">
      <c r="B431" s="174">
        <v>42885</v>
      </c>
      <c r="C431" s="218">
        <v>2412.91</v>
      </c>
      <c r="D431" s="173">
        <f t="shared" si="792"/>
        <v>-1.204559942379941E-3</v>
      </c>
      <c r="E431" s="212">
        <f t="shared" ref="E431" si="802">(C431-$C$2)/$C$2</f>
        <v>0.1476712771827019</v>
      </c>
      <c r="F431" s="222">
        <v>6203.18</v>
      </c>
      <c r="G431" s="173">
        <f t="shared" si="624"/>
        <v>-1.1287899404042886E-3</v>
      </c>
      <c r="H431" s="206">
        <f t="shared" ref="H431" si="803">(F431-F$2)/F$2</f>
        <v>0.21829251526994922</v>
      </c>
      <c r="I431" s="224">
        <v>350229.07</v>
      </c>
      <c r="J431" s="175">
        <v>350000</v>
      </c>
      <c r="K431" s="175">
        <f t="shared" ref="K431" si="804">I431-I430-J431+J430</f>
        <v>-3242.5999999999767</v>
      </c>
      <c r="L431" s="173">
        <f t="shared" si="627"/>
        <v>-9.1735781823759077E-3</v>
      </c>
      <c r="M431" s="185">
        <f t="shared" ref="M431" si="805">I431-J431</f>
        <v>229.07000000000698</v>
      </c>
      <c r="N431" s="187">
        <f t="shared" ref="N431" si="806">M431/J431</f>
        <v>6.5448571428573419E-4</v>
      </c>
      <c r="O431" s="185" t="b">
        <f t="shared" ref="O431" si="807">L431&gt;D431</f>
        <v>0</v>
      </c>
      <c r="P431" s="187">
        <f>COUNTIF(O$2:O431, TRUE)/(COUNTIF(O$2:O431,FALSE) + COUNTIF(O$2:O431, TRUE))</f>
        <v>0.47674418604651164</v>
      </c>
      <c r="Q431" s="175">
        <v>262120.6</v>
      </c>
      <c r="R431" s="175">
        <f t="shared" ref="R431" si="808">I431-Q431</f>
        <v>88108.47</v>
      </c>
      <c r="S431" s="175">
        <v>-35019</v>
      </c>
      <c r="T431" s="175">
        <f t="shared" ref="T431" si="809">M431-S431</f>
        <v>35248.070000000007</v>
      </c>
      <c r="U431" s="187">
        <f>STDEV(D$2:D431)*SQRT(252)</f>
        <v>0.14832703796630264</v>
      </c>
      <c r="V431" s="187">
        <f>STDEV(L$2:L431)*SQRT(252)</f>
        <v>0.32011502320683888</v>
      </c>
      <c r="W431" s="185">
        <f t="shared" ref="W431" si="810">N431/V431</f>
        <v>2.0445329548399397E-3</v>
      </c>
    </row>
    <row r="432" spans="2:23" ht="20.100000000000001" customHeight="1" x14ac:dyDescent="0.25">
      <c r="B432" s="174">
        <v>42886</v>
      </c>
      <c r="C432" s="218">
        <v>2411.8000000000002</v>
      </c>
      <c r="D432" s="173">
        <f t="shared" si="792"/>
        <v>-4.6002544645248791E-4</v>
      </c>
      <c r="E432" s="212">
        <f t="shared" ref="E432" si="811">(C432-$C$2)/$C$2</f>
        <v>0.14714331919103524</v>
      </c>
      <c r="F432" s="222">
        <v>6198.51</v>
      </c>
      <c r="G432" s="173">
        <f t="shared" si="624"/>
        <v>-7.5283967255505607E-4</v>
      </c>
      <c r="H432" s="206">
        <f t="shared" ref="H432" si="812">(F432-F$2)/F$2</f>
        <v>0.21737533633167713</v>
      </c>
      <c r="I432" s="421">
        <v>349203.17</v>
      </c>
      <c r="J432" s="175">
        <v>350000</v>
      </c>
      <c r="K432" s="175">
        <f t="shared" ref="K432" si="813">I432-I431-J432+J431</f>
        <v>-1025.9000000000233</v>
      </c>
      <c r="L432" s="173">
        <f t="shared" si="627"/>
        <v>-2.9292257207547715E-3</v>
      </c>
      <c r="M432" s="421">
        <f t="shared" ref="M432" si="814">I432-J432</f>
        <v>-796.8300000000163</v>
      </c>
      <c r="N432" s="187">
        <f t="shared" ref="N432" si="815">M432/J432</f>
        <v>-2.2766571428571893E-3</v>
      </c>
      <c r="O432" s="185" t="b">
        <f t="shared" ref="O432" si="816">L432&gt;D432</f>
        <v>0</v>
      </c>
      <c r="P432" s="187">
        <f>COUNTIF(O$2:O432, TRUE)/(COUNTIF(O$2:O432,FALSE) + COUNTIF(O$2:O432, TRUE))</f>
        <v>0.47563805104408352</v>
      </c>
      <c r="Q432" s="175">
        <v>265165.09999999998</v>
      </c>
      <c r="R432" s="175">
        <f t="shared" ref="R432" si="817">I432-Q432</f>
        <v>84038.07</v>
      </c>
      <c r="S432" s="175">
        <v>-35731</v>
      </c>
      <c r="T432" s="175">
        <f t="shared" ref="T432" si="818">M432-S432</f>
        <v>34934.169999999984</v>
      </c>
      <c r="U432" s="187">
        <f>STDEV(D$2:D432)*SQRT(252)</f>
        <v>0.14815540660544116</v>
      </c>
      <c r="V432" s="187">
        <f>STDEV(L$2:L432)*SQRT(252)</f>
        <v>0.31975192949675368</v>
      </c>
      <c r="W432" s="185">
        <f t="shared" ref="W432" si="819">N432/V432</f>
        <v>-7.1200731968696475E-3</v>
      </c>
    </row>
    <row r="433" spans="2:23" ht="20.100000000000001" customHeight="1" x14ac:dyDescent="0.25">
      <c r="B433" s="174">
        <v>42887</v>
      </c>
      <c r="C433" s="218">
        <v>2430.06</v>
      </c>
      <c r="D433" s="173">
        <f t="shared" ref="D433" si="820">(C433-C432)/C432</f>
        <v>7.5711087154821137E-3</v>
      </c>
      <c r="E433" s="212">
        <f t="shared" ref="E433" si="821">(C433-$C$2)/$C$2</f>
        <v>0.15582846597286956</v>
      </c>
      <c r="F433" s="222">
        <v>6246.83</v>
      </c>
      <c r="G433" s="173">
        <f t="shared" ref="G433" si="822">(F433-F432)/F432</f>
        <v>7.7954218029816372E-3</v>
      </c>
      <c r="H433" s="206">
        <f t="shared" ref="H433" si="823">(F433-F$2)/F$2</f>
        <v>0.22686529057092919</v>
      </c>
      <c r="I433" s="224">
        <v>353722.21</v>
      </c>
      <c r="J433" s="175">
        <v>350000</v>
      </c>
      <c r="K433" s="175">
        <f t="shared" ref="K433" si="824">I433-I432-J433+J432</f>
        <v>4519.0400000000373</v>
      </c>
      <c r="L433" s="173">
        <f t="shared" ref="L433" si="825">K433/I432</f>
        <v>1.2941005088814163E-2</v>
      </c>
      <c r="M433" s="185">
        <f t="shared" ref="M433" si="826">I433-J433</f>
        <v>3722.210000000021</v>
      </c>
      <c r="N433" s="187">
        <f t="shared" ref="N433" si="827">M433/J433</f>
        <v>1.0634885714285775E-2</v>
      </c>
      <c r="O433" s="185" t="b">
        <f t="shared" ref="O433" si="828">L433&gt;D433</f>
        <v>1</v>
      </c>
      <c r="P433" s="187">
        <f>COUNTIF(O$2:O433, TRUE)/(COUNTIF(O$2:O433,FALSE) + COUNTIF(O$2:O433, TRUE))</f>
        <v>0.47685185185185186</v>
      </c>
      <c r="Q433" s="175">
        <v>269546.90000000002</v>
      </c>
      <c r="R433" s="175">
        <f t="shared" ref="R433" si="829">I433-Q433</f>
        <v>84175.31</v>
      </c>
      <c r="S433" s="175">
        <v>-33352</v>
      </c>
      <c r="T433" s="175">
        <f t="shared" ref="T433" si="830">M433-S433</f>
        <v>37074.210000000021</v>
      </c>
      <c r="U433" s="187">
        <f>STDEV(D$2:D433)*SQRT(252)</f>
        <v>0.14808564864409832</v>
      </c>
      <c r="V433" s="187">
        <f>STDEV(L$2:L433)*SQRT(252)</f>
        <v>0.31952378804389292</v>
      </c>
      <c r="W433" s="185">
        <f t="shared" ref="W433" si="831">N433/V433</f>
        <v>3.3283549182337759E-2</v>
      </c>
    </row>
    <row r="434" spans="2:23" ht="20.100000000000001" customHeight="1" x14ac:dyDescent="0.25">
      <c r="B434" s="174">
        <v>42888</v>
      </c>
      <c r="C434" s="218">
        <v>2439.0700000000002</v>
      </c>
      <c r="D434" s="173">
        <f t="shared" ref="D434" si="832">(C434-C433)/C433</f>
        <v>3.7077273812170146E-3</v>
      </c>
      <c r="E434" s="212">
        <f t="shared" ref="E434" si="833">(C434-$C$2)/$C$2</f>
        <v>0.16011396282414722</v>
      </c>
      <c r="F434" s="222">
        <v>6305.79</v>
      </c>
      <c r="G434" s="173">
        <f t="shared" ref="G434" si="834">(F434-F433)/F433</f>
        <v>9.4383871499624673E-3</v>
      </c>
      <c r="H434" s="206">
        <f t="shared" ref="H434" si="835">(F434-F$2)/F$2</f>
        <v>0.23844492016418881</v>
      </c>
      <c r="I434" s="224">
        <v>351458.31</v>
      </c>
      <c r="J434" s="175">
        <v>350000</v>
      </c>
      <c r="K434" s="175">
        <f t="shared" ref="K434" si="836">I434-I433-J434+J433</f>
        <v>-2263.9000000000233</v>
      </c>
      <c r="L434" s="173">
        <f t="shared" ref="L434" si="837">K434/I433</f>
        <v>-6.4002201049236434E-3</v>
      </c>
      <c r="M434" s="185">
        <f t="shared" ref="M434" si="838">I434-J434</f>
        <v>1458.3099999999977</v>
      </c>
      <c r="N434" s="187">
        <f t="shared" ref="N434" si="839">M434/J434</f>
        <v>4.1665999999999934E-3</v>
      </c>
      <c r="O434" s="185" t="b">
        <f t="shared" ref="O434" si="840">L434&gt;D434</f>
        <v>0</v>
      </c>
      <c r="P434" s="187">
        <f>COUNTIF(O$2:O434, TRUE)/(COUNTIF(O$2:O434,FALSE) + COUNTIF(O$2:O434, TRUE))</f>
        <v>0.47575057736720555</v>
      </c>
      <c r="Q434" s="175">
        <v>282327.40000000002</v>
      </c>
      <c r="R434" s="175">
        <f t="shared" ref="R434" si="841">I434-Q434</f>
        <v>69130.909999999974</v>
      </c>
      <c r="S434" s="175">
        <v>-36002</v>
      </c>
      <c r="T434" s="175">
        <f t="shared" ref="T434" si="842">M434-S434</f>
        <v>37460.31</v>
      </c>
      <c r="U434" s="187">
        <f>STDEV(D$2:D434)*SQRT(252)</f>
        <v>0.14793559836685169</v>
      </c>
      <c r="V434" s="187">
        <f>STDEV(L$2:L434)*SQRT(252)</f>
        <v>0.31919554315894061</v>
      </c>
      <c r="W434" s="185">
        <f t="shared" ref="W434" si="843">N434/V434</f>
        <v>1.30534404044773E-2</v>
      </c>
    </row>
    <row r="435" spans="2:23" ht="20.100000000000001" customHeight="1" x14ac:dyDescent="0.25">
      <c r="B435" s="174">
        <v>42891</v>
      </c>
      <c r="C435" s="218">
        <v>2436.1</v>
      </c>
      <c r="D435" s="173">
        <f t="shared" ref="D435" si="844">(C435-C434)/C434</f>
        <v>-1.217677229435914E-3</v>
      </c>
      <c r="E435" s="212">
        <f t="shared" ref="E435" si="845">(C435-$C$2)/$C$2</f>
        <v>0.15870131846806559</v>
      </c>
      <c r="F435" s="222">
        <v>6295.68</v>
      </c>
      <c r="G435" s="173">
        <f t="shared" ref="G435" si="846">(F435-F434)/F434</f>
        <v>-1.6032884063693325E-3</v>
      </c>
      <c r="H435" s="206">
        <f t="shared" ref="H435" si="847">(F435-F$2)/F$2</f>
        <v>0.23645933578176256</v>
      </c>
      <c r="I435" s="224">
        <v>351519.71</v>
      </c>
      <c r="J435" s="175">
        <v>350000</v>
      </c>
      <c r="K435" s="175">
        <f t="shared" ref="K435" si="848">I435-I434-J435+J434</f>
        <v>61.400000000023283</v>
      </c>
      <c r="L435" s="173">
        <f t="shared" ref="L435" si="849">K435/I434</f>
        <v>1.7470066364350093E-4</v>
      </c>
      <c r="M435" s="185">
        <f t="shared" ref="M435" si="850">I435-J435</f>
        <v>1519.710000000021</v>
      </c>
      <c r="N435" s="187">
        <f t="shared" ref="N435" si="851">M435/J435</f>
        <v>4.3420285714286314E-3</v>
      </c>
      <c r="O435" s="185" t="b">
        <f t="shared" ref="O435" si="852">L435&gt;D435</f>
        <v>1</v>
      </c>
      <c r="P435" s="187">
        <f>COUNTIF(O$2:O435, TRUE)/(COUNTIF(O$2:O435,FALSE) + COUNTIF(O$2:O435, TRUE))</f>
        <v>0.47695852534562211</v>
      </c>
      <c r="Q435" s="175">
        <v>282388.8</v>
      </c>
      <c r="R435" s="175">
        <f t="shared" ref="R435" si="853">I435-Q435</f>
        <v>69130.910000000033</v>
      </c>
      <c r="S435" s="175">
        <v>-35772</v>
      </c>
      <c r="T435" s="175">
        <f t="shared" ref="T435" si="854">M435-S435</f>
        <v>37291.710000000021</v>
      </c>
      <c r="U435" s="187">
        <f>STDEV(D$2:D435)*SQRT(252)</f>
        <v>0.14776934878372619</v>
      </c>
      <c r="V435" s="187">
        <f>STDEV(L$2:L435)*SQRT(252)</f>
        <v>0.31882594274949316</v>
      </c>
      <c r="W435" s="185">
        <f t="shared" ref="W435" si="855">N435/V435</f>
        <v>1.3618805715694959E-2</v>
      </c>
    </row>
    <row r="436" spans="2:23" ht="20.100000000000001" customHeight="1" x14ac:dyDescent="0.25">
      <c r="B436" s="174">
        <v>42892</v>
      </c>
      <c r="C436" s="218">
        <v>2429.33</v>
      </c>
      <c r="D436" s="173">
        <f t="shared" ref="D436" si="856">(C436-C435)/C435</f>
        <v>-2.7790320594392602E-3</v>
      </c>
      <c r="E436" s="212">
        <f t="shared" ref="E436" si="857">(C436-$C$2)/$C$2</f>
        <v>0.1554812503567283</v>
      </c>
      <c r="F436" s="222">
        <v>6275.02</v>
      </c>
      <c r="G436" s="173">
        <f t="shared" ref="G436" si="858">(F436-F435)/F435</f>
        <v>-3.2816153298769715E-3</v>
      </c>
      <c r="H436" s="206">
        <f t="shared" ref="H436" si="859">(F436-F$2)/F$2</f>
        <v>0.23240175187069165</v>
      </c>
      <c r="I436" s="224">
        <v>351863.31</v>
      </c>
      <c r="J436" s="175">
        <v>350000</v>
      </c>
      <c r="K436" s="175">
        <f t="shared" ref="K436" si="860">I436-I435-J436+J435</f>
        <v>343.59999999997672</v>
      </c>
      <c r="L436" s="173">
        <f t="shared" ref="L436" si="861">K436/I435</f>
        <v>9.7747008268747344E-4</v>
      </c>
      <c r="M436" s="185">
        <f t="shared" ref="M436" si="862">I436-J436</f>
        <v>1863.3099999999977</v>
      </c>
      <c r="N436" s="187">
        <f t="shared" ref="N436" si="863">M436/J436</f>
        <v>5.3237428571428509E-3</v>
      </c>
      <c r="O436" s="185" t="b">
        <f t="shared" ref="O436" si="864">L436&gt;D436</f>
        <v>1</v>
      </c>
      <c r="P436" s="187">
        <f>COUNTIF(O$2:O436, TRUE)/(COUNTIF(O$2:O436,FALSE) + COUNTIF(O$2:O436, TRUE))</f>
        <v>0.47816091954022988</v>
      </c>
      <c r="Q436" s="175">
        <v>286054.40000000002</v>
      </c>
      <c r="R436" s="175">
        <f t="shared" ref="R436" si="865">I436-Q436</f>
        <v>65808.909999999974</v>
      </c>
      <c r="S436" s="175">
        <v>-34862</v>
      </c>
      <c r="T436" s="175">
        <f t="shared" ref="T436" si="866">M436-S436</f>
        <v>36725.31</v>
      </c>
      <c r="U436" s="187">
        <f>STDEV(D$2:D436)*SQRT(252)</f>
        <v>0.14761828585147854</v>
      </c>
      <c r="V436" s="187">
        <f>STDEV(L$2:L436)*SQRT(252)</f>
        <v>0.3184578591374711</v>
      </c>
      <c r="W436" s="185">
        <f t="shared" ref="W436" si="867">N436/V436</f>
        <v>1.6717260084464457E-2</v>
      </c>
    </row>
  </sheetData>
  <conditionalFormatting sqref="D3:D436">
    <cfRule type="colorScale" priority="3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36">
    <cfRule type="colorScale" priority="3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36">
    <cfRule type="colorScale" priority="30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36">
    <cfRule type="colorScale" priority="37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37:L1048576">
    <cfRule type="colorScale" priority="59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257.16000000000003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257.16000000000003</v>
      </c>
      <c r="R4" s="516">
        <v>-5.1999999999999998E-3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697" t="s">
        <v>78</v>
      </c>
      <c r="P42" s="697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282.87600000000003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280.30440000000004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277.73280000000005</v>
      </c>
      <c r="Q45" s="2"/>
      <c r="T45" s="427" t="s">
        <v>99</v>
      </c>
      <c r="U45" s="493" t="s">
        <v>615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275.16120000000006</v>
      </c>
      <c r="Q46" s="2"/>
      <c r="T46" s="427" t="s">
        <v>100</v>
      </c>
      <c r="U46" s="493" t="s">
        <v>616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272.58960000000002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270.01800000000003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267.44640000000004</v>
      </c>
      <c r="Q49" s="2"/>
      <c r="T49" s="427" t="s">
        <v>103</v>
      </c>
      <c r="U49" s="493" t="s">
        <v>565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264.87480000000005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262.3032</v>
      </c>
      <c r="Q51" s="2"/>
      <c r="T51" s="427" t="s">
        <v>104</v>
      </c>
      <c r="U51" s="493" t="s">
        <v>617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259.73160000000001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257.16000000000003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254.58840000000004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252.01680000000002</v>
      </c>
      <c r="Q55" s="2"/>
      <c r="T55" s="427" t="s">
        <v>107</v>
      </c>
      <c r="U55" s="493" t="s">
        <v>618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249.44520000000003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246.87360000000001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244.30200000000002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241.7304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239.15880000000004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236.58720000000002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234.01560000000003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231.44400000000002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49" priority="58">
      <formula>F19&gt;0</formula>
    </cfRule>
    <cfRule type="expression" dxfId="134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47" priority="47">
      <formula>H25&gt;0</formula>
    </cfRule>
    <cfRule type="expression" dxfId="1346" priority="48">
      <formula>H25&lt;0</formula>
    </cfRule>
  </conditionalFormatting>
  <conditionalFormatting sqref="M39">
    <cfRule type="expression" dxfId="1345" priority="45">
      <formula>M39&gt;0</formula>
    </cfRule>
    <cfRule type="expression" dxfId="1344" priority="46">
      <formula>M39&lt;0</formula>
    </cfRule>
  </conditionalFormatting>
  <conditionalFormatting sqref="F61:F67">
    <cfRule type="expression" dxfId="1343" priority="43">
      <formula>F61&gt;0</formula>
    </cfRule>
    <cfRule type="expression" dxfId="1342" priority="44">
      <formula>F61&lt;0</formula>
    </cfRule>
  </conditionalFormatting>
  <conditionalFormatting sqref="H61:H67">
    <cfRule type="expression" dxfId="1341" priority="41">
      <formula>H61&gt;0</formula>
    </cfRule>
    <cfRule type="expression" dxfId="1340" priority="42">
      <formula>H61&lt;0</formula>
    </cfRule>
  </conditionalFormatting>
  <conditionalFormatting sqref="F21:F24">
    <cfRule type="expression" dxfId="1339" priority="39">
      <formula>F21&gt;0</formula>
    </cfRule>
    <cfRule type="expression" dxfId="1338" priority="40">
      <formula>F21&lt;0</formula>
    </cfRule>
  </conditionalFormatting>
  <conditionalFormatting sqref="H21:H24">
    <cfRule type="expression" dxfId="1337" priority="37">
      <formula>H21&gt;0</formula>
    </cfRule>
    <cfRule type="expression" dxfId="1336" priority="38">
      <formula>H21&lt;0</formula>
    </cfRule>
  </conditionalFormatting>
  <conditionalFormatting sqref="I25:I28">
    <cfRule type="expression" dxfId="1335" priority="31">
      <formula>I25&gt;0</formula>
    </cfRule>
    <cfRule type="expression" dxfId="1334" priority="32">
      <formula>I25&lt;0</formula>
    </cfRule>
  </conditionalFormatting>
  <conditionalFormatting sqref="I21:I24">
    <cfRule type="expression" dxfId="1333" priority="29">
      <formula>I21&gt;0</formula>
    </cfRule>
    <cfRule type="expression" dxfId="1332" priority="30">
      <formula>I21&lt;0</formula>
    </cfRule>
  </conditionalFormatting>
  <conditionalFormatting sqref="H29">
    <cfRule type="expression" dxfId="1331" priority="27">
      <formula>H29&gt;0</formula>
    </cfRule>
    <cfRule type="expression" dxfId="1330" priority="28">
      <formula>H29&lt;0</formula>
    </cfRule>
  </conditionalFormatting>
  <conditionalFormatting sqref="H30">
    <cfRule type="expression" dxfId="1329" priority="25">
      <formula>H30&gt;0</formula>
    </cfRule>
    <cfRule type="expression" dxfId="1328" priority="26">
      <formula>H30&lt;0</formula>
    </cfRule>
  </conditionalFormatting>
  <conditionalFormatting sqref="H31">
    <cfRule type="expression" dxfId="1327" priority="23">
      <formula>H31&gt;0</formula>
    </cfRule>
    <cfRule type="expression" dxfId="1326" priority="24">
      <formula>H31&lt;0</formula>
    </cfRule>
  </conditionalFormatting>
  <conditionalFormatting sqref="Q7">
    <cfRule type="expression" dxfId="1325" priority="21">
      <formula>Q7&gt;0</formula>
    </cfRule>
    <cfRule type="expression" dxfId="1324" priority="22">
      <formula>Q7&lt;0</formula>
    </cfRule>
  </conditionalFormatting>
  <conditionalFormatting sqref="Q8">
    <cfRule type="expression" dxfId="1323" priority="19">
      <formula>Q8&gt;0</formula>
    </cfRule>
    <cfRule type="expression" dxfId="1322" priority="20">
      <formula>Q8&lt;0</formula>
    </cfRule>
  </conditionalFormatting>
  <conditionalFormatting sqref="F73:F82">
    <cfRule type="expression" dxfId="1321" priority="17">
      <formula>F73&gt;0</formula>
    </cfRule>
    <cfRule type="expression" dxfId="1320" priority="18">
      <formula>F73&lt;0</formula>
    </cfRule>
  </conditionalFormatting>
  <conditionalFormatting sqref="H73:H76">
    <cfRule type="expression" dxfId="1319" priority="15">
      <formula>H73&gt;0</formula>
    </cfRule>
    <cfRule type="expression" dxfId="1318" priority="16">
      <formula>H73&lt;0</formula>
    </cfRule>
  </conditionalFormatting>
  <conditionalFormatting sqref="F69:F72">
    <cfRule type="expression" dxfId="1317" priority="13">
      <formula>F69&gt;0</formula>
    </cfRule>
    <cfRule type="expression" dxfId="1316" priority="14">
      <formula>F69&lt;0</formula>
    </cfRule>
  </conditionalFormatting>
  <conditionalFormatting sqref="H69:H72">
    <cfRule type="expression" dxfId="1315" priority="11">
      <formula>H69&gt;0</formula>
    </cfRule>
    <cfRule type="expression" dxfId="1314" priority="12">
      <formula>H69&lt;0</formula>
    </cfRule>
  </conditionalFormatting>
  <conditionalFormatting sqref="I73:I76">
    <cfRule type="expression" dxfId="1313" priority="9">
      <formula>I73&gt;0</formula>
    </cfRule>
    <cfRule type="expression" dxfId="1312" priority="10">
      <formula>I73&lt;0</formula>
    </cfRule>
  </conditionalFormatting>
  <conditionalFormatting sqref="I69:I72">
    <cfRule type="expression" dxfId="1311" priority="7">
      <formula>I69&gt;0</formula>
    </cfRule>
    <cfRule type="expression" dxfId="1310" priority="8">
      <formula>I69&lt;0</formula>
    </cfRule>
  </conditionalFormatting>
  <conditionalFormatting sqref="H77">
    <cfRule type="expression" dxfId="1309" priority="5">
      <formula>H77&gt;0</formula>
    </cfRule>
    <cfRule type="expression" dxfId="1308" priority="6">
      <formula>H77&lt;0</formula>
    </cfRule>
  </conditionalFormatting>
  <conditionalFormatting sqref="H78">
    <cfRule type="expression" dxfId="1307" priority="3">
      <formula>H78&gt;0</formula>
    </cfRule>
    <cfRule type="expression" dxfId="1306" priority="4">
      <formula>H78&lt;0</formula>
    </cfRule>
  </conditionalFormatting>
  <conditionalFormatting sqref="H79">
    <cfRule type="expression" dxfId="1305" priority="1">
      <formula>H79&gt;0</formula>
    </cfRule>
    <cfRule type="expression" dxfId="130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38.549999999999997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38.549999999999997</v>
      </c>
      <c r="R4" s="516">
        <v>-2.3E-3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697" t="s">
        <v>78</v>
      </c>
      <c r="P42" s="697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42.405000000000001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42.019500000000001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41.634</v>
      </c>
      <c r="Q45" s="2"/>
      <c r="T45" s="107" t="s">
        <v>99</v>
      </c>
      <c r="U45" s="364" t="s">
        <v>619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41.2485</v>
      </c>
      <c r="Q46" s="2"/>
      <c r="T46" s="107" t="s">
        <v>100</v>
      </c>
      <c r="U46" s="364" t="s">
        <v>620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40.863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40.477499999999999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40.091999999999999</v>
      </c>
      <c r="Q49" s="2"/>
      <c r="T49" s="107" t="s">
        <v>121</v>
      </c>
      <c r="U49" s="364" t="s">
        <v>447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39.706499999999998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39.320999999999998</v>
      </c>
      <c r="Q51" s="2"/>
      <c r="T51" s="107" t="s">
        <v>104</v>
      </c>
      <c r="U51" s="364" t="s">
        <v>621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38.935499999999998</v>
      </c>
      <c r="Q52" s="2"/>
      <c r="T52" s="107" t="s">
        <v>105</v>
      </c>
      <c r="U52" s="364" t="s">
        <v>437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38.549999999999997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38.164499999999997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37.778999999999996</v>
      </c>
      <c r="Q55" s="2"/>
      <c r="T55" s="107" t="s">
        <v>107</v>
      </c>
      <c r="U55" s="364" t="s">
        <v>622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37.393499999999996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37.007999999999996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36.622499999999995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36.236999999999995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35.851500000000001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35.466000000000001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35.080500000000001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34.695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303" priority="25">
      <formula>N19&gt;0</formula>
    </cfRule>
    <cfRule type="expression" dxfId="130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301" priority="19">
      <formula>F21&gt;0</formula>
    </cfRule>
    <cfRule type="expression" dxfId="1300" priority="20">
      <formula>F21&lt;0</formula>
    </cfRule>
  </conditionalFormatting>
  <conditionalFormatting sqref="H21:H31">
    <cfRule type="expression" dxfId="1299" priority="17">
      <formula>H21&gt;0</formula>
    </cfRule>
    <cfRule type="expression" dxfId="1298" priority="18">
      <formula>H21&lt;0</formula>
    </cfRule>
  </conditionalFormatting>
  <conditionalFormatting sqref="I21:I31">
    <cfRule type="expression" dxfId="1297" priority="15">
      <formula>I21&gt;0</formula>
    </cfRule>
    <cfRule type="expression" dxfId="1296" priority="16">
      <formula>I21&lt;0</formula>
    </cfRule>
  </conditionalFormatting>
  <conditionalFormatting sqref="Q8">
    <cfRule type="expression" dxfId="1295" priority="7">
      <formula>Q8&gt;0</formula>
    </cfRule>
    <cfRule type="expression" dxfId="1294" priority="8">
      <formula>Q8&lt;0</formula>
    </cfRule>
  </conditionalFormatting>
  <conditionalFormatting sqref="Q7">
    <cfRule type="expression" dxfId="1293" priority="9">
      <formula>Q7&gt;0</formula>
    </cfRule>
    <cfRule type="expression" dxfId="1292" priority="10">
      <formula>Q7&lt;0</formula>
    </cfRule>
  </conditionalFormatting>
  <conditionalFormatting sqref="F56:F66">
    <cfRule type="expression" dxfId="1291" priority="5">
      <formula>F56&gt;0</formula>
    </cfRule>
    <cfRule type="expression" dxfId="1290" priority="6">
      <formula>F56&lt;0</formula>
    </cfRule>
  </conditionalFormatting>
  <conditionalFormatting sqref="H56:H66">
    <cfRule type="expression" dxfId="1289" priority="3">
      <formula>H56&gt;0</formula>
    </cfRule>
    <cfRule type="expression" dxfId="1288" priority="4">
      <formula>H56&lt;0</formula>
    </cfRule>
  </conditionalFormatting>
  <conditionalFormatting sqref="I56:I66">
    <cfRule type="expression" dxfId="1287" priority="1">
      <formula>I56&gt;0</formula>
    </cfRule>
    <cfRule type="expression" dxfId="128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I14" sqref="I14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5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400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73">
        <v>42887</v>
      </c>
      <c r="M3" s="44">
        <v>62</v>
      </c>
      <c r="O3" s="11" t="s">
        <v>58</v>
      </c>
      <c r="Q3" s="228">
        <f>IF(Q2=0, Q4, (F18-K18-M18)/Q2)</f>
        <v>65.906725000000009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53.95</v>
      </c>
      <c r="R4" s="516">
        <v>2.0400000000000001E-2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21580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26362.690000000002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-4106.7400000000052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-4782.690000000006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-0.18141889162297192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497">
        <v>42865</v>
      </c>
      <c r="C13" s="4">
        <v>100</v>
      </c>
      <c r="D13" s="3">
        <v>63.85</v>
      </c>
      <c r="E13" s="3">
        <v>0</v>
      </c>
      <c r="F13" s="3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497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497">
        <v>42879</v>
      </c>
      <c r="C15" s="4">
        <v>50</v>
      </c>
      <c r="D15" s="3">
        <v>53.3</v>
      </c>
      <c r="E15" s="3">
        <v>0</v>
      </c>
      <c r="F15" s="3">
        <f t="shared" si="0"/>
        <v>2665</v>
      </c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SUM(C2:C15)</f>
        <v>555</v>
      </c>
      <c r="D18" s="14"/>
      <c r="E18" s="14"/>
      <c r="F18" s="18">
        <f>SUM(F2:F15)</f>
        <v>37657.950000000004</v>
      </c>
      <c r="G18" s="14"/>
      <c r="H18" s="14">
        <f t="shared" ref="H18:M18" si="3">SUM(H2:H14)</f>
        <v>155</v>
      </c>
      <c r="I18" s="14"/>
      <c r="J18" s="14"/>
      <c r="K18" s="14">
        <f t="shared" si="3"/>
        <v>11220.259999999998</v>
      </c>
      <c r="L18" s="14"/>
      <c r="M18" s="18">
        <f t="shared" si="3"/>
        <v>75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155</v>
      </c>
      <c r="I19" s="354"/>
      <c r="J19" s="354"/>
      <c r="K19" s="355">
        <f>SumByColor($A$19,K2:K17)</f>
        <v>11220</v>
      </c>
      <c r="L19" s="354"/>
      <c r="M19" s="355">
        <f>SumByColor($A$19,M2:M17)</f>
        <v>75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113</v>
      </c>
      <c r="C24" s="510" t="s">
        <v>146</v>
      </c>
      <c r="D24" s="511" t="s">
        <v>145</v>
      </c>
      <c r="E24" s="512" t="s">
        <v>147</v>
      </c>
      <c r="F24" s="513" t="s">
        <v>65</v>
      </c>
      <c r="G24" s="514" t="s">
        <v>151</v>
      </c>
      <c r="H24" s="513" t="s">
        <v>88</v>
      </c>
      <c r="I24" s="513" t="s">
        <v>154</v>
      </c>
      <c r="J24" s="513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402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428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471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493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493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697" t="s">
        <v>78</v>
      </c>
      <c r="P42" s="697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59.345000000000006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A44">
        <v>200</v>
      </c>
      <c r="B44" s="191">
        <v>42866</v>
      </c>
      <c r="C44" s="10">
        <v>350</v>
      </c>
      <c r="D44" s="40">
        <v>67.884799999999998</v>
      </c>
      <c r="E44" s="40">
        <v>61.68</v>
      </c>
      <c r="F44" s="40">
        <f t="shared" ref="F44" si="39">C44*(E44-D44)</f>
        <v>-2171.6799999999994</v>
      </c>
      <c r="G44" s="40">
        <f t="shared" ref="G44" si="40">D44*C44</f>
        <v>23759.68</v>
      </c>
      <c r="H44" s="229">
        <f t="shared" ref="H44" si="41">(E44-D44)/D44</f>
        <v>-9.1401904402752879E-2</v>
      </c>
      <c r="I44" s="10"/>
      <c r="J44" s="40">
        <v>-1496</v>
      </c>
      <c r="O44" s="82">
        <v>1.0900000000000001</v>
      </c>
      <c r="P44" s="82">
        <f t="shared" ref="P44:P63" si="42">O44*$Q$4</f>
        <v>58.805500000000009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A45">
        <v>200</v>
      </c>
      <c r="B45" s="191">
        <v>42887</v>
      </c>
      <c r="C45" s="10">
        <v>400</v>
      </c>
      <c r="D45" s="40">
        <v>65.906700000000001</v>
      </c>
      <c r="E45" s="40">
        <v>52.41</v>
      </c>
      <c r="F45" s="40">
        <f t="shared" ref="F45" si="43">C45*(E45-D45)</f>
        <v>-5398.6800000000021</v>
      </c>
      <c r="G45" s="40">
        <f t="shared" ref="G45" si="44">D45*C45</f>
        <v>26362.68</v>
      </c>
      <c r="H45" s="229">
        <f t="shared" ref="H45" si="45">(E45-D45)/D45</f>
        <v>-0.20478494599183397</v>
      </c>
      <c r="I45" s="10"/>
      <c r="J45" s="40">
        <v>-4723</v>
      </c>
      <c r="O45" s="82">
        <v>1.08</v>
      </c>
      <c r="P45" s="82">
        <f t="shared" si="42"/>
        <v>58.266000000000005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42"/>
        <v>57.726500000000009</v>
      </c>
      <c r="Q46" s="2"/>
      <c r="T46" s="107" t="s">
        <v>121</v>
      </c>
      <c r="U46" s="364" t="s">
        <v>512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42"/>
        <v>57.187000000000005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42"/>
        <v>56.647500000000008</v>
      </c>
      <c r="Q48" s="2"/>
      <c r="T48" s="107" t="s">
        <v>104</v>
      </c>
      <c r="U48" s="364" t="s">
        <v>623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42"/>
        <v>56.108000000000004</v>
      </c>
      <c r="Q49" s="2"/>
      <c r="T49" s="107" t="s">
        <v>105</v>
      </c>
      <c r="U49" s="364" t="s">
        <v>624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42"/>
        <v>55.568500000000007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42"/>
        <v>55.029000000000003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42"/>
        <v>54.489500000000007</v>
      </c>
      <c r="Q52" s="2"/>
      <c r="T52" s="107" t="s">
        <v>107</v>
      </c>
      <c r="U52" s="364" t="s">
        <v>625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42"/>
        <v>53.95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42"/>
        <v>53.410499999999999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42"/>
        <v>52.871000000000002</v>
      </c>
      <c r="Q55" s="2"/>
      <c r="T55" s="107" t="s">
        <v>108</v>
      </c>
      <c r="U55" s="364" t="s">
        <v>583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42"/>
        <v>52.331499999999998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46">C57*(E57-D57)</f>
        <v>15.999999999999943</v>
      </c>
      <c r="G57" s="378">
        <f t="shared" ref="G57:G65" si="47">D57*C57</f>
        <v>1924</v>
      </c>
      <c r="H57" s="379">
        <f t="shared" ref="H57:H65" si="48">(E57-D57)/D57</f>
        <v>8.316008316008287E-3</v>
      </c>
      <c r="I57" s="379"/>
      <c r="O57" s="82">
        <v>0.96</v>
      </c>
      <c r="P57" s="82">
        <f t="shared" si="42"/>
        <v>51.792000000000002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46"/>
        <v>50.600000000000023</v>
      </c>
      <c r="G58" s="378">
        <f t="shared" si="47"/>
        <v>1924</v>
      </c>
      <c r="H58" s="379">
        <f t="shared" si="48"/>
        <v>2.6299376299376311E-2</v>
      </c>
      <c r="I58" s="379"/>
      <c r="O58" s="82">
        <v>0.95</v>
      </c>
      <c r="P58" s="82">
        <f t="shared" si="42"/>
        <v>51.252499999999998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46"/>
        <v>-176.20199999999988</v>
      </c>
      <c r="G59" s="378">
        <f t="shared" si="47"/>
        <v>4063.752</v>
      </c>
      <c r="H59" s="379">
        <f t="shared" si="48"/>
        <v>-4.3359437288495929E-2</v>
      </c>
      <c r="I59" s="380"/>
      <c r="O59" s="82">
        <v>0.94</v>
      </c>
      <c r="P59" s="82">
        <f t="shared" si="42"/>
        <v>50.713000000000001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46"/>
        <v>-51.239999999999952</v>
      </c>
      <c r="G60" s="378">
        <f t="shared" si="47"/>
        <v>2283.9899999999998</v>
      </c>
      <c r="H60" s="379">
        <f t="shared" si="48"/>
        <v>-2.2434423968581276E-2</v>
      </c>
      <c r="I60" s="379"/>
      <c r="O60" s="82">
        <v>0.93</v>
      </c>
      <c r="P60" s="82">
        <f t="shared" si="42"/>
        <v>50.173500000000004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46"/>
        <v>-146.2399999999999</v>
      </c>
      <c r="G61" s="378">
        <f t="shared" si="47"/>
        <v>2283.9899999999998</v>
      </c>
      <c r="H61" s="379">
        <f t="shared" si="48"/>
        <v>-6.402830134983073E-2</v>
      </c>
      <c r="I61" s="379"/>
      <c r="O61" s="82">
        <v>0.92</v>
      </c>
      <c r="P61" s="82">
        <f t="shared" si="42"/>
        <v>49.634000000000007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46"/>
        <v>-159.23999999999978</v>
      </c>
      <c r="G62" s="378">
        <f t="shared" si="47"/>
        <v>4352.74</v>
      </c>
      <c r="H62" s="379">
        <f t="shared" si="48"/>
        <v>-3.6583852929419118E-2</v>
      </c>
      <c r="I62" s="379"/>
      <c r="O62" s="82">
        <v>0.91</v>
      </c>
      <c r="P62" s="82">
        <f t="shared" si="42"/>
        <v>49.094500000000004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46"/>
        <v>-37.790000000000035</v>
      </c>
      <c r="G63" s="378">
        <f t="shared" si="47"/>
        <v>2188.04</v>
      </c>
      <c r="H63" s="379">
        <f t="shared" si="48"/>
        <v>-1.7271165060967823E-2</v>
      </c>
      <c r="I63" s="379"/>
      <c r="O63" s="82">
        <v>0.9</v>
      </c>
      <c r="P63" s="82">
        <f t="shared" si="42"/>
        <v>48.555000000000007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46"/>
        <v>-137.54000000000025</v>
      </c>
      <c r="G64" s="378">
        <f t="shared" si="47"/>
        <v>2188.04</v>
      </c>
      <c r="H64" s="379">
        <f t="shared" si="48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46"/>
        <v>-167.54249999999934</v>
      </c>
      <c r="G65" s="378">
        <f t="shared" si="47"/>
        <v>6112.0424999999996</v>
      </c>
      <c r="H65" s="379">
        <f t="shared" si="48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49">C66*(E66-D66)</f>
        <v>-58.042499999999819</v>
      </c>
      <c r="G66" s="378">
        <f t="shared" ref="G66:G78" si="50">D66*C66</f>
        <v>6112.0424999999996</v>
      </c>
      <c r="H66" s="379">
        <f t="shared" ref="H66:H78" si="51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49"/>
        <v>195.77249999999998</v>
      </c>
      <c r="G67" s="378">
        <f t="shared" si="50"/>
        <v>4432.4775</v>
      </c>
      <c r="H67" s="379">
        <f t="shared" si="51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49"/>
        <v>38.472500000000025</v>
      </c>
      <c r="G68" s="378">
        <f t="shared" si="50"/>
        <v>4432.4775</v>
      </c>
      <c r="H68" s="379">
        <f t="shared" si="51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49"/>
        <v>466.37249999999932</v>
      </c>
      <c r="G69" s="378">
        <f t="shared" si="50"/>
        <v>4432.4775</v>
      </c>
      <c r="H69" s="379">
        <f t="shared" si="51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49"/>
        <v>536.22249999999985</v>
      </c>
      <c r="G70" s="378">
        <f t="shared" si="50"/>
        <v>4432.4775</v>
      </c>
      <c r="H70" s="379">
        <f t="shared" si="51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49"/>
        <v>640.51000000000045</v>
      </c>
      <c r="G71" s="378">
        <f t="shared" si="50"/>
        <v>3972.49</v>
      </c>
      <c r="H71" s="379">
        <f t="shared" si="51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49"/>
        <v>547.01000000000022</v>
      </c>
      <c r="G72" s="378">
        <f t="shared" si="50"/>
        <v>3972.49</v>
      </c>
      <c r="H72" s="379">
        <f t="shared" si="51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49"/>
        <v>505.01000000000005</v>
      </c>
      <c r="G73" s="378">
        <f t="shared" si="50"/>
        <v>3972.49</v>
      </c>
      <c r="H73" s="379">
        <f t="shared" si="51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49"/>
        <v>400.50999999999988</v>
      </c>
      <c r="G74" s="378">
        <f t="shared" si="50"/>
        <v>3972.49</v>
      </c>
      <c r="H74" s="379">
        <f t="shared" si="51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49"/>
        <v>504.01000000000022</v>
      </c>
      <c r="G75" s="378">
        <f t="shared" si="50"/>
        <v>3972.49</v>
      </c>
      <c r="H75" s="379">
        <f t="shared" si="51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49"/>
        <v>470.51000000000016</v>
      </c>
      <c r="G76" s="378">
        <f t="shared" si="50"/>
        <v>3972.49</v>
      </c>
      <c r="H76" s="379">
        <f t="shared" si="51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49"/>
        <v>500.50999999999988</v>
      </c>
      <c r="G77" s="378">
        <f t="shared" si="50"/>
        <v>3972.49</v>
      </c>
      <c r="H77" s="379">
        <f t="shared" si="51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49"/>
        <v>413.46899999999977</v>
      </c>
      <c r="G78" s="378">
        <f t="shared" si="50"/>
        <v>2218.1310000000003</v>
      </c>
      <c r="H78" s="379">
        <f t="shared" si="51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113</v>
      </c>
      <c r="C81" s="510" t="s">
        <v>146</v>
      </c>
      <c r="D81" s="511" t="s">
        <v>145</v>
      </c>
      <c r="E81" s="512" t="s">
        <v>147</v>
      </c>
      <c r="F81" s="513" t="s">
        <v>65</v>
      </c>
      <c r="G81" s="514" t="s">
        <v>151</v>
      </c>
      <c r="H81" s="513" t="s">
        <v>88</v>
      </c>
      <c r="I81" s="513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52">C82*(E82-D82)</f>
        <v>42.500000000000071</v>
      </c>
      <c r="G82" s="378">
        <f t="shared" ref="G82:G98" si="53">D82*C82</f>
        <v>1973.75</v>
      </c>
      <c r="H82" s="379">
        <f t="shared" ref="H82:H98" si="54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52"/>
        <v>30.750000000000099</v>
      </c>
      <c r="G83" s="378">
        <f t="shared" si="53"/>
        <v>1973.75</v>
      </c>
      <c r="H83" s="379">
        <f t="shared" si="54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52"/>
        <v>75.750000000000028</v>
      </c>
      <c r="G84" s="378">
        <f t="shared" si="53"/>
        <v>1973.75</v>
      </c>
      <c r="H84" s="379">
        <f t="shared" si="54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52"/>
        <v>53.749999999999787</v>
      </c>
      <c r="G85" s="378">
        <f t="shared" si="53"/>
        <v>1973.75</v>
      </c>
      <c r="H85" s="379">
        <f t="shared" si="54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52"/>
        <v>88.250000000000028</v>
      </c>
      <c r="G86" s="378">
        <f t="shared" si="53"/>
        <v>1973.75</v>
      </c>
      <c r="H86" s="379">
        <f t="shared" si="54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52"/>
        <v>70.499999999999829</v>
      </c>
      <c r="G87" s="378">
        <f t="shared" si="53"/>
        <v>1973.75</v>
      </c>
      <c r="H87" s="379">
        <f t="shared" si="54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52"/>
        <v>-51.249999999999929</v>
      </c>
      <c r="G88" s="378">
        <f t="shared" si="53"/>
        <v>1973.75</v>
      </c>
      <c r="H88" s="379">
        <f t="shared" si="54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52"/>
        <v>-29.500000000000171</v>
      </c>
      <c r="G89" s="378">
        <f t="shared" si="53"/>
        <v>1973.75</v>
      </c>
      <c r="H89" s="379">
        <f t="shared" si="54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52"/>
        <v>-85.750000000000171</v>
      </c>
      <c r="G90" s="378">
        <f t="shared" si="53"/>
        <v>1973.75</v>
      </c>
      <c r="H90" s="379">
        <f t="shared" si="54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52"/>
        <v>-42.000000000000171</v>
      </c>
      <c r="G91" s="378">
        <f t="shared" si="53"/>
        <v>1973.75</v>
      </c>
      <c r="H91" s="379">
        <f t="shared" si="54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52"/>
        <v>0.49999999999990052</v>
      </c>
      <c r="G92" s="378">
        <f t="shared" si="53"/>
        <v>1973.75</v>
      </c>
      <c r="H92" s="379">
        <f t="shared" si="54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52"/>
        <v>-4.9500000000001876</v>
      </c>
      <c r="G93" s="378">
        <f t="shared" si="53"/>
        <v>4202</v>
      </c>
      <c r="H93" s="379">
        <f t="shared" si="54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52"/>
        <v>-102.99849999999971</v>
      </c>
      <c r="G94" s="378">
        <f t="shared" si="53"/>
        <v>4202.1484999999993</v>
      </c>
      <c r="H94" s="379">
        <f t="shared" si="54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52"/>
        <v>-37.548499999999834</v>
      </c>
      <c r="G95" s="378">
        <f t="shared" si="53"/>
        <v>4202.1484999999993</v>
      </c>
      <c r="H95" s="379">
        <f t="shared" si="54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52"/>
        <v>77.951499999999854</v>
      </c>
      <c r="G96" s="378">
        <f t="shared" si="53"/>
        <v>4202.1484999999993</v>
      </c>
      <c r="H96" s="379">
        <f t="shared" si="54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52"/>
        <v>214.71000000000032</v>
      </c>
      <c r="G97" s="378">
        <f t="shared" si="53"/>
        <v>2228.19</v>
      </c>
      <c r="H97" s="379">
        <f t="shared" si="54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52"/>
        <v>173.90999999999991</v>
      </c>
      <c r="G98" s="378">
        <f t="shared" si="53"/>
        <v>2228.19</v>
      </c>
      <c r="H98" s="379">
        <f t="shared" si="54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55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56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55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56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55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56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55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56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55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56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55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56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85" priority="35">
      <formula>N19&gt;0</formula>
    </cfRule>
    <cfRule type="expression" dxfId="128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83" priority="29">
      <formula>F61&gt;0</formula>
    </cfRule>
    <cfRule type="expression" dxfId="1282" priority="30">
      <formula>F61&lt;0</formula>
    </cfRule>
  </conditionalFormatting>
  <conditionalFormatting sqref="H61:H79 H83:H100">
    <cfRule type="expression" dxfId="1281" priority="27">
      <formula>H61&gt;0</formula>
    </cfRule>
    <cfRule type="expression" dxfId="1280" priority="28">
      <formula>H61&lt;0</formula>
    </cfRule>
  </conditionalFormatting>
  <conditionalFormatting sqref="I57:I79 I82:I100">
    <cfRule type="expression" dxfId="1279" priority="25">
      <formula>I57&gt;0</formula>
    </cfRule>
    <cfRule type="expression" dxfId="1278" priority="26">
      <formula>I57&lt;0</formula>
    </cfRule>
  </conditionalFormatting>
  <conditionalFormatting sqref="Q7">
    <cfRule type="expression" dxfId="1277" priority="23">
      <formula>Q7&gt;0</formula>
    </cfRule>
    <cfRule type="expression" dxfId="1276" priority="24">
      <formula>Q7&lt;0</formula>
    </cfRule>
  </conditionalFormatting>
  <conditionalFormatting sqref="Q8">
    <cfRule type="expression" dxfId="1275" priority="21">
      <formula>Q8&gt;0</formula>
    </cfRule>
    <cfRule type="expression" dxfId="1274" priority="22">
      <formula>Q8&lt;0</formula>
    </cfRule>
  </conditionalFormatting>
  <conditionalFormatting sqref="F57:F60">
    <cfRule type="expression" dxfId="1273" priority="19">
      <formula>F57&gt;0</formula>
    </cfRule>
    <cfRule type="expression" dxfId="1272" priority="20">
      <formula>F57&lt;0</formula>
    </cfRule>
  </conditionalFormatting>
  <conditionalFormatting sqref="H57:H60">
    <cfRule type="expression" dxfId="1271" priority="17">
      <formula>H57&gt;0</formula>
    </cfRule>
    <cfRule type="expression" dxfId="1270" priority="18">
      <formula>H57&lt;0</formula>
    </cfRule>
  </conditionalFormatting>
  <conditionalFormatting sqref="F82:F96">
    <cfRule type="expression" dxfId="1269" priority="11">
      <formula>F82&gt;0</formula>
    </cfRule>
    <cfRule type="expression" dxfId="1268" priority="12">
      <formula>F82&lt;0</formula>
    </cfRule>
  </conditionalFormatting>
  <conditionalFormatting sqref="H82:H96">
    <cfRule type="expression" dxfId="1267" priority="9">
      <formula>H82&gt;0</formula>
    </cfRule>
    <cfRule type="expression" dxfId="1266" priority="10">
      <formula>H82&lt;0</formula>
    </cfRule>
  </conditionalFormatting>
  <conditionalFormatting sqref="F25:F45">
    <cfRule type="expression" dxfId="1265" priority="7">
      <formula>F25&gt;0</formula>
    </cfRule>
    <cfRule type="expression" dxfId="1264" priority="8">
      <formula>F25&lt;0</formula>
    </cfRule>
  </conditionalFormatting>
  <conditionalFormatting sqref="H25:H45">
    <cfRule type="expression" dxfId="1263" priority="5">
      <formula>H25&gt;0</formula>
    </cfRule>
    <cfRule type="expression" dxfId="1262" priority="6">
      <formula>H25&lt;0</formula>
    </cfRule>
  </conditionalFormatting>
  <conditionalFormatting sqref="J34:J52">
    <cfRule type="expression" dxfId="1261" priority="3">
      <formula>J34&gt;0</formula>
    </cfRule>
    <cfRule type="expression" dxfId="1260" priority="4">
      <formula>J34&lt;0</formula>
    </cfRule>
  </conditionalFormatting>
  <conditionalFormatting sqref="J39">
    <cfRule type="expression" dxfId="1259" priority="1">
      <formula>J39&gt;0</formula>
    </cfRule>
    <cfRule type="expression" dxfId="1258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154.44999999999999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154.44999999999999</v>
      </c>
      <c r="R4" s="516">
        <v>3.3999999999999998E-3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697" t="s">
        <v>78</v>
      </c>
      <c r="P42" s="697"/>
      <c r="T42" s="107" t="s">
        <v>99</v>
      </c>
      <c r="U42" s="364" t="s">
        <v>626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169.89500000000001</v>
      </c>
      <c r="Q43" s="2"/>
      <c r="T43" s="107" t="s">
        <v>100</v>
      </c>
      <c r="U43" s="364" t="s">
        <v>627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168.35050000000001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166.80600000000001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165.26149999999998</v>
      </c>
      <c r="Q46" s="2"/>
      <c r="T46" s="107" t="s">
        <v>121</v>
      </c>
      <c r="U46" s="364" t="s">
        <v>410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163.71699999999998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162.17249999999999</v>
      </c>
      <c r="Q48" s="2"/>
      <c r="T48" s="107" t="s">
        <v>104</v>
      </c>
      <c r="U48" s="364" t="s">
        <v>628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160.62799999999999</v>
      </c>
      <c r="Q49" s="2"/>
      <c r="T49" s="107" t="s">
        <v>105</v>
      </c>
      <c r="U49" s="364" t="s">
        <v>629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159.08349999999999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157.53899999999999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155.99449999999999</v>
      </c>
      <c r="Q52" s="2"/>
      <c r="T52" s="107" t="s">
        <v>107</v>
      </c>
      <c r="U52" s="364" t="s">
        <v>630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154.44999999999999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152.90549999999999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151.36099999999999</v>
      </c>
      <c r="Q55" s="2"/>
      <c r="T55" s="107" t="s">
        <v>108</v>
      </c>
      <c r="U55" s="364" t="s">
        <v>575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149.81649999999999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148.27199999999999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146.72749999999999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145.18299999999999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143.63849999999999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142.09399999999999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140.54949999999999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139.005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57" priority="35">
      <formula>N19&gt;0</formula>
    </cfRule>
    <cfRule type="expression" dxfId="125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55" priority="21">
      <formula>F25&gt;0</formula>
    </cfRule>
    <cfRule type="expression" dxfId="1254" priority="22">
      <formula>F25&lt;0</formula>
    </cfRule>
  </conditionalFormatting>
  <conditionalFormatting sqref="H25:H47">
    <cfRule type="expression" dxfId="1253" priority="19">
      <formula>H25&gt;0</formula>
    </cfRule>
    <cfRule type="expression" dxfId="1252" priority="20">
      <formula>H25&lt;0</formula>
    </cfRule>
  </conditionalFormatting>
  <conditionalFormatting sqref="I25:I27">
    <cfRule type="expression" dxfId="1251" priority="15">
      <formula>I25&gt;0</formula>
    </cfRule>
    <cfRule type="expression" dxfId="1250" priority="16">
      <formula>I25&lt;0</formula>
    </cfRule>
  </conditionalFormatting>
  <conditionalFormatting sqref="Q7">
    <cfRule type="expression" dxfId="1249" priority="5">
      <formula>Q7&gt;0</formula>
    </cfRule>
    <cfRule type="expression" dxfId="1248" priority="6">
      <formula>Q7&lt;0</formula>
    </cfRule>
  </conditionalFormatting>
  <conditionalFormatting sqref="Q8">
    <cfRule type="expression" dxfId="1247" priority="3">
      <formula>Q8&gt;0</formula>
    </cfRule>
    <cfRule type="expression" dxfId="124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78.849999999999994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78.849999999999994</v>
      </c>
      <c r="R4" s="498">
        <v>-1.5E-3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86.734999999999999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85.9465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85.158000000000001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84.369500000000002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83.581000000000003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82.792500000000004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82.003999999999991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81.215499999999992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80.426999999999992</v>
      </c>
      <c r="Q49" s="2"/>
      <c r="T49" s="92" t="s">
        <v>103</v>
      </c>
      <c r="U49" s="129" t="s">
        <v>555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79.638499999999993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78.849999999999994</v>
      </c>
      <c r="Q51" s="2"/>
      <c r="T51" s="92" t="s">
        <v>104</v>
      </c>
      <c r="U51" s="129" t="s">
        <v>631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78.061499999999995</v>
      </c>
      <c r="Q52" s="2"/>
      <c r="T52" s="92" t="s">
        <v>105</v>
      </c>
      <c r="U52" s="129" t="s">
        <v>499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77.272999999999996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76.484499999999997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75.695999999999998</v>
      </c>
      <c r="T55" s="92" t="s">
        <v>107</v>
      </c>
      <c r="U55" s="129" t="s">
        <v>632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74.907499999999985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74.118999999999986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73.330500000000001</v>
      </c>
      <c r="T58" s="92" t="s">
        <v>108</v>
      </c>
      <c r="U58" s="129" t="s">
        <v>584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72.542000000000002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71.753500000000003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70.965000000000003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45" priority="9">
      <formula>F36&gt;0</formula>
    </cfRule>
    <cfRule type="expression" dxfId="1244" priority="10">
      <formula>F36&lt;0</formula>
    </cfRule>
  </conditionalFormatting>
  <conditionalFormatting sqref="F25:F35">
    <cfRule type="expression" dxfId="1243" priority="7">
      <formula>F25&gt;0</formula>
    </cfRule>
    <cfRule type="expression" dxfId="1242" priority="8">
      <formula>F25&lt;0</formula>
    </cfRule>
  </conditionalFormatting>
  <conditionalFormatting sqref="H25:H35">
    <cfRule type="expression" dxfId="1241" priority="5">
      <formula>H25&gt;0</formula>
    </cfRule>
    <cfRule type="expression" dxfId="1240" priority="6">
      <formula>H25&lt;0</formula>
    </cfRule>
  </conditionalFormatting>
  <conditionalFormatting sqref="Q7">
    <cfRule type="expression" dxfId="1239" priority="3">
      <formula>Q7&gt;0</formula>
    </cfRule>
    <cfRule type="expression" dxfId="1238" priority="4">
      <formula>Q7&lt;0</formula>
    </cfRule>
  </conditionalFormatting>
  <conditionalFormatting sqref="Q8">
    <cfRule type="expression" dxfId="1237" priority="1">
      <formula>Q8&gt;0</formula>
    </cfRule>
    <cfRule type="expression" dxfId="123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53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3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4"/>
      <c r="M3" s="4"/>
      <c r="O3" s="11" t="s">
        <v>58</v>
      </c>
      <c r="Q3" s="228">
        <f>IF(Q2=0, Q4, (F18-K18-M18)/Q2)</f>
        <v>69.666600000000003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497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75.34</v>
      </c>
      <c r="R4" s="521">
        <v>-3.7900000000000003E-2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497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7534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6966.66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725.63999999999942</v>
      </c>
      <c r="R7" s="30">
        <v>42902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567.34000000000015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8.1436441565972809E-2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14216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7168</v>
      </c>
      <c r="G19" s="354"/>
      <c r="H19" s="354">
        <f>SumByColor($A$19,H2:H17)</f>
        <v>100</v>
      </c>
      <c r="I19" s="354"/>
      <c r="J19" s="354"/>
      <c r="K19" s="355">
        <f>SumByColor($A$19,K3:K17)</f>
        <v>3592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751</v>
      </c>
      <c r="L24" s="227" t="s">
        <v>758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4" si="11">C28*(E28-D28)</f>
        <v>-167.00000000000017</v>
      </c>
      <c r="G28" s="40">
        <f t="shared" ref="G28:G34" si="12">D28*C28</f>
        <v>7168.0000000000009</v>
      </c>
      <c r="H28" s="229">
        <f t="shared" ref="H28:H34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60">
        <f t="shared" ref="L28:L32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A32">
        <v>50</v>
      </c>
      <c r="B32" s="191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9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60">
        <f t="shared" si="15"/>
        <v>3.3287285029602529E-2</v>
      </c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>
        <v>42902</v>
      </c>
      <c r="B33" s="191">
        <v>42874</v>
      </c>
      <c r="C33" s="10">
        <v>50</v>
      </c>
      <c r="D33" s="40">
        <v>69.253200000000007</v>
      </c>
      <c r="E33" s="40">
        <v>71.95</v>
      </c>
      <c r="F33" s="40">
        <f t="shared" si="11"/>
        <v>134.8399999999998</v>
      </c>
      <c r="G33" s="40">
        <f t="shared" si="12"/>
        <v>3462.6600000000003</v>
      </c>
      <c r="H33" s="229">
        <f t="shared" si="13"/>
        <v>3.8941160841665018E-2</v>
      </c>
      <c r="I33" s="40"/>
      <c r="J33" s="40">
        <v>198.22</v>
      </c>
      <c r="K33" s="40">
        <f t="shared" ref="K33:K34" si="16">(G33-J33)/C33</f>
        <v>65.288800000000009</v>
      </c>
      <c r="L33" s="160">
        <f t="shared" ref="L33:L34" si="17">(E33-K33)/E33</f>
        <v>9.2580958999304977E-2</v>
      </c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>
        <v>42887</v>
      </c>
      <c r="C34" s="10">
        <v>100</v>
      </c>
      <c r="D34" s="40">
        <v>69.666600000000003</v>
      </c>
      <c r="E34" s="40">
        <v>78.19</v>
      </c>
      <c r="F34" s="40">
        <f t="shared" si="11"/>
        <v>852.33999999999946</v>
      </c>
      <c r="G34" s="40">
        <f t="shared" si="12"/>
        <v>6966.66</v>
      </c>
      <c r="H34" s="229">
        <f t="shared" si="13"/>
        <v>0.12234557162255651</v>
      </c>
      <c r="I34" s="40"/>
      <c r="J34" s="40">
        <v>1010.64</v>
      </c>
      <c r="K34" s="40">
        <f t="shared" si="16"/>
        <v>59.560199999999995</v>
      </c>
      <c r="L34" s="160">
        <f t="shared" si="17"/>
        <v>0.23826320501342887</v>
      </c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697" t="s">
        <v>78</v>
      </c>
      <c r="P40" s="697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82.874000000000009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8">O42*$Q$4</f>
        <v>82.12060000000001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8"/>
        <v>81.367200000000011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8"/>
        <v>80.613800000000012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8"/>
        <v>79.860400000000013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8"/>
        <v>79.107000000000014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8"/>
        <v>78.3536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8"/>
        <v>77.600200000000001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8"/>
        <v>76.846800000000002</v>
      </c>
      <c r="Q49" s="2"/>
      <c r="T49" s="92" t="s">
        <v>121</v>
      </c>
      <c r="U49" s="129" t="s">
        <v>546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8"/>
        <v>76.093400000000003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8"/>
        <v>75.34</v>
      </c>
      <c r="Q51" s="2"/>
      <c r="T51" s="92" t="s">
        <v>104</v>
      </c>
      <c r="U51" s="129" t="s">
        <v>633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8"/>
        <v>74.586600000000004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8"/>
        <v>73.833200000000005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8"/>
        <v>73.079800000000006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8"/>
        <v>72.326400000000007</v>
      </c>
      <c r="T55" s="92" t="s">
        <v>107</v>
      </c>
      <c r="U55" s="129" t="s">
        <v>634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8"/>
        <v>71.572999999999993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8"/>
        <v>70.819599999999994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8"/>
        <v>70.066200000000009</v>
      </c>
      <c r="T58" s="92" t="s">
        <v>108</v>
      </c>
      <c r="U58" s="129" t="s">
        <v>585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8"/>
        <v>69.31280000000001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8"/>
        <v>68.559400000000011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8"/>
        <v>67.806000000000012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274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9">C89*(E89-D89)</f>
        <v>-1.5999999999999659</v>
      </c>
      <c r="G89" s="40">
        <f t="shared" ref="G89:G100" si="20">D89*C89</f>
        <v>1441.6</v>
      </c>
      <c r="H89" s="229">
        <f t="shared" ref="H89:H100" si="21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9"/>
        <v>-6.5999999999999659</v>
      </c>
      <c r="G90" s="40">
        <f t="shared" si="20"/>
        <v>1441.6</v>
      </c>
      <c r="H90" s="229">
        <f t="shared" si="21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9"/>
        <v>-23.799999999999955</v>
      </c>
      <c r="G91" s="40">
        <f t="shared" si="20"/>
        <v>2850.6</v>
      </c>
      <c r="H91" s="229">
        <f t="shared" si="21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9"/>
        <v>9.8000000000001819</v>
      </c>
      <c r="G92" s="40">
        <f t="shared" si="20"/>
        <v>2850.6</v>
      </c>
      <c r="H92" s="229">
        <f t="shared" si="21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9"/>
        <v>50.600000000000023</v>
      </c>
      <c r="G93" s="40">
        <f t="shared" si="20"/>
        <v>2850.6</v>
      </c>
      <c r="H93" s="229">
        <f t="shared" si="21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9"/>
        <v>-30.600000000000023</v>
      </c>
      <c r="G94" s="40">
        <f t="shared" si="20"/>
        <v>2850.6</v>
      </c>
      <c r="H94" s="229">
        <f t="shared" si="21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9"/>
        <v>-128.60000000000014</v>
      </c>
      <c r="G95" s="40">
        <f t="shared" si="20"/>
        <v>2850.6</v>
      </c>
      <c r="H95" s="229">
        <f t="shared" si="21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9"/>
        <v>-184.54800000000034</v>
      </c>
      <c r="G96" s="40">
        <f t="shared" si="20"/>
        <v>4537.598</v>
      </c>
      <c r="H96" s="229">
        <f t="shared" si="21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9"/>
        <v>-49.348000000000454</v>
      </c>
      <c r="G97" s="40">
        <f t="shared" si="20"/>
        <v>4537.598</v>
      </c>
      <c r="H97" s="229">
        <f t="shared" si="21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9"/>
        <v>-9.6980000000004907</v>
      </c>
      <c r="G98" s="40">
        <f t="shared" si="20"/>
        <v>4537.598</v>
      </c>
      <c r="H98" s="229">
        <f t="shared" si="21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9"/>
        <v>-46.748000000000047</v>
      </c>
      <c r="G99" s="40">
        <f t="shared" si="20"/>
        <v>4537.598</v>
      </c>
      <c r="H99" s="229">
        <f t="shared" si="21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9"/>
        <v>-13.598000000000638</v>
      </c>
      <c r="G100" s="40">
        <f t="shared" si="20"/>
        <v>4537.598</v>
      </c>
      <c r="H100" s="229">
        <f t="shared" si="21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35" priority="21">
      <formula>F47&gt;0</formula>
    </cfRule>
    <cfRule type="expression" dxfId="1234" priority="22">
      <formula>F47&lt;0</formula>
    </cfRule>
  </conditionalFormatting>
  <conditionalFormatting sqref="Q7">
    <cfRule type="expression" dxfId="1233" priority="19">
      <formula>Q7&gt;0</formula>
    </cfRule>
    <cfRule type="expression" dxfId="1232" priority="20">
      <formula>Q7&lt;0</formula>
    </cfRule>
  </conditionalFormatting>
  <conditionalFormatting sqref="Q8">
    <cfRule type="expression" dxfId="1231" priority="17">
      <formula>Q8&gt;0</formula>
    </cfRule>
    <cfRule type="expression" dxfId="1230" priority="18">
      <formula>Q8&lt;0</formula>
    </cfRule>
  </conditionalFormatting>
  <conditionalFormatting sqref="F25:F46">
    <cfRule type="expression" dxfId="1229" priority="15">
      <formula>F25&gt;0</formula>
    </cfRule>
    <cfRule type="expression" dxfId="1228" priority="16">
      <formula>F25&lt;0</formula>
    </cfRule>
  </conditionalFormatting>
  <conditionalFormatting sqref="H25:H46">
    <cfRule type="expression" dxfId="1227" priority="13">
      <formula>H25&gt;0</formula>
    </cfRule>
    <cfRule type="expression" dxfId="1226" priority="14">
      <formula>H25&lt;0</formula>
    </cfRule>
  </conditionalFormatting>
  <conditionalFormatting sqref="F89:F110">
    <cfRule type="expression" dxfId="1225" priority="11">
      <formula>F89&gt;0</formula>
    </cfRule>
    <cfRule type="expression" dxfId="1224" priority="12">
      <formula>F89&lt;0</formula>
    </cfRule>
  </conditionalFormatting>
  <conditionalFormatting sqref="H89:H110">
    <cfRule type="expression" dxfId="1223" priority="9">
      <formula>H89&gt;0</formula>
    </cfRule>
    <cfRule type="expression" dxfId="1222" priority="10">
      <formula>H89&lt;0</formula>
    </cfRule>
  </conditionalFormatting>
  <conditionalFormatting sqref="Q10">
    <cfRule type="expression" dxfId="1221" priority="7">
      <formula>Q10&gt;0</formula>
    </cfRule>
    <cfRule type="expression" dxfId="1220" priority="8">
      <formula>Q10&lt;0</formula>
    </cfRule>
  </conditionalFormatting>
  <conditionalFormatting sqref="J25:J38">
    <cfRule type="expression" dxfId="1219" priority="5">
      <formula>J25&gt;0</formula>
    </cfRule>
    <cfRule type="expression" dxfId="1218" priority="6">
      <formula>J25&lt;0</formula>
    </cfRule>
  </conditionalFormatting>
  <conditionalFormatting sqref="K25:K38">
    <cfRule type="expression" dxfId="1217" priority="3">
      <formula>K25&gt;0</formula>
    </cfRule>
    <cfRule type="expression" dxfId="1216" priority="4">
      <formula>K25&lt;0</formula>
    </cfRule>
  </conditionalFormatting>
  <conditionalFormatting sqref="L25:L38">
    <cfRule type="expression" dxfId="1215" priority="1">
      <formula>L25&gt;0</formula>
    </cfRule>
    <cfRule type="expression" dxfId="121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35.28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35.28</v>
      </c>
      <c r="R4" s="498">
        <v>-2.5000000000000001E-3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697" t="s">
        <v>78</v>
      </c>
      <c r="Q39" s="697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38.808000000000007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38.455200000000005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38.102400000000003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37.749600000000001</v>
      </c>
      <c r="R43" s="82"/>
      <c r="T43" s="86" t="s">
        <v>100</v>
      </c>
      <c r="U43" s="129" t="s">
        <v>570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37.396800000000006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37.044000000000004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36.691200000000002</v>
      </c>
      <c r="R46" s="82"/>
      <c r="T46" s="86" t="s">
        <v>121</v>
      </c>
      <c r="U46" s="230" t="s">
        <v>446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36.3384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35.985600000000005</v>
      </c>
      <c r="R48" s="82"/>
      <c r="T48" s="86" t="s">
        <v>104</v>
      </c>
      <c r="U48" s="129" t="s">
        <v>635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35.632800000000003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35.28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34.927199999999999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34.574399999999997</v>
      </c>
      <c r="R52" s="82"/>
      <c r="T52" s="86" t="s">
        <v>107</v>
      </c>
      <c r="U52" s="129" t="s">
        <v>636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34.221600000000002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33.8688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33.515999999999998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33.163199999999996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32.810400000000001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32.457599999999999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32.104800000000004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31.752000000000002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213" priority="31">
      <formula>F29&gt;0</formula>
    </cfRule>
    <cfRule type="expression" dxfId="1212" priority="32">
      <formula>F29&lt;0</formula>
    </cfRule>
  </conditionalFormatting>
  <conditionalFormatting sqref="F29 F31:F35">
    <cfRule type="expression" dxfId="1211" priority="33">
      <formula>F29&gt;0</formula>
    </cfRule>
    <cfRule type="expression" dxfId="1210" priority="34">
      <formula>F29&lt;0</formula>
    </cfRule>
  </conditionalFormatting>
  <conditionalFormatting sqref="H29 H31:H35">
    <cfRule type="expression" dxfId="1209" priority="29">
      <formula>H29&gt;0</formula>
    </cfRule>
    <cfRule type="expression" dxfId="1208" priority="30">
      <formula>H29&lt;0</formula>
    </cfRule>
  </conditionalFormatting>
  <conditionalFormatting sqref="F21:F28">
    <cfRule type="expression" dxfId="1207" priority="27">
      <formula>F21&gt;0</formula>
    </cfRule>
    <cfRule type="expression" dxfId="1206" priority="28">
      <formula>F21&lt;0</formula>
    </cfRule>
  </conditionalFormatting>
  <conditionalFormatting sqref="H21:H28">
    <cfRule type="expression" dxfId="1205" priority="25">
      <formula>H21&gt;0</formula>
    </cfRule>
    <cfRule type="expression" dxfId="1204" priority="26">
      <formula>H21&lt;0</formula>
    </cfRule>
  </conditionalFormatting>
  <conditionalFormatting sqref="Q8">
    <cfRule type="expression" dxfId="1203" priority="21">
      <formula>Q8&gt;0</formula>
    </cfRule>
    <cfRule type="expression" dxfId="1202" priority="22">
      <formula>Q8&lt;0</formula>
    </cfRule>
  </conditionalFormatting>
  <conditionalFormatting sqref="Q7">
    <cfRule type="expression" dxfId="1201" priority="23">
      <formula>Q7&gt;0</formula>
    </cfRule>
    <cfRule type="expression" dxfId="1200" priority="24">
      <formula>Q7&lt;0</formula>
    </cfRule>
  </conditionalFormatting>
  <conditionalFormatting sqref="F30">
    <cfRule type="expression" dxfId="1199" priority="19">
      <formula>F30&gt;0</formula>
    </cfRule>
    <cfRule type="expression" dxfId="1198" priority="20">
      <formula>F30&lt;0</formula>
    </cfRule>
  </conditionalFormatting>
  <conditionalFormatting sqref="H30">
    <cfRule type="expression" dxfId="1197" priority="17">
      <formula>H30&gt;0</formula>
    </cfRule>
    <cfRule type="expression" dxfId="1196" priority="18">
      <formula>H30&lt;0</formula>
    </cfRule>
  </conditionalFormatting>
  <conditionalFormatting sqref="F68 F70:F74">
    <cfRule type="expression" dxfId="1195" priority="13">
      <formula>F68&gt;0</formula>
    </cfRule>
    <cfRule type="expression" dxfId="1194" priority="14">
      <formula>F68&lt;0</formula>
    </cfRule>
  </conditionalFormatting>
  <conditionalFormatting sqref="F68 F70:F74">
    <cfRule type="expression" dxfId="1193" priority="15">
      <formula>F68&gt;0</formula>
    </cfRule>
    <cfRule type="expression" dxfId="1192" priority="16">
      <formula>F68&lt;0</formula>
    </cfRule>
  </conditionalFormatting>
  <conditionalFormatting sqref="H68 H70:H74">
    <cfRule type="expression" dxfId="1191" priority="11">
      <formula>H68&gt;0</formula>
    </cfRule>
    <cfRule type="expression" dxfId="1190" priority="12">
      <formula>H68&lt;0</formula>
    </cfRule>
  </conditionalFormatting>
  <conditionalFormatting sqref="F60:F67">
    <cfRule type="expression" dxfId="1189" priority="9">
      <formula>F60&gt;0</formula>
    </cfRule>
    <cfRule type="expression" dxfId="1188" priority="10">
      <formula>F60&lt;0</formula>
    </cfRule>
  </conditionalFormatting>
  <conditionalFormatting sqref="H60:H67">
    <cfRule type="expression" dxfId="1187" priority="7">
      <formula>H60&gt;0</formula>
    </cfRule>
    <cfRule type="expression" dxfId="1186" priority="8">
      <formula>H60&lt;0</formula>
    </cfRule>
  </conditionalFormatting>
  <conditionalFormatting sqref="F69">
    <cfRule type="expression" dxfId="1185" priority="5">
      <formula>F69&gt;0</formula>
    </cfRule>
    <cfRule type="expression" dxfId="1184" priority="6">
      <formula>F69&lt;0</formula>
    </cfRule>
  </conditionalFormatting>
  <conditionalFormatting sqref="H69">
    <cfRule type="expression" dxfId="1183" priority="3">
      <formula>H69&gt;0</formula>
    </cfRule>
    <cfRule type="expression" dxfId="1182" priority="4">
      <formula>H69&lt;0</formula>
    </cfRule>
  </conditionalFormatting>
  <conditionalFormatting sqref="Q10">
    <cfRule type="expression" dxfId="1181" priority="1">
      <formula>Q10&gt;0</formula>
    </cfRule>
    <cfRule type="expression" dxfId="118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27.53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27.53</v>
      </c>
      <c r="R4" s="498">
        <v>-7.6E-3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697" t="s">
        <v>78</v>
      </c>
      <c r="P40" s="697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30.283000000000005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30.007700000000003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29.732400000000002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29.457100000000004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29.181800000000003</v>
      </c>
      <c r="Q45" s="2"/>
      <c r="T45" s="92" t="s">
        <v>99</v>
      </c>
      <c r="U45" s="129" t="s">
        <v>637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28.906500000000001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28.631200000000003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28.355900000000002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28.0806</v>
      </c>
      <c r="Q49" s="2"/>
      <c r="T49" s="92" t="s">
        <v>121</v>
      </c>
      <c r="U49" s="129" t="s">
        <v>447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27.805300000000003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27.53</v>
      </c>
      <c r="Q51" s="2"/>
      <c r="T51" s="92" t="s">
        <v>104</v>
      </c>
      <c r="U51" s="129" t="s">
        <v>638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27.2547</v>
      </c>
      <c r="Q52" s="2"/>
      <c r="T52" s="92" t="s">
        <v>105</v>
      </c>
      <c r="U52" s="129" t="s">
        <v>576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26.979400000000002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26.7041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26.428799999999999</v>
      </c>
      <c r="T55" s="92" t="s">
        <v>107</v>
      </c>
      <c r="U55" s="129" t="s">
        <v>639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26.153500000000001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25.8782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25.602900000000002</v>
      </c>
      <c r="T58" s="92" t="s">
        <v>108</v>
      </c>
      <c r="U58" s="129" t="s">
        <v>577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25.327600000000004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25.052300000000002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24.777000000000001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79" priority="11">
      <formula>F33&gt;0</formula>
    </cfRule>
    <cfRule type="expression" dxfId="1178" priority="12">
      <formula>F33&lt;0</formula>
    </cfRule>
  </conditionalFormatting>
  <conditionalFormatting sqref="Q7">
    <cfRule type="expression" dxfId="1177" priority="9">
      <formula>Q7&gt;0</formula>
    </cfRule>
    <cfRule type="expression" dxfId="1176" priority="10">
      <formula>Q7&lt;0</formula>
    </cfRule>
  </conditionalFormatting>
  <conditionalFormatting sqref="Q8">
    <cfRule type="expression" dxfId="1175" priority="7">
      <formula>Q8&gt;0</formula>
    </cfRule>
    <cfRule type="expression" dxfId="1174" priority="8">
      <formula>Q8&lt;0</formula>
    </cfRule>
  </conditionalFormatting>
  <conditionalFormatting sqref="F25:F32">
    <cfRule type="expression" dxfId="1173" priority="5">
      <formula>F25&gt;0</formula>
    </cfRule>
    <cfRule type="expression" dxfId="1172" priority="6">
      <formula>F25&lt;0</formula>
    </cfRule>
  </conditionalFormatting>
  <conditionalFormatting sqref="H25:H32">
    <cfRule type="expression" dxfId="1171" priority="3">
      <formula>H25&gt;0</formula>
    </cfRule>
    <cfRule type="expression" dxfId="1170" priority="4">
      <formula>H25&lt;0</formula>
    </cfRule>
  </conditionalFormatting>
  <conditionalFormatting sqref="Q10">
    <cfRule type="expression" dxfId="1169" priority="1">
      <formula>Q10&gt;0</formula>
    </cfRule>
    <cfRule type="expression" dxfId="116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480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23.824999999999999</v>
      </c>
      <c r="T3" s="597" t="s">
        <v>509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23.824999999999999</v>
      </c>
      <c r="R4" s="498">
        <v>5.2700000000000004E-3</v>
      </c>
      <c r="T4" s="161" t="s">
        <v>510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511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751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697" t="s">
        <v>78</v>
      </c>
      <c r="P40" s="697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26.2075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25.969250000000002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25.731000000000002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25.492750000000001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25.2545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25.016249999999999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24.777999999999999</v>
      </c>
      <c r="Q47" s="2"/>
      <c r="S47" t="s">
        <v>518</v>
      </c>
      <c r="T47" s="597" t="s">
        <v>509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24.539750000000002</v>
      </c>
      <c r="Q48" s="2"/>
      <c r="S48" t="s">
        <v>522</v>
      </c>
      <c r="T48" s="23" t="s">
        <v>521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24.301500000000001</v>
      </c>
      <c r="Q49" s="2"/>
      <c r="S49" t="s">
        <v>523</v>
      </c>
      <c r="T49" s="23" t="s">
        <v>524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24.06325</v>
      </c>
      <c r="Q50" s="2"/>
      <c r="S50" t="s">
        <v>525</v>
      </c>
      <c r="T50" s="23" t="s">
        <v>526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23.824999999999999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23.586749999999999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23.348499999999998</v>
      </c>
      <c r="Q53" s="2"/>
      <c r="S53" t="s">
        <v>529</v>
      </c>
      <c r="T53" s="23" t="s">
        <v>519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23.110249999999997</v>
      </c>
      <c r="S54" t="s">
        <v>528</v>
      </c>
      <c r="T54" s="23" t="s">
        <v>520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22.872</v>
      </c>
      <c r="S55" t="s">
        <v>527</v>
      </c>
      <c r="T55" s="23" t="s">
        <v>530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22.633749999999999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22.395499999999998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22.157250000000001</v>
      </c>
      <c r="X58" s="136"/>
    </row>
    <row r="59" spans="1:24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0"/>
        <v>21.919</v>
      </c>
      <c r="X59" s="136"/>
    </row>
    <row r="60" spans="1:24" x14ac:dyDescent="0.25">
      <c r="A60" s="540" t="s">
        <v>292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0"/>
        <v>21.68075</v>
      </c>
      <c r="X60" s="136"/>
    </row>
    <row r="61" spans="1:24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0"/>
        <v>21.442499999999999</v>
      </c>
      <c r="X61" s="136"/>
    </row>
    <row r="62" spans="1:24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X62" s="136"/>
    </row>
    <row r="63" spans="1:24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X63" s="136"/>
    </row>
    <row r="64" spans="1:24" x14ac:dyDescent="0.25">
      <c r="A64" s="523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3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3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3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3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3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3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3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3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3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3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3"/>
      <c r="H75" s="71"/>
    </row>
    <row r="76" spans="1:24" x14ac:dyDescent="0.25">
      <c r="A76" s="543" t="s">
        <v>81</v>
      </c>
      <c r="B76" s="544"/>
      <c r="C76" s="544">
        <f>SUM(C60:C75)</f>
        <v>1400</v>
      </c>
      <c r="D76" s="545"/>
      <c r="E76" s="545"/>
      <c r="F76" s="545">
        <f>SUM(F60:F75)</f>
        <v>29502.2</v>
      </c>
      <c r="G76" s="544"/>
      <c r="H76" s="567">
        <f>SUM(H60:H75)</f>
        <v>1400</v>
      </c>
      <c r="I76" s="545"/>
      <c r="J76" s="545"/>
      <c r="K76" s="545">
        <f>SUM(K60:K75)</f>
        <v>30785.619999999995</v>
      </c>
      <c r="L76" s="544"/>
      <c r="M76" s="545">
        <f>SUM(M60:M68)</f>
        <v>0</v>
      </c>
    </row>
    <row r="77" spans="1:24" ht="15.75" thickBot="1" x14ac:dyDescent="0.3">
      <c r="A77" s="546" t="s">
        <v>196</v>
      </c>
      <c r="B77" s="547"/>
      <c r="C77" s="548">
        <f>SumByColor($A$19,C60:C75)</f>
        <v>1200</v>
      </c>
      <c r="D77" s="548"/>
      <c r="E77" s="548"/>
      <c r="F77" s="549">
        <f>SumByColor($A$19,F60:F75)</f>
        <v>24399</v>
      </c>
      <c r="G77" s="548"/>
      <c r="H77" s="548">
        <f>SumByColor($A$19,H60:H75)</f>
        <v>1200</v>
      </c>
      <c r="I77" s="548"/>
      <c r="J77" s="548"/>
      <c r="K77" s="549">
        <f>SumByColor($A$19,K60:K75)</f>
        <v>25337</v>
      </c>
      <c r="L77" s="548"/>
      <c r="M77" s="549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751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1">
        <v>600</v>
      </c>
      <c r="D103" s="609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389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400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409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431</v>
      </c>
      <c r="B108" s="191">
        <v>42773</v>
      </c>
      <c r="C108" s="581">
        <v>600</v>
      </c>
      <c r="D108" s="609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460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67" priority="57">
      <formula>F31&gt;0</formula>
    </cfRule>
    <cfRule type="expression" dxfId="1166" priority="58">
      <formula>F31&lt;0</formula>
    </cfRule>
  </conditionalFormatting>
  <conditionalFormatting sqref="Q7">
    <cfRule type="expression" dxfId="1165" priority="55">
      <formula>Q7&gt;0</formula>
    </cfRule>
    <cfRule type="expression" dxfId="1164" priority="56">
      <formula>Q7&lt;0</formula>
    </cfRule>
  </conditionalFormatting>
  <conditionalFormatting sqref="Q8">
    <cfRule type="expression" dxfId="1163" priority="53">
      <formula>Q8&gt;0</formula>
    </cfRule>
    <cfRule type="expression" dxfId="1162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61" priority="45">
      <formula>M58&gt;0</formula>
    </cfRule>
    <cfRule type="expression" dxfId="1160" priority="46">
      <formula>M58&lt;0</formula>
    </cfRule>
  </conditionalFormatting>
  <conditionalFormatting sqref="Q10">
    <cfRule type="expression" dxfId="1159" priority="43">
      <formula>Q10&gt;0</formula>
    </cfRule>
    <cfRule type="expression" dxfId="1158" priority="44">
      <formula>Q10&lt;0</formula>
    </cfRule>
  </conditionalFormatting>
  <conditionalFormatting sqref="F25:F30">
    <cfRule type="expression" dxfId="1157" priority="41">
      <formula>F25&gt;0</formula>
    </cfRule>
    <cfRule type="expression" dxfId="1156" priority="42">
      <formula>F25&lt;0</formula>
    </cfRule>
  </conditionalFormatting>
  <conditionalFormatting sqref="H25:H30">
    <cfRule type="expression" dxfId="1155" priority="39">
      <formula>H25&gt;0</formula>
    </cfRule>
    <cfRule type="expression" dxfId="1154" priority="40">
      <formula>H25&lt;0</formula>
    </cfRule>
  </conditionalFormatting>
  <conditionalFormatting sqref="F83:F94">
    <cfRule type="expression" dxfId="1153" priority="37">
      <formula>F83&gt;0</formula>
    </cfRule>
    <cfRule type="expression" dxfId="1152" priority="38">
      <formula>F83&lt;0</formula>
    </cfRule>
  </conditionalFormatting>
  <conditionalFormatting sqref="H83:H94">
    <cfRule type="expression" dxfId="1151" priority="35">
      <formula>H83&gt;0</formula>
    </cfRule>
    <cfRule type="expression" dxfId="1150" priority="36">
      <formula>H83&lt;0</formula>
    </cfRule>
  </conditionalFormatting>
  <conditionalFormatting sqref="J41">
    <cfRule type="expression" dxfId="1149" priority="33">
      <formula>J41&gt;0</formula>
    </cfRule>
    <cfRule type="expression" dxfId="1148" priority="34">
      <formula>J41&lt;0</formula>
    </cfRule>
  </conditionalFormatting>
  <conditionalFormatting sqref="J39:J47 J49">
    <cfRule type="expression" dxfId="1147" priority="31">
      <formula>J39&gt;0</formula>
    </cfRule>
    <cfRule type="expression" dxfId="1146" priority="32">
      <formula>J39&lt;0</formula>
    </cfRule>
  </conditionalFormatting>
  <conditionalFormatting sqref="F48 H48">
    <cfRule type="expression" dxfId="1145" priority="29">
      <formula>F48&gt;0</formula>
    </cfRule>
    <cfRule type="expression" dxfId="1144" priority="30">
      <formula>F48&lt;0</formula>
    </cfRule>
  </conditionalFormatting>
  <conditionalFormatting sqref="J48">
    <cfRule type="expression" dxfId="1143" priority="27">
      <formula>J48&gt;0</formula>
    </cfRule>
    <cfRule type="expression" dxfId="1142" priority="28">
      <formula>J48&lt;0</formula>
    </cfRule>
  </conditionalFormatting>
  <conditionalFormatting sqref="K41:K52">
    <cfRule type="expression" dxfId="1141" priority="25">
      <formula>K41&gt;0</formula>
    </cfRule>
    <cfRule type="expression" dxfId="1140" priority="26">
      <formula>K41&lt;0</formula>
    </cfRule>
  </conditionalFormatting>
  <conditionalFormatting sqref="K39:K52">
    <cfRule type="expression" dxfId="1139" priority="23">
      <formula>K39&gt;0</formula>
    </cfRule>
    <cfRule type="expression" dxfId="1138" priority="24">
      <formula>K39&lt;0</formula>
    </cfRule>
  </conditionalFormatting>
  <conditionalFormatting sqref="F102:F118 H102:H118 H120:H128 F120:F128">
    <cfRule type="expression" dxfId="1137" priority="19">
      <formula>F102&gt;0</formula>
    </cfRule>
    <cfRule type="expression" dxfId="1136" priority="20">
      <formula>F102&lt;0</formula>
    </cfRule>
  </conditionalFormatting>
  <conditionalFormatting sqref="F96:F101">
    <cfRule type="expression" dxfId="1135" priority="17">
      <formula>F96&gt;0</formula>
    </cfRule>
    <cfRule type="expression" dxfId="1134" priority="18">
      <formula>F96&lt;0</formula>
    </cfRule>
  </conditionalFormatting>
  <conditionalFormatting sqref="H96:H101">
    <cfRule type="expression" dxfId="1133" priority="15">
      <formula>H96&gt;0</formula>
    </cfRule>
    <cfRule type="expression" dxfId="1132" priority="16">
      <formula>H96&lt;0</formula>
    </cfRule>
  </conditionalFormatting>
  <conditionalFormatting sqref="J112">
    <cfRule type="expression" dxfId="1131" priority="13">
      <formula>J112&gt;0</formula>
    </cfRule>
    <cfRule type="expression" dxfId="1130" priority="14">
      <formula>J112&lt;0</formula>
    </cfRule>
  </conditionalFormatting>
  <conditionalFormatting sqref="J110:J118 J120">
    <cfRule type="expression" dxfId="1129" priority="11">
      <formula>J110&gt;0</formula>
    </cfRule>
    <cfRule type="expression" dxfId="1128" priority="12">
      <formula>J110&lt;0</formula>
    </cfRule>
  </conditionalFormatting>
  <conditionalFormatting sqref="F119 H119">
    <cfRule type="expression" dxfId="1127" priority="9">
      <formula>F119&gt;0</formula>
    </cfRule>
    <cfRule type="expression" dxfId="1126" priority="10">
      <formula>F119&lt;0</formula>
    </cfRule>
  </conditionalFormatting>
  <conditionalFormatting sqref="J119">
    <cfRule type="expression" dxfId="1125" priority="7">
      <formula>J119&gt;0</formula>
    </cfRule>
    <cfRule type="expression" dxfId="1124" priority="8">
      <formula>J119&lt;0</formula>
    </cfRule>
  </conditionalFormatting>
  <conditionalFormatting sqref="K112:K123">
    <cfRule type="expression" dxfId="1123" priority="5">
      <formula>K112&gt;0</formula>
    </cfRule>
    <cfRule type="expression" dxfId="1122" priority="6">
      <formula>K112&lt;0</formula>
    </cfRule>
  </conditionalFormatting>
  <conditionalFormatting sqref="K110:K123">
    <cfRule type="expression" dxfId="1121" priority="3">
      <formula>K110&gt;0</formula>
    </cfRule>
    <cfRule type="expression" dxfId="1120" priority="4">
      <formula>K110&lt;0</formula>
    </cfRule>
  </conditionalFormatting>
  <conditionalFormatting sqref="J121">
    <cfRule type="expression" dxfId="1119" priority="1">
      <formula>J121&gt;0</formula>
    </cfRule>
    <cfRule type="expression" dxfId="1118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60.1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60.1</v>
      </c>
      <c r="R4" s="498">
        <v>-1.46E-2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697" t="s">
        <v>78</v>
      </c>
      <c r="P40" s="697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66.110000000000014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65.509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64.908000000000001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64.307000000000002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63.706000000000003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63.105000000000004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62.504000000000005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61.903000000000006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61.302</v>
      </c>
      <c r="Q49" s="2"/>
      <c r="T49" s="92" t="s">
        <v>103</v>
      </c>
      <c r="U49" s="129" t="s">
        <v>391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60.701000000000001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60.1</v>
      </c>
      <c r="Q51" s="2"/>
      <c r="T51" s="92" t="s">
        <v>104</v>
      </c>
      <c r="U51" s="129" t="s">
        <v>640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59.499000000000002</v>
      </c>
      <c r="Q52" s="2"/>
      <c r="T52" s="92" t="s">
        <v>105</v>
      </c>
      <c r="U52" s="129" t="s">
        <v>500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58.898000000000003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58.296999999999997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57.695999999999998</v>
      </c>
      <c r="T55" s="92" t="s">
        <v>107</v>
      </c>
      <c r="U55" s="129" t="s">
        <v>641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57.094999999999999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56.494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55.893000000000008</v>
      </c>
      <c r="T58" s="92" t="s">
        <v>108</v>
      </c>
      <c r="U58" s="129" t="s">
        <v>578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55.292000000000002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54.691000000000003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54.09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117" priority="15">
      <formula>F39&gt;0</formula>
    </cfRule>
    <cfRule type="expression" dxfId="1116" priority="16">
      <formula>F39&lt;0</formula>
    </cfRule>
  </conditionalFormatting>
  <conditionalFormatting sqref="Q7">
    <cfRule type="expression" dxfId="1115" priority="13">
      <formula>Q7&gt;0</formula>
    </cfRule>
    <cfRule type="expression" dxfId="1114" priority="14">
      <formula>Q7&lt;0</formula>
    </cfRule>
  </conditionalFormatting>
  <conditionalFormatting sqref="Q8">
    <cfRule type="expression" dxfId="1113" priority="11">
      <formula>Q8&gt;0</formula>
    </cfRule>
    <cfRule type="expression" dxfId="1112" priority="12">
      <formula>Q8&lt;0</formula>
    </cfRule>
  </conditionalFormatting>
  <conditionalFormatting sqref="F25:F38">
    <cfRule type="expression" dxfId="1111" priority="9">
      <formula>F25&gt;0</formula>
    </cfRule>
    <cfRule type="expression" dxfId="1110" priority="10">
      <formula>F25&lt;0</formula>
    </cfRule>
  </conditionalFormatting>
  <conditionalFormatting sqref="H25:H38">
    <cfRule type="expression" dxfId="1109" priority="7">
      <formula>H25&gt;0</formula>
    </cfRule>
    <cfRule type="expression" dxfId="110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107" priority="3">
      <formula>M55&gt;0</formula>
    </cfRule>
    <cfRule type="expression" dxfId="1106" priority="4">
      <formula>M55&lt;0</formula>
    </cfRule>
  </conditionalFormatting>
  <conditionalFormatting sqref="Q10">
    <cfRule type="expression" dxfId="1105" priority="1">
      <formula>Q10&gt;0</formula>
    </cfRule>
    <cfRule type="expression" dxfId="110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40.950000000000003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40.950000000000003</v>
      </c>
      <c r="R4" s="498">
        <v>-6.7999999999999996E-3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113</v>
      </c>
      <c r="C21" s="510" t="s">
        <v>146</v>
      </c>
      <c r="D21" s="511" t="s">
        <v>145</v>
      </c>
      <c r="E21" s="512" t="s">
        <v>147</v>
      </c>
      <c r="F21" s="513" t="s">
        <v>65</v>
      </c>
      <c r="G21" s="514" t="s">
        <v>151</v>
      </c>
      <c r="H21" s="513" t="s">
        <v>88</v>
      </c>
      <c r="I21" s="514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697" t="s">
        <v>78</v>
      </c>
      <c r="P40" s="697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45.045000000000009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44.635500000000008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44.226000000000006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43.816500000000005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43.407000000000004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42.997500000000002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42.588000000000001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42.178500000000007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41.769000000000005</v>
      </c>
      <c r="Q49" s="2"/>
      <c r="T49" s="92" t="s">
        <v>103</v>
      </c>
      <c r="U49" s="129" t="s">
        <v>642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41.359500000000004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40.950000000000003</v>
      </c>
      <c r="Q51" s="2"/>
      <c r="T51" s="92" t="s">
        <v>104</v>
      </c>
      <c r="U51" s="129" t="s">
        <v>643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40.540500000000002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40.131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39.721499999999999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39.312000000000005</v>
      </c>
      <c r="T55" s="92" t="s">
        <v>107</v>
      </c>
      <c r="U55" s="129" t="s">
        <v>644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38.902500000000003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38.493000000000002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38.083500000000008</v>
      </c>
      <c r="T58" s="92" t="s">
        <v>108</v>
      </c>
      <c r="U58" s="129" t="s">
        <v>547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37.674000000000007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37.264500000000005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36.855000000000004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103" priority="27">
      <formula>F27&gt;0</formula>
    </cfRule>
    <cfRule type="expression" dxfId="110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101" priority="15">
      <formula>Q8&gt;0</formula>
    </cfRule>
    <cfRule type="expression" dxfId="1100" priority="16">
      <formula>Q8&lt;0</formula>
    </cfRule>
  </conditionalFormatting>
  <conditionalFormatting sqref="Q7">
    <cfRule type="expression" dxfId="1099" priority="17">
      <formula>Q7&gt;0</formula>
    </cfRule>
    <cfRule type="expression" dxfId="1098" priority="18">
      <formula>Q7&lt;0</formula>
    </cfRule>
  </conditionalFormatting>
  <conditionalFormatting sqref="F37:F38">
    <cfRule type="expression" dxfId="1097" priority="13">
      <formula>F37&gt;0</formula>
    </cfRule>
    <cfRule type="expression" dxfId="1096" priority="14">
      <formula>F37&lt;0</formula>
    </cfRule>
  </conditionalFormatting>
  <conditionalFormatting sqref="H37:H38">
    <cfRule type="expression" dxfId="1095" priority="11">
      <formula>H37&gt;0</formula>
    </cfRule>
    <cfRule type="expression" dxfId="1094" priority="12">
      <formula>H37&lt;0</formula>
    </cfRule>
  </conditionalFormatting>
  <conditionalFormatting sqref="F23:F26 H23:H26">
    <cfRule type="expression" dxfId="1093" priority="9">
      <formula>F23&gt;0</formula>
    </cfRule>
    <cfRule type="expression" dxfId="1092" priority="10">
      <formula>F23&lt;0</formula>
    </cfRule>
  </conditionalFormatting>
  <conditionalFormatting sqref="Q10">
    <cfRule type="expression" dxfId="1091" priority="3">
      <formula>Q10&gt;0</formula>
    </cfRule>
    <cfRule type="expression" dxfId="1090" priority="4">
      <formula>Q10&lt;0</formula>
    </cfRule>
  </conditionalFormatting>
  <conditionalFormatting sqref="F22 H22">
    <cfRule type="expression" dxfId="1089" priority="1">
      <formula>F22&gt;0</formula>
    </cfRule>
    <cfRule type="expression" dxfId="1088" priority="2">
      <formula>F22&lt;0</formula>
    </cfRule>
  </conditionalFormatting>
  <conditionalFormatting sqref="M41">
    <cfRule type="expression" dxfId="1087" priority="5">
      <formula>M41&gt;0</formula>
    </cfRule>
    <cfRule type="expression" dxfId="108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51.66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51.66</v>
      </c>
      <c r="R4" s="498">
        <v>-1.34E-2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56.826000000000001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56.309400000000004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55.7928</v>
      </c>
      <c r="Q43" s="2"/>
      <c r="T43" s="127" t="s">
        <v>97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55.276200000000003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54.759599999999999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54.243000000000002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53.726399999999998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53.209800000000001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52.693199999999997</v>
      </c>
      <c r="Q49" s="2"/>
      <c r="T49" s="92" t="s">
        <v>103</v>
      </c>
      <c r="U49" s="129" t="s">
        <v>513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52.176600000000001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51.66</v>
      </c>
      <c r="Q51" s="2"/>
      <c r="T51" s="92" t="s">
        <v>104</v>
      </c>
      <c r="U51" s="129" t="s">
        <v>645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51.143399999999993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50.626799999999996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50.110199999999992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49.593599999999995</v>
      </c>
      <c r="T55" s="92" t="s">
        <v>107</v>
      </c>
      <c r="U55" s="129" t="s">
        <v>646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49.076999999999991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48.560399999999994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48.043799999999997</v>
      </c>
      <c r="T58" s="92" t="s">
        <v>108</v>
      </c>
      <c r="U58" s="129" t="s">
        <v>586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47.527200000000001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47.010599999999997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46.494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408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445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463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481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85" priority="29">
      <formula>F25&gt;0</formula>
    </cfRule>
    <cfRule type="expression" dxfId="1084" priority="30">
      <formula>F25&lt;0</formula>
    </cfRule>
  </conditionalFormatting>
  <conditionalFormatting sqref="Q7">
    <cfRule type="expression" dxfId="1083" priority="27">
      <formula>Q7&gt;0</formula>
    </cfRule>
    <cfRule type="expression" dxfId="1082" priority="28">
      <formula>Q7&lt;0</formula>
    </cfRule>
  </conditionalFormatting>
  <conditionalFormatting sqref="Q8">
    <cfRule type="expression" dxfId="1081" priority="25">
      <formula>Q8&gt;0</formula>
    </cfRule>
    <cfRule type="expression" dxfId="1080" priority="26">
      <formula>Q8&lt;0</formula>
    </cfRule>
  </conditionalFormatting>
  <conditionalFormatting sqref="Q10">
    <cfRule type="expression" dxfId="1079" priority="13">
      <formula>Q10&gt;0</formula>
    </cfRule>
    <cfRule type="expression" dxfId="1078" priority="14">
      <formula>Q10&lt;0</formula>
    </cfRule>
  </conditionalFormatting>
  <conditionalFormatting sqref="M46">
    <cfRule type="expression" dxfId="1077" priority="11">
      <formula>M46&gt;0</formula>
    </cfRule>
    <cfRule type="expression" dxfId="1076" priority="12">
      <formula>M46&lt;0</formula>
    </cfRule>
  </conditionalFormatting>
  <conditionalFormatting sqref="F80:F88 H80:H88">
    <cfRule type="expression" dxfId="1075" priority="9">
      <formula>F80&gt;0</formula>
    </cfRule>
    <cfRule type="expression" dxfId="1074" priority="10">
      <formula>F80&lt;0</formula>
    </cfRule>
  </conditionalFormatting>
  <conditionalFormatting sqref="F75:F79">
    <cfRule type="expression" dxfId="1073" priority="7">
      <formula>F75&gt;0</formula>
    </cfRule>
    <cfRule type="expression" dxfId="1072" priority="8">
      <formula>F75&lt;0</formula>
    </cfRule>
  </conditionalFormatting>
  <conditionalFormatting sqref="H75:H79">
    <cfRule type="expression" dxfId="1071" priority="5">
      <formula>H75&gt;0</formula>
    </cfRule>
    <cfRule type="expression" dxfId="1070" priority="6">
      <formula>H75&lt;0</formula>
    </cfRule>
  </conditionalFormatting>
  <conditionalFormatting sqref="F71:F74">
    <cfRule type="expression" dxfId="1069" priority="3">
      <formula>F71&gt;0</formula>
    </cfRule>
    <cfRule type="expression" dxfId="1068" priority="4">
      <formula>F71&lt;0</formula>
    </cfRule>
  </conditionalFormatting>
  <conditionalFormatting sqref="H71:H74">
    <cfRule type="expression" dxfId="1067" priority="1">
      <formula>H71&gt;0</formula>
    </cfRule>
    <cfRule type="expression" dxfId="106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48.45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48.45</v>
      </c>
      <c r="R4" s="498">
        <v>-9.4000000000000004E-3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255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258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53.295000000000009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52.810500000000005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52.326000000000008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51.841500000000003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51.357000000000006</v>
      </c>
      <c r="Q45" s="2"/>
      <c r="T45" s="92" t="s">
        <v>99</v>
      </c>
      <c r="U45" s="129" t="s">
        <v>647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50.872500000000002</v>
      </c>
      <c r="Q46" s="2"/>
      <c r="T46" s="92" t="s">
        <v>100</v>
      </c>
      <c r="U46" s="129" t="s">
        <v>648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50.388000000000005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49.903500000000001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49.419000000000004</v>
      </c>
      <c r="Q49" s="2"/>
      <c r="T49" s="92" t="s">
        <v>121</v>
      </c>
      <c r="U49" s="129" t="s">
        <v>410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48.9345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48.45</v>
      </c>
      <c r="Q51" s="2"/>
      <c r="T51" s="92" t="s">
        <v>104</v>
      </c>
      <c r="U51" s="129" t="s">
        <v>649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47.965500000000006</v>
      </c>
      <c r="Q52" s="2"/>
      <c r="T52" s="92" t="s">
        <v>105</v>
      </c>
      <c r="U52" s="129" t="s">
        <v>442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47.481000000000002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46.996500000000005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46.512</v>
      </c>
      <c r="T55" s="92" t="s">
        <v>107</v>
      </c>
      <c r="U55" s="129" t="s">
        <v>650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46.027500000000003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45.542999999999999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45.058500000000002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44.574000000000005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44.089500000000001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43.605000000000004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65" priority="11">
      <formula>F34&gt;0</formula>
    </cfRule>
    <cfRule type="expression" dxfId="1064" priority="12">
      <formula>F34&lt;0</formula>
    </cfRule>
  </conditionalFormatting>
  <conditionalFormatting sqref="Q7">
    <cfRule type="expression" dxfId="1063" priority="9">
      <formula>Q7&gt;0</formula>
    </cfRule>
    <cfRule type="expression" dxfId="1062" priority="10">
      <formula>Q7&lt;0</formula>
    </cfRule>
  </conditionalFormatting>
  <conditionalFormatting sqref="Q8">
    <cfRule type="expression" dxfId="1061" priority="7">
      <formula>Q8&gt;0</formula>
    </cfRule>
    <cfRule type="expression" dxfId="1060" priority="8">
      <formula>Q8&lt;0</formula>
    </cfRule>
  </conditionalFormatting>
  <conditionalFormatting sqref="F25:F33">
    <cfRule type="expression" dxfId="1059" priority="5">
      <formula>F25&gt;0</formula>
    </cfRule>
    <cfRule type="expression" dxfId="1058" priority="6">
      <formula>F25&lt;0</formula>
    </cfRule>
  </conditionalFormatting>
  <conditionalFormatting sqref="H25:H33">
    <cfRule type="expression" dxfId="1057" priority="3">
      <formula>H25&gt;0</formula>
    </cfRule>
    <cfRule type="expression" dxfId="1056" priority="4">
      <formula>H25&lt;0</formula>
    </cfRule>
  </conditionalFormatting>
  <conditionalFormatting sqref="M46">
    <cfRule type="expression" dxfId="1055" priority="1">
      <formula>M46&gt;0</formula>
    </cfRule>
    <cfRule type="expression" dxfId="105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755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27.47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27.47</v>
      </c>
      <c r="R4" s="498">
        <v>0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309.26000000000022</v>
      </c>
      <c r="R7">
        <v>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f>M73</f>
        <v>309.26000000000022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>
        <v>42874</v>
      </c>
      <c r="C26" s="10"/>
      <c r="D26" s="40"/>
      <c r="E26" s="40"/>
      <c r="F26" s="40">
        <v>303.26</v>
      </c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30.217000000000002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29.942299999999999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29.6676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29.392900000000001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29.118200000000002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28.843499999999999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28.5688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28.2941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28.019400000000001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27.744699999999998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27.47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27.1953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26.920599999999997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26.645899999999997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26.371199999999998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26.096499999999999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25.821799999999996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25.5471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25.272400000000001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24.997699999999998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24.722999999999999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3" t="s">
        <v>1</v>
      </c>
      <c r="B74" s="383" t="s">
        <v>2</v>
      </c>
      <c r="C74" s="383" t="s">
        <v>4</v>
      </c>
      <c r="D74" s="385" t="s">
        <v>5</v>
      </c>
      <c r="E74" s="385" t="s">
        <v>94</v>
      </c>
      <c r="F74" s="385" t="s">
        <v>60</v>
      </c>
      <c r="G74" s="383" t="s">
        <v>3</v>
      </c>
      <c r="H74" s="383" t="s">
        <v>6</v>
      </c>
      <c r="I74" s="385" t="s">
        <v>7</v>
      </c>
      <c r="J74" s="385" t="s">
        <v>95</v>
      </c>
      <c r="K74" s="385" t="s">
        <v>61</v>
      </c>
      <c r="L74" s="383" t="s">
        <v>37</v>
      </c>
      <c r="M74" s="383" t="s">
        <v>38</v>
      </c>
    </row>
    <row r="75" spans="1:31" x14ac:dyDescent="0.25">
      <c r="A75" s="386" t="s">
        <v>755</v>
      </c>
      <c r="B75" s="376">
        <v>42843</v>
      </c>
      <c r="C75" s="377">
        <v>100</v>
      </c>
      <c r="D75" s="378">
        <v>24.68</v>
      </c>
      <c r="E75" s="378">
        <v>0</v>
      </c>
      <c r="F75" s="378">
        <f>C75*D75+E75</f>
        <v>2468</v>
      </c>
      <c r="G75" s="376">
        <v>42874</v>
      </c>
      <c r="H75" s="378">
        <v>100</v>
      </c>
      <c r="I75" s="378">
        <v>27.71</v>
      </c>
      <c r="J75" s="378">
        <v>-0.26</v>
      </c>
      <c r="K75" s="378">
        <f>H75*I75-J75</f>
        <v>2771.26</v>
      </c>
      <c r="L75" s="376">
        <v>42880</v>
      </c>
      <c r="M75" s="378">
        <v>6</v>
      </c>
    </row>
    <row r="76" spans="1:31" x14ac:dyDescent="0.25">
      <c r="A76" s="387" t="s">
        <v>71</v>
      </c>
      <c r="B76" s="376"/>
      <c r="C76" s="377"/>
      <c r="D76" s="378"/>
      <c r="E76" s="378"/>
      <c r="F76" s="378"/>
      <c r="G76" s="376"/>
      <c r="H76" s="381"/>
      <c r="I76" s="378"/>
      <c r="J76" s="378"/>
      <c r="K76" s="378"/>
      <c r="L76" s="376"/>
      <c r="M76" s="378"/>
    </row>
    <row r="77" spans="1:31" x14ac:dyDescent="0.25">
      <c r="A77" s="377"/>
      <c r="B77" s="376"/>
      <c r="C77" s="377"/>
      <c r="D77" s="378"/>
      <c r="E77" s="378"/>
      <c r="F77" s="378"/>
      <c r="G77" s="376"/>
      <c r="H77" s="381"/>
      <c r="I77" s="378"/>
      <c r="J77" s="378"/>
      <c r="K77" s="378"/>
      <c r="L77" s="377"/>
      <c r="M77" s="377"/>
    </row>
    <row r="78" spans="1:31" x14ac:dyDescent="0.25">
      <c r="A78" s="377"/>
      <c r="B78" s="376"/>
      <c r="C78" s="377"/>
      <c r="D78" s="378"/>
      <c r="E78" s="378"/>
      <c r="F78" s="378"/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/>
      <c r="C79" s="377"/>
      <c r="D79" s="378"/>
      <c r="E79" s="378"/>
      <c r="F79" s="378"/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376"/>
      <c r="C80" s="377"/>
      <c r="D80" s="378"/>
      <c r="E80" s="378"/>
      <c r="F80" s="378"/>
      <c r="G80" s="377"/>
      <c r="H80" s="381"/>
      <c r="I80" s="378"/>
      <c r="J80" s="378"/>
      <c r="K80" s="378"/>
      <c r="L80" s="377"/>
      <c r="M80" s="377"/>
    </row>
    <row r="81" spans="1:13" x14ac:dyDescent="0.25">
      <c r="A81" s="377"/>
      <c r="B81" s="377"/>
      <c r="C81" s="377"/>
      <c r="D81" s="378"/>
      <c r="E81" s="378"/>
      <c r="F81" s="378"/>
      <c r="G81" s="377"/>
      <c r="H81" s="381"/>
      <c r="I81" s="378"/>
      <c r="J81" s="378"/>
      <c r="K81" s="378"/>
      <c r="L81" s="377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377"/>
      <c r="B85" s="377"/>
      <c r="C85" s="377"/>
      <c r="D85" s="378"/>
      <c r="E85" s="378"/>
      <c r="F85" s="378"/>
      <c r="G85" s="377"/>
      <c r="H85" s="381"/>
      <c r="I85" s="378"/>
      <c r="J85" s="378"/>
      <c r="K85" s="378"/>
      <c r="L85" s="377"/>
      <c r="M85" s="377"/>
    </row>
    <row r="86" spans="1:13" x14ac:dyDescent="0.25">
      <c r="A86" s="377"/>
      <c r="B86" s="377"/>
      <c r="C86" s="377"/>
      <c r="D86" s="378"/>
      <c r="E86" s="378"/>
      <c r="F86" s="378"/>
      <c r="G86" s="377"/>
      <c r="H86" s="381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81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81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81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53" priority="9">
      <formula>F57&gt;0</formula>
    </cfRule>
    <cfRule type="expression" dxfId="1052" priority="10">
      <formula>F57&lt;0</formula>
    </cfRule>
  </conditionalFormatting>
  <conditionalFormatting sqref="Q7">
    <cfRule type="expression" dxfId="1051" priority="7">
      <formula>Q7&gt;0</formula>
    </cfRule>
    <cfRule type="expression" dxfId="1050" priority="8">
      <formula>Q7&lt;0</formula>
    </cfRule>
  </conditionalFormatting>
  <conditionalFormatting sqref="Q8">
    <cfRule type="expression" dxfId="1049" priority="5">
      <formula>Q8&gt;0</formula>
    </cfRule>
    <cfRule type="expression" dxfId="1048" priority="6">
      <formula>Q8&lt;0</formula>
    </cfRule>
  </conditionalFormatting>
  <conditionalFormatting sqref="F25:F56">
    <cfRule type="expression" dxfId="1047" priority="3">
      <formula>F25&gt;0</formula>
    </cfRule>
    <cfRule type="expression" dxfId="1046" priority="4">
      <formula>F25&lt;0</formula>
    </cfRule>
  </conditionalFormatting>
  <conditionalFormatting sqref="H25:H56">
    <cfRule type="expression" dxfId="1045" priority="1">
      <formula>H25&gt;0</formula>
    </cfRule>
    <cfRule type="expression" dxfId="104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487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77.900000000000006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77.900000000000006</v>
      </c>
      <c r="R4" s="498">
        <v>-1.1299999999999999E-2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85.690000000000012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84.911000000000016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84.132000000000005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83.353000000000009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82.574000000000012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81.795000000000016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81.016000000000005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80.237000000000009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79.458000000000013</v>
      </c>
      <c r="Q49" s="2"/>
      <c r="T49" s="92" t="s">
        <v>103</v>
      </c>
      <c r="U49" s="129" t="s">
        <v>501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78.679000000000002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77.900000000000006</v>
      </c>
      <c r="Q51" s="2"/>
      <c r="T51" s="92" t="s">
        <v>104</v>
      </c>
      <c r="U51" s="129" t="s">
        <v>651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77.121000000000009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76.341999999999999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75.563000000000002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74.784000000000006</v>
      </c>
      <c r="T55" s="92" t="s">
        <v>107</v>
      </c>
      <c r="U55" s="129" t="s">
        <v>652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74.004999999999995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73.225999999999999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72.447000000000003</v>
      </c>
      <c r="T58" s="92" t="s">
        <v>108</v>
      </c>
      <c r="U58" s="129" t="s">
        <v>566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71.668000000000006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70.88900000000001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70.110000000000014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113</v>
      </c>
      <c r="C83" s="510" t="s">
        <v>146</v>
      </c>
      <c r="D83" s="511" t="s">
        <v>145</v>
      </c>
      <c r="E83" s="512" t="s">
        <v>147</v>
      </c>
      <c r="F83" s="512" t="s">
        <v>65</v>
      </c>
      <c r="G83" s="514" t="s">
        <v>151</v>
      </c>
      <c r="H83" s="514" t="s">
        <v>88</v>
      </c>
      <c r="I83" s="514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390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407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407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465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467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467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498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43" priority="15">
      <formula>F57&gt;0</formula>
    </cfRule>
    <cfRule type="expression" dxfId="1042" priority="16">
      <formula>F57&lt;0</formula>
    </cfRule>
  </conditionalFormatting>
  <conditionalFormatting sqref="Q7">
    <cfRule type="expression" dxfId="1041" priority="13">
      <formula>Q7&gt;0</formula>
    </cfRule>
    <cfRule type="expression" dxfId="1040" priority="14">
      <formula>Q7&lt;0</formula>
    </cfRule>
  </conditionalFormatting>
  <conditionalFormatting sqref="Q8">
    <cfRule type="expression" dxfId="1039" priority="11">
      <formula>Q8&gt;0</formula>
    </cfRule>
    <cfRule type="expression" dxfId="1038" priority="12">
      <formula>Q8&lt;0</formula>
    </cfRule>
  </conditionalFormatting>
  <conditionalFormatting sqref="F25:F56">
    <cfRule type="expression" dxfId="1037" priority="9">
      <formula>F25&gt;0</formula>
    </cfRule>
    <cfRule type="expression" dxfId="1036" priority="10">
      <formula>F25&lt;0</formula>
    </cfRule>
  </conditionalFormatting>
  <conditionalFormatting sqref="H25:H56">
    <cfRule type="expression" dxfId="1035" priority="7">
      <formula>H25&gt;0</formula>
    </cfRule>
    <cfRule type="expression" dxfId="1034" priority="8">
      <formula>H25&lt;0</formula>
    </cfRule>
  </conditionalFormatting>
  <conditionalFormatting sqref="M58">
    <cfRule type="expression" dxfId="1033" priority="5">
      <formula>M58&gt;0</formula>
    </cfRule>
    <cfRule type="expression" dxfId="1032" priority="6">
      <formula>M58&lt;0</formula>
    </cfRule>
  </conditionalFormatting>
  <conditionalFormatting sqref="F84:F115">
    <cfRule type="expression" dxfId="1031" priority="3">
      <formula>F84&gt;0</formula>
    </cfRule>
    <cfRule type="expression" dxfId="1030" priority="4">
      <formula>F84&lt;0</formula>
    </cfRule>
  </conditionalFormatting>
  <conditionalFormatting sqref="H84:H115">
    <cfRule type="expression" dxfId="1029" priority="1">
      <formula>H84&gt;0</formula>
    </cfRule>
    <cfRule type="expression" dxfId="102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7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8000</v>
      </c>
      <c r="T2" s="63">
        <v>42804</v>
      </c>
      <c r="U2" s="85" t="s">
        <v>759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10" si="1">H3*I3-J3</f>
        <v>3119.93</v>
      </c>
      <c r="L3" s="73">
        <v>42846</v>
      </c>
      <c r="M3" s="44">
        <v>3.25</v>
      </c>
      <c r="O3" s="11" t="s">
        <v>58</v>
      </c>
      <c r="Q3" s="506">
        <f>IF(Q2=0, Q4, (F49-K49-M49)/Q2)</f>
        <v>15.624008749999998</v>
      </c>
      <c r="T3" s="63">
        <v>42866</v>
      </c>
      <c r="U3" s="85" t="s">
        <v>760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4" t="s">
        <v>536</v>
      </c>
      <c r="M4" s="3"/>
      <c r="O4" s="11" t="s">
        <v>66</v>
      </c>
      <c r="Q4" s="55">
        <v>12.88</v>
      </c>
      <c r="R4" s="498">
        <v>7.7999999999999996E-3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103040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124992.06999999998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-7336.4989999983518</v>
      </c>
      <c r="R7">
        <v>5800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-21952.069999999978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9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212</v>
      </c>
      <c r="Q9" s="136">
        <f>IF(Q2=0, 0, Q8/Q6)</f>
        <v>-0.17562770182140341</v>
      </c>
    </row>
    <row r="10" spans="1:32" ht="15" customHeight="1" x14ac:dyDescent="0.25">
      <c r="A10" s="637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499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211</v>
      </c>
      <c r="P10" s="34"/>
      <c r="Q10" s="2">
        <f>M349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177</v>
      </c>
      <c r="P11" s="34"/>
      <c r="Q11" s="136">
        <v>1.34E-2</v>
      </c>
    </row>
    <row r="12" spans="1:32" x14ac:dyDescent="0.25">
      <c r="A12" s="637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499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499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0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0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0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0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B31" s="501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0" x14ac:dyDescent="0.25">
      <c r="B32" s="501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501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501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501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36" spans="2:16" x14ac:dyDescent="0.25">
      <c r="B36" s="501">
        <v>42888</v>
      </c>
      <c r="C36" s="4">
        <v>500</v>
      </c>
      <c r="D36" s="79">
        <v>12.72</v>
      </c>
      <c r="E36" s="2">
        <v>0</v>
      </c>
      <c r="F36" s="2">
        <f t="shared" si="0"/>
        <v>6360</v>
      </c>
    </row>
    <row r="37" spans="2:16" x14ac:dyDescent="0.25">
      <c r="B37" s="501">
        <v>42888</v>
      </c>
      <c r="C37" s="4">
        <v>500</v>
      </c>
      <c r="D37" s="79">
        <v>12.58</v>
      </c>
      <c r="E37" s="2">
        <v>0</v>
      </c>
      <c r="F37" s="2">
        <f t="shared" si="0"/>
        <v>6290</v>
      </c>
    </row>
    <row r="41" spans="2:16" ht="20.25" thickBot="1" x14ac:dyDescent="0.35">
      <c r="O41" s="697" t="s">
        <v>78</v>
      </c>
      <c r="P41" s="697"/>
    </row>
    <row r="42" spans="2:16" ht="15.75" thickTop="1" x14ac:dyDescent="0.25">
      <c r="O42" s="82">
        <v>1.22</v>
      </c>
      <c r="P42" s="82">
        <f>O42*$Q$4</f>
        <v>15.713600000000001</v>
      </c>
    </row>
    <row r="43" spans="2:16" x14ac:dyDescent="0.25">
      <c r="O43" s="82">
        <v>1.21</v>
      </c>
      <c r="P43" s="82">
        <f>O43*$Q$4</f>
        <v>15.584800000000001</v>
      </c>
    </row>
    <row r="44" spans="2:16" x14ac:dyDescent="0.25">
      <c r="O44" s="82">
        <v>1.2</v>
      </c>
      <c r="P44" s="82">
        <f>O44*$Q$4</f>
        <v>15.456</v>
      </c>
    </row>
    <row r="45" spans="2:16" x14ac:dyDescent="0.25">
      <c r="O45" s="82">
        <v>1.19</v>
      </c>
      <c r="P45" s="82">
        <f>O45*$Q$4</f>
        <v>15.327199999999999</v>
      </c>
    </row>
    <row r="46" spans="2:16" x14ac:dyDescent="0.25">
      <c r="O46" s="82">
        <v>1.18</v>
      </c>
      <c r="P46" s="82">
        <f>O46*$Q$4</f>
        <v>15.198399999999999</v>
      </c>
    </row>
    <row r="47" spans="2:16" x14ac:dyDescent="0.25">
      <c r="O47" s="82">
        <v>1.17</v>
      </c>
      <c r="P47" s="82">
        <f t="shared" ref="P47:P53" si="2">O47*$Q$4</f>
        <v>15.069599999999999</v>
      </c>
    </row>
    <row r="48" spans="2:16" x14ac:dyDescent="0.25">
      <c r="G48" s="30"/>
      <c r="O48" s="82">
        <v>1.1599999999999999</v>
      </c>
      <c r="P48" s="82">
        <f t="shared" si="2"/>
        <v>14.940799999999999</v>
      </c>
    </row>
    <row r="49" spans="1:16" x14ac:dyDescent="0.25">
      <c r="A49" s="32" t="s">
        <v>81</v>
      </c>
      <c r="B49" s="502"/>
      <c r="C49" s="72">
        <f>SUM(C2:C48)</f>
        <v>11300</v>
      </c>
      <c r="D49" s="18"/>
      <c r="E49" s="18"/>
      <c r="F49" s="18">
        <f>SUM(F2:F48)</f>
        <v>176422.61</v>
      </c>
      <c r="G49" s="14"/>
      <c r="H49" s="72">
        <f>SUM(H2:H48)</f>
        <v>3300</v>
      </c>
      <c r="I49" s="80"/>
      <c r="J49" s="18"/>
      <c r="K49" s="18">
        <f>SUM(K2:K48)</f>
        <v>51097.29</v>
      </c>
      <c r="L49" s="14"/>
      <c r="M49" s="18">
        <f>SUM(M2:M3)</f>
        <v>333.25</v>
      </c>
      <c r="O49" s="82">
        <v>1.1499999999999999</v>
      </c>
      <c r="P49" s="82">
        <f t="shared" si="2"/>
        <v>14.811999999999999</v>
      </c>
    </row>
    <row r="50" spans="1:16" ht="15.75" thickBot="1" x14ac:dyDescent="0.3">
      <c r="A50" s="352" t="s">
        <v>196</v>
      </c>
      <c r="B50" s="503"/>
      <c r="C50" s="354">
        <f>SumByColor($A$50, C2:C48)</f>
        <v>3300</v>
      </c>
      <c r="D50" s="354"/>
      <c r="E50" s="354"/>
      <c r="F50" s="355">
        <f>SumByColor($A$50, F2:F48)</f>
        <v>50502</v>
      </c>
      <c r="G50" s="354"/>
      <c r="H50" s="354">
        <f>SumByColor($A$50, H2:H48)</f>
        <v>3300</v>
      </c>
      <c r="I50" s="354"/>
      <c r="J50" s="355"/>
      <c r="K50" s="355">
        <f>SumByColor($A$50, K2:K48)</f>
        <v>51098</v>
      </c>
      <c r="L50" s="354"/>
      <c r="M50" s="355">
        <f>SumByColor($A$50, M2:M48)</f>
        <v>333</v>
      </c>
      <c r="O50" s="82">
        <v>1.1399999999999999</v>
      </c>
      <c r="P50" s="82">
        <f t="shared" si="2"/>
        <v>14.683199999999999</v>
      </c>
    </row>
    <row r="51" spans="1:16" x14ac:dyDescent="0.25">
      <c r="O51" s="82">
        <v>1.1299999999999999</v>
      </c>
      <c r="P51" s="82">
        <f t="shared" si="2"/>
        <v>14.554399999999999</v>
      </c>
    </row>
    <row r="52" spans="1:16" x14ac:dyDescent="0.25">
      <c r="O52" s="82">
        <v>1.1200000000000001</v>
      </c>
      <c r="P52" s="82">
        <f t="shared" si="2"/>
        <v>14.425600000000003</v>
      </c>
    </row>
    <row r="53" spans="1:16" ht="15" customHeight="1" x14ac:dyDescent="0.25">
      <c r="B53" s="504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534</v>
      </c>
      <c r="K53" s="227" t="s">
        <v>150</v>
      </c>
      <c r="L53" s="227" t="s">
        <v>751</v>
      </c>
      <c r="O53" s="82">
        <v>1.1100000000000001</v>
      </c>
      <c r="P53" s="82">
        <f t="shared" si="2"/>
        <v>14.296800000000003</v>
      </c>
    </row>
    <row r="54" spans="1:16" x14ac:dyDescent="0.25">
      <c r="A54" t="s">
        <v>456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14.168000000000003</v>
      </c>
    </row>
    <row r="55" spans="1:16" x14ac:dyDescent="0.25">
      <c r="A55" t="s">
        <v>469</v>
      </c>
      <c r="B55" s="155">
        <v>42788</v>
      </c>
      <c r="C55" s="443">
        <v>6000</v>
      </c>
      <c r="D55" s="673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14.039200000000001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>
        <f t="shared" ref="L56:L81" si="13">(G56-$Q$10)/C56</f>
        <v>13.962523454545162</v>
      </c>
      <c r="O56" s="82">
        <v>1.08</v>
      </c>
      <c r="P56" s="82">
        <f t="shared" si="9"/>
        <v>13.910400000000001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4">C57*(E57-D57)</f>
        <v>-2694.5999999999872</v>
      </c>
      <c r="G57" s="40">
        <f t="shared" ref="G57" si="15">D57*C57</f>
        <v>99534.599999999991</v>
      </c>
      <c r="H57" s="229">
        <f t="shared" ref="H57" si="16">(E57-D57)/D57</f>
        <v>-2.7071993055681011E-2</v>
      </c>
      <c r="I57" s="40">
        <v>16.25</v>
      </c>
      <c r="J57" s="40"/>
      <c r="K57" s="40">
        <v>11921</v>
      </c>
      <c r="L57" s="40">
        <f t="shared" si="13"/>
        <v>14.153171499999727</v>
      </c>
      <c r="O57" s="82">
        <v>1.07</v>
      </c>
      <c r="P57" s="82">
        <f t="shared" si="9"/>
        <v>13.781600000000001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7">C58*(E58-D58)</f>
        <v>-2694.5999999999872</v>
      </c>
      <c r="G58" s="40">
        <f t="shared" ref="G58" si="18">D58*C58</f>
        <v>99534.599999999991</v>
      </c>
      <c r="H58" s="229">
        <f t="shared" ref="H58" si="19">(E58-D58)/D58</f>
        <v>-2.7071993055681011E-2</v>
      </c>
      <c r="I58" s="40">
        <v>16.25</v>
      </c>
      <c r="J58" s="40"/>
      <c r="K58" s="40">
        <v>12161</v>
      </c>
      <c r="L58" s="40">
        <f t="shared" si="13"/>
        <v>14.153171499999727</v>
      </c>
      <c r="O58" s="82">
        <v>1.06</v>
      </c>
      <c r="P58" s="82">
        <f t="shared" si="9"/>
        <v>13.652800000000001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20">C59*(E59-D59)</f>
        <v>-714.59999999999718</v>
      </c>
      <c r="G59" s="40">
        <f t="shared" ref="G59:G60" si="21">D59*C59</f>
        <v>99534.599999999991</v>
      </c>
      <c r="H59" s="229">
        <f t="shared" ref="H59:H60" si="22">(E59-D59)/D59</f>
        <v>-7.1794129880463405E-3</v>
      </c>
      <c r="I59" s="40">
        <v>16.25</v>
      </c>
      <c r="J59" s="40"/>
      <c r="K59" s="40">
        <v>13901</v>
      </c>
      <c r="L59" s="40">
        <f t="shared" si="13"/>
        <v>14.153171499999727</v>
      </c>
      <c r="O59" s="82">
        <v>1.05</v>
      </c>
      <c r="P59" s="82">
        <f t="shared" si="9"/>
        <v>13.524000000000001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20"/>
        <v>-10431.900000000003</v>
      </c>
      <c r="G60" s="40">
        <f t="shared" si="21"/>
        <v>110060.9</v>
      </c>
      <c r="H60" s="230">
        <f t="shared" si="22"/>
        <v>-9.478297924149269E-2</v>
      </c>
      <c r="I60" s="40"/>
      <c r="J60" s="40"/>
      <c r="K60" s="40">
        <v>4183.99</v>
      </c>
      <c r="L60" s="40">
        <f t="shared" si="13"/>
        <v>14.245571492537071</v>
      </c>
      <c r="O60" s="82">
        <v>1.04</v>
      </c>
      <c r="P60" s="82">
        <f t="shared" si="9"/>
        <v>13.395200000000001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3">C61*(E61-D61)</f>
        <v>-2595.7799999999979</v>
      </c>
      <c r="G61" s="40">
        <f t="shared" ref="G61" si="24">D61*C61</f>
        <v>99015.78</v>
      </c>
      <c r="H61" s="230">
        <f t="shared" ref="H61" si="25">(E61-D61)/D61</f>
        <v>-2.6215821356959445E-2</v>
      </c>
      <c r="I61" s="40">
        <v>16.25</v>
      </c>
      <c r="J61" s="40"/>
      <c r="K61" s="40">
        <v>12020</v>
      </c>
      <c r="L61" s="40">
        <f t="shared" si="13"/>
        <v>14.066701499999729</v>
      </c>
      <c r="O61" s="82">
        <v>1.03</v>
      </c>
      <c r="P61" s="82">
        <f t="shared" si="9"/>
        <v>13.266400000000001</v>
      </c>
    </row>
    <row r="62" spans="1:16" x14ac:dyDescent="0.25">
      <c r="A62">
        <v>4200</v>
      </c>
      <c r="B62" s="155">
        <v>42805</v>
      </c>
      <c r="C62" s="443">
        <v>6000</v>
      </c>
      <c r="D62" s="673">
        <v>16.447600000000001</v>
      </c>
      <c r="E62" s="40">
        <v>16.16</v>
      </c>
      <c r="F62" s="40">
        <f t="shared" ref="F62" si="26">C62*(E62-D62)</f>
        <v>-1725.6000000000072</v>
      </c>
      <c r="G62" s="40">
        <f t="shared" ref="G62" si="27">D62*C62</f>
        <v>98685.6</v>
      </c>
      <c r="H62" s="230">
        <f t="shared" ref="H62" si="28">(E62-D62)/D62</f>
        <v>-1.7485833799460174E-2</v>
      </c>
      <c r="I62" s="40" t="s">
        <v>187</v>
      </c>
      <c r="J62" s="40"/>
      <c r="K62" s="40">
        <v>12890</v>
      </c>
      <c r="L62" s="40">
        <f t="shared" si="13"/>
        <v>14.01167149999973</v>
      </c>
      <c r="O62" s="82">
        <v>1.02</v>
      </c>
      <c r="P62" s="82">
        <f t="shared" si="9"/>
        <v>13.137600000000001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9">C63*(E63-D63)</f>
        <v>-3645.600000000009</v>
      </c>
      <c r="G63" s="40">
        <f t="shared" ref="G63" si="30">D63*C63</f>
        <v>98685.6</v>
      </c>
      <c r="H63" s="230">
        <f t="shared" ref="H63" si="31">(E63-D63)/D63</f>
        <v>-3.6941559862837217E-2</v>
      </c>
      <c r="I63" s="40"/>
      <c r="J63" s="40"/>
      <c r="K63" s="40">
        <v>10970</v>
      </c>
      <c r="L63" s="40">
        <f t="shared" si="13"/>
        <v>14.01167149999973</v>
      </c>
      <c r="O63" s="82">
        <v>1.01</v>
      </c>
      <c r="P63" s="82">
        <f t="shared" si="9"/>
        <v>13.008800000000001</v>
      </c>
    </row>
    <row r="64" spans="1:16" x14ac:dyDescent="0.25">
      <c r="A64">
        <v>3700</v>
      </c>
      <c r="B64" s="155">
        <v>42808</v>
      </c>
      <c r="C64" s="443">
        <v>6000</v>
      </c>
      <c r="D64" s="673">
        <v>16.422999999999998</v>
      </c>
      <c r="E64" s="40">
        <v>15.32</v>
      </c>
      <c r="F64" s="40">
        <f t="shared" ref="F64" si="32">C64*(E64-D64)</f>
        <v>-6617.9999999999882</v>
      </c>
      <c r="G64" s="40">
        <f t="shared" ref="G64" si="33">D64*C64</f>
        <v>98537.999999999985</v>
      </c>
      <c r="H64" s="230">
        <f t="shared" ref="H64" si="34">(E64-D64)/D64</f>
        <v>-6.7161907081531885E-2</v>
      </c>
      <c r="I64" s="40">
        <v>16.25</v>
      </c>
      <c r="J64" s="40">
        <v>41.23</v>
      </c>
      <c r="K64" s="40">
        <v>8000</v>
      </c>
      <c r="L64" s="40">
        <f t="shared" si="13"/>
        <v>13.987071499999727</v>
      </c>
      <c r="O64" s="82">
        <v>1</v>
      </c>
      <c r="P64" s="82">
        <f t="shared" si="9"/>
        <v>12.88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5">C65*(E65-D65)</f>
        <v>-5177.9999999999864</v>
      </c>
      <c r="G65" s="40">
        <f t="shared" ref="G65" si="36">D65*C65</f>
        <v>98537.999999999985</v>
      </c>
      <c r="H65" s="230">
        <f t="shared" ref="H65" si="37">(E65-D65)/D65</f>
        <v>-5.254825549534177E-2</v>
      </c>
      <c r="I65" s="40">
        <v>16.25</v>
      </c>
      <c r="J65" s="40">
        <v>44</v>
      </c>
      <c r="K65" s="40">
        <v>9439</v>
      </c>
      <c r="L65" s="40">
        <f t="shared" si="13"/>
        <v>13.987071499999727</v>
      </c>
      <c r="O65" s="82">
        <v>0.99</v>
      </c>
      <c r="P65" s="82">
        <f t="shared" si="9"/>
        <v>12.751200000000001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8">C66*(E66-D66)</f>
        <v>-8316.1599999999908</v>
      </c>
      <c r="G66" s="40">
        <f t="shared" ref="G66" si="39">D66*C66</f>
        <v>104636.15999999999</v>
      </c>
      <c r="H66" s="230">
        <f t="shared" ref="H66" si="40">(E66-D66)/D66</f>
        <v>-7.9476922700527156E-2</v>
      </c>
      <c r="I66" s="40"/>
      <c r="J66" s="40"/>
      <c r="K66" s="40">
        <v>6300</v>
      </c>
      <c r="L66" s="40">
        <f t="shared" si="13"/>
        <v>14.065717031249743</v>
      </c>
      <c r="O66" s="82">
        <v>0.98</v>
      </c>
      <c r="P66" s="82">
        <f t="shared" si="9"/>
        <v>12.622400000000001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1">C67*(E67-D67)</f>
        <v>-11132.16</v>
      </c>
      <c r="G67" s="40">
        <f t="shared" ref="G67" si="42">D67*C67</f>
        <v>104636.15999999999</v>
      </c>
      <c r="H67" s="230">
        <f t="shared" ref="H67" si="43">(E67-D67)/D67</f>
        <v>-0.10638922529267128</v>
      </c>
      <c r="I67" s="40"/>
      <c r="J67" s="40"/>
      <c r="K67" s="40">
        <v>3484</v>
      </c>
      <c r="L67" s="40">
        <f t="shared" si="13"/>
        <v>14.065717031249743</v>
      </c>
      <c r="O67" s="82">
        <v>0.97</v>
      </c>
      <c r="P67" s="82">
        <f t="shared" si="9"/>
        <v>12.493600000000001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4">C68*(E68-D68)</f>
        <v>-10236.159999999996</v>
      </c>
      <c r="G68" s="40">
        <f t="shared" ref="G68" si="45">D68*C68</f>
        <v>104636.15999999999</v>
      </c>
      <c r="H68" s="230">
        <f t="shared" ref="H68" si="46">(E68-D68)/D68</f>
        <v>-9.78262199224436E-2</v>
      </c>
      <c r="I68" s="40"/>
      <c r="J68" s="40"/>
      <c r="K68" s="40">
        <v>4380</v>
      </c>
      <c r="L68" s="40">
        <f t="shared" si="13"/>
        <v>14.065717031249743</v>
      </c>
      <c r="O68" s="82">
        <v>0.96</v>
      </c>
      <c r="P68" s="82">
        <f t="shared" si="9"/>
        <v>12.364800000000001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7">C69*(E69-D69)</f>
        <v>-7164.1599999999926</v>
      </c>
      <c r="G69" s="40">
        <f t="shared" ref="G69:G70" si="48">D69*C69</f>
        <v>104636.15999999999</v>
      </c>
      <c r="H69" s="230">
        <f t="shared" ref="H69:H70" si="49">(E69-D69)/D69</f>
        <v>-6.8467344367377322E-2</v>
      </c>
      <c r="I69" s="40"/>
      <c r="J69" s="40"/>
      <c r="K69" s="40">
        <v>7452</v>
      </c>
      <c r="L69" s="40">
        <f t="shared" si="13"/>
        <v>14.065717031249743</v>
      </c>
      <c r="O69" s="82">
        <v>0.95</v>
      </c>
      <c r="P69" s="82">
        <f t="shared" si="9"/>
        <v>12.236000000000001</v>
      </c>
    </row>
    <row r="70" spans="1:16" x14ac:dyDescent="0.25">
      <c r="A70">
        <v>3900</v>
      </c>
      <c r="B70" s="155">
        <v>42823</v>
      </c>
      <c r="C70" s="443">
        <v>6000</v>
      </c>
      <c r="D70" s="673">
        <v>16.407399999999999</v>
      </c>
      <c r="E70" s="40">
        <v>15.48</v>
      </c>
      <c r="F70" s="40">
        <f t="shared" si="47"/>
        <v>-5564.3999999999924</v>
      </c>
      <c r="G70" s="40">
        <f t="shared" si="48"/>
        <v>98444.4</v>
      </c>
      <c r="H70" s="230">
        <f t="shared" si="49"/>
        <v>-5.6523276082743074E-2</v>
      </c>
      <c r="I70" s="40">
        <v>16.25</v>
      </c>
      <c r="J70" s="40"/>
      <c r="K70" s="40">
        <v>9051</v>
      </c>
      <c r="L70" s="40">
        <f t="shared" si="13"/>
        <v>13.971471499999728</v>
      </c>
      <c r="O70" s="82">
        <v>0.94</v>
      </c>
      <c r="P70" s="82">
        <f t="shared" si="9"/>
        <v>12.107200000000001</v>
      </c>
    </row>
    <row r="71" spans="1:16" x14ac:dyDescent="0.25">
      <c r="A71">
        <v>4100</v>
      </c>
      <c r="B71" s="155">
        <v>42830</v>
      </c>
      <c r="C71" s="443">
        <v>6000</v>
      </c>
      <c r="D71" s="673">
        <v>16.388999999999999</v>
      </c>
      <c r="E71" s="40">
        <v>15.98</v>
      </c>
      <c r="F71" s="40">
        <f t="shared" ref="F71:F83" si="50">C71*(E71-D71)</f>
        <v>-2453.9999999999936</v>
      </c>
      <c r="G71" s="40">
        <f t="shared" ref="G71:G83" si="51">D71*C71</f>
        <v>98334</v>
      </c>
      <c r="H71" s="230">
        <f t="shared" ref="H71:H83" si="52">(E71-D71)/D71</f>
        <v>-2.4955763011776128E-2</v>
      </c>
      <c r="I71" s="40">
        <v>16.25</v>
      </c>
      <c r="J71" s="40"/>
      <c r="K71" s="40">
        <v>12159</v>
      </c>
      <c r="L71" s="40">
        <f t="shared" si="13"/>
        <v>13.953071499999728</v>
      </c>
      <c r="O71" s="82">
        <v>0.93</v>
      </c>
      <c r="P71" s="82">
        <f t="shared" si="9"/>
        <v>11.978400000000001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50"/>
        <v>-2944.9999999999977</v>
      </c>
      <c r="G72" s="40">
        <f t="shared" si="51"/>
        <v>101525</v>
      </c>
      <c r="H72" s="229">
        <f t="shared" si="52"/>
        <v>-2.9007633587786238E-2</v>
      </c>
      <c r="I72" s="40"/>
      <c r="J72" s="40"/>
      <c r="K72" s="40">
        <v>11731</v>
      </c>
      <c r="L72" s="40">
        <f t="shared" si="13"/>
        <v>14.017649838709415</v>
      </c>
      <c r="O72" s="82">
        <v>0.92</v>
      </c>
      <c r="P72" s="82">
        <f t="shared" si="9"/>
        <v>11.849600000000001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50"/>
        <v>-8160.0000000000018</v>
      </c>
      <c r="G73" s="40">
        <f t="shared" si="51"/>
        <v>104544</v>
      </c>
      <c r="H73" s="229">
        <f t="shared" si="52"/>
        <v>-7.805325987144171E-2</v>
      </c>
      <c r="I73" s="40"/>
      <c r="J73" s="40"/>
      <c r="K73" s="40">
        <v>6457</v>
      </c>
      <c r="L73" s="40">
        <f t="shared" si="13"/>
        <v>14.051317031249745</v>
      </c>
      <c r="O73" s="82">
        <v>0.91</v>
      </c>
      <c r="P73" s="82">
        <f t="shared" si="9"/>
        <v>11.720800000000001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50"/>
        <v>-9370.8799999999992</v>
      </c>
      <c r="G74" s="40">
        <f t="shared" si="51"/>
        <v>104538.87999999999</v>
      </c>
      <c r="H74" s="229">
        <f t="shared" si="52"/>
        <v>-8.9640141543509938E-2</v>
      </c>
      <c r="I74" s="40"/>
      <c r="J74" s="40"/>
      <c r="K74" s="40">
        <v>5245</v>
      </c>
      <c r="L74" s="40">
        <f t="shared" si="13"/>
        <v>14.050517031249745</v>
      </c>
      <c r="O74" s="82">
        <v>0.9</v>
      </c>
      <c r="P74" s="82">
        <f t="shared" si="9"/>
        <v>11.592000000000001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50"/>
        <v>-12971.199999999999</v>
      </c>
      <c r="G75" s="40">
        <f t="shared" si="51"/>
        <v>108714.2</v>
      </c>
      <c r="H75" s="229">
        <f t="shared" si="52"/>
        <v>-0.11931468014298041</v>
      </c>
      <c r="I75" s="40"/>
      <c r="J75" s="40"/>
      <c r="K75" s="40">
        <v>1644</v>
      </c>
      <c r="L75" s="40">
        <f t="shared" si="13"/>
        <v>14.04457149253707</v>
      </c>
      <c r="O75" s="82">
        <v>0.89</v>
      </c>
      <c r="P75" s="82">
        <f>O75*$Q$4</f>
        <v>11.463200000000001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50"/>
        <v>-12971.199999999999</v>
      </c>
      <c r="G76" s="40">
        <f t="shared" si="51"/>
        <v>108714.2</v>
      </c>
      <c r="H76" s="229">
        <f t="shared" si="52"/>
        <v>-0.11931468014298041</v>
      </c>
      <c r="I76" s="40"/>
      <c r="J76" s="40"/>
      <c r="K76" s="40">
        <v>1644</v>
      </c>
      <c r="L76" s="40">
        <f t="shared" si="13"/>
        <v>14.04457149253707</v>
      </c>
      <c r="O76" s="82">
        <v>0.88</v>
      </c>
      <c r="P76" s="82">
        <f>O76*$Q$4</f>
        <v>11.3344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50"/>
        <v>-11059.20000000001</v>
      </c>
      <c r="G77" s="40">
        <f t="shared" si="51"/>
        <v>104435.20000000001</v>
      </c>
      <c r="H77" s="229">
        <f t="shared" si="52"/>
        <v>-0.1058953303100871</v>
      </c>
      <c r="I77" s="40"/>
      <c r="J77" s="40"/>
      <c r="K77" s="40">
        <v>3559</v>
      </c>
      <c r="L77" s="40">
        <f t="shared" si="13"/>
        <v>14.034317031249747</v>
      </c>
      <c r="O77" s="82">
        <v>0.87</v>
      </c>
      <c r="P77" s="82">
        <f>O77*$Q$4</f>
        <v>11.2056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50"/>
        <v>-11763.200000000006</v>
      </c>
      <c r="G78" s="40">
        <f t="shared" si="51"/>
        <v>104435.20000000001</v>
      </c>
      <c r="H78" s="229">
        <f t="shared" si="52"/>
        <v>-0.11263635249417826</v>
      </c>
      <c r="I78" s="40"/>
      <c r="J78" s="40"/>
      <c r="K78" s="40">
        <v>2855</v>
      </c>
      <c r="L78" s="40">
        <f t="shared" si="13"/>
        <v>14.034317031249747</v>
      </c>
      <c r="O78" s="82">
        <v>0.86</v>
      </c>
      <c r="P78" s="82">
        <f>O78*$Q$4</f>
        <v>11.0768</v>
      </c>
    </row>
    <row r="79" spans="1:16" x14ac:dyDescent="0.25">
      <c r="A79">
        <v>5900</v>
      </c>
      <c r="B79" s="155">
        <v>42872</v>
      </c>
      <c r="C79" s="10">
        <v>6531</v>
      </c>
      <c r="D79" s="240">
        <v>16.274999999999999</v>
      </c>
      <c r="E79" s="40">
        <v>14.35</v>
      </c>
      <c r="F79" s="40">
        <f t="shared" si="50"/>
        <v>-12572.174999999994</v>
      </c>
      <c r="G79" s="40">
        <f t="shared" si="51"/>
        <v>106292.02499999999</v>
      </c>
      <c r="H79" s="229">
        <f t="shared" si="52"/>
        <v>-0.11827956989247307</v>
      </c>
      <c r="I79" s="40"/>
      <c r="J79" s="40"/>
      <c r="K79" s="40">
        <v>2044</v>
      </c>
      <c r="L79" s="40">
        <f t="shared" si="13"/>
        <v>14.037123564538106</v>
      </c>
      <c r="O79" s="82">
        <v>0.85</v>
      </c>
      <c r="P79" s="82">
        <f>O79*$Q$4</f>
        <v>10.948</v>
      </c>
    </row>
    <row r="80" spans="1:16" x14ac:dyDescent="0.25">
      <c r="B80" s="155">
        <v>42873</v>
      </c>
      <c r="C80" s="10">
        <v>6400</v>
      </c>
      <c r="D80" s="240">
        <v>16.306000000000001</v>
      </c>
      <c r="E80" s="40">
        <v>14.35</v>
      </c>
      <c r="F80" s="40">
        <f t="shared" si="50"/>
        <v>-12518.400000000009</v>
      </c>
      <c r="G80" s="40">
        <f t="shared" si="51"/>
        <v>104358.40000000001</v>
      </c>
      <c r="H80" s="229">
        <f t="shared" si="52"/>
        <v>-0.11995584447442667</v>
      </c>
      <c r="I80" s="40"/>
      <c r="J80" s="40"/>
      <c r="K80" s="40">
        <v>2098</v>
      </c>
      <c r="L80" s="40">
        <f t="shared" si="13"/>
        <v>14.022317031249747</v>
      </c>
    </row>
    <row r="81" spans="1:12" x14ac:dyDescent="0.25">
      <c r="A81">
        <v>5600</v>
      </c>
      <c r="B81" s="155">
        <v>42873</v>
      </c>
      <c r="C81" s="10">
        <v>6700</v>
      </c>
      <c r="D81" s="240">
        <v>16.21</v>
      </c>
      <c r="E81" s="40">
        <v>14.16</v>
      </c>
      <c r="F81" s="40">
        <f t="shared" si="50"/>
        <v>-13735.000000000005</v>
      </c>
      <c r="G81" s="40">
        <f t="shared" si="51"/>
        <v>108607</v>
      </c>
      <c r="H81" s="229">
        <f t="shared" si="52"/>
        <v>-0.1264651449722394</v>
      </c>
      <c r="I81" s="40"/>
      <c r="J81" s="40"/>
      <c r="K81" s="40">
        <v>1016</v>
      </c>
      <c r="L81" s="40">
        <f t="shared" si="13"/>
        <v>14.02857149253707</v>
      </c>
    </row>
    <row r="82" spans="1:12" x14ac:dyDescent="0.25">
      <c r="A82">
        <v>5300</v>
      </c>
      <c r="B82" s="155">
        <v>42874</v>
      </c>
      <c r="C82" s="10">
        <v>6400</v>
      </c>
      <c r="D82" s="240">
        <v>16.286000000000001</v>
      </c>
      <c r="E82" s="40">
        <v>14.58</v>
      </c>
      <c r="F82" s="40">
        <f t="shared" si="50"/>
        <v>-10918.400000000009</v>
      </c>
      <c r="G82" s="40">
        <f t="shared" si="51"/>
        <v>104230.40000000001</v>
      </c>
      <c r="H82" s="229">
        <f t="shared" si="52"/>
        <v>-0.10475254820090883</v>
      </c>
      <c r="I82" s="40"/>
      <c r="J82" s="40"/>
      <c r="K82" s="40">
        <v>3664</v>
      </c>
      <c r="L82" s="40">
        <f>(G82-$Q$10)/C82</f>
        <v>14.002317031249747</v>
      </c>
    </row>
    <row r="83" spans="1:12" x14ac:dyDescent="0.25">
      <c r="B83" s="155">
        <v>42880</v>
      </c>
      <c r="C83" s="10">
        <v>7000</v>
      </c>
      <c r="D83" s="240">
        <v>16.05</v>
      </c>
      <c r="E83" s="40">
        <v>13.5</v>
      </c>
      <c r="F83" s="40">
        <f t="shared" si="50"/>
        <v>-17850.000000000004</v>
      </c>
      <c r="G83" s="40">
        <f t="shared" si="51"/>
        <v>112350</v>
      </c>
      <c r="H83" s="229">
        <f t="shared" si="52"/>
        <v>-0.15887850467289724</v>
      </c>
      <c r="I83" s="40"/>
      <c r="J83" s="40"/>
      <c r="K83" s="40">
        <v>-3227</v>
      </c>
      <c r="L83" s="40">
        <f>(G83-$Q$10)/C83</f>
        <v>13.962061285714054</v>
      </c>
    </row>
    <row r="84" spans="1:12" x14ac:dyDescent="0.25">
      <c r="B84" s="155"/>
      <c r="C84" s="10"/>
      <c r="D84" s="240"/>
      <c r="E84" s="40"/>
      <c r="F84" s="40"/>
      <c r="G84" s="40"/>
      <c r="H84" s="229"/>
      <c r="I84" s="40"/>
      <c r="J84" s="40"/>
      <c r="K84" s="40"/>
      <c r="L84" s="40"/>
    </row>
    <row r="85" spans="1:12" x14ac:dyDescent="0.25">
      <c r="B85" s="155"/>
      <c r="C85" s="10"/>
      <c r="D85" s="240"/>
      <c r="E85" s="40"/>
      <c r="F85" s="40"/>
      <c r="G85" s="40"/>
      <c r="H85" s="229"/>
      <c r="I85" s="40"/>
      <c r="J85" s="40"/>
      <c r="K85" s="40"/>
      <c r="L85" s="40"/>
    </row>
    <row r="86" spans="1:12" x14ac:dyDescent="0.25">
      <c r="B86" s="155"/>
      <c r="C86" s="10"/>
      <c r="D86" s="240"/>
      <c r="E86" s="40"/>
      <c r="F86" s="40"/>
      <c r="G86" s="40"/>
      <c r="H86" s="229"/>
      <c r="I86" s="40"/>
      <c r="J86" s="40"/>
      <c r="K86" s="40"/>
      <c r="L86" s="40"/>
    </row>
    <row r="89" spans="1:12" x14ac:dyDescent="0.25">
      <c r="B89" s="648" t="s">
        <v>113</v>
      </c>
      <c r="C89" s="510" t="s">
        <v>146</v>
      </c>
      <c r="D89" s="649" t="s">
        <v>145</v>
      </c>
      <c r="E89" s="512" t="s">
        <v>147</v>
      </c>
      <c r="F89" s="513" t="s">
        <v>65</v>
      </c>
      <c r="G89" s="514" t="s">
        <v>151</v>
      </c>
      <c r="H89" s="513" t="s">
        <v>88</v>
      </c>
      <c r="I89" s="514" t="s">
        <v>154</v>
      </c>
    </row>
    <row r="90" spans="1:12" x14ac:dyDescent="0.25">
      <c r="B90" s="650">
        <v>42305</v>
      </c>
      <c r="C90" s="377">
        <v>2000</v>
      </c>
      <c r="D90" s="651">
        <v>34.06</v>
      </c>
      <c r="E90" s="378">
        <v>17.68</v>
      </c>
      <c r="F90" s="378">
        <v>-32767.45</v>
      </c>
      <c r="G90" s="378">
        <f t="shared" ref="G90:G96" si="53">IF(C90=0, 0,D90*C90)</f>
        <v>68120</v>
      </c>
      <c r="H90" s="380">
        <f t="shared" ref="H90:H96" si="54">IF(C90=0, D90, (E90-D90)/D90)</f>
        <v>-0.48091603053435117</v>
      </c>
      <c r="I90" s="378"/>
    </row>
    <row r="91" spans="1:12" x14ac:dyDescent="0.25">
      <c r="B91" s="650">
        <v>42307</v>
      </c>
      <c r="C91" s="377">
        <v>0</v>
      </c>
      <c r="D91" s="651" t="s">
        <v>128</v>
      </c>
      <c r="E91" s="378">
        <v>17.55</v>
      </c>
      <c r="F91" s="378">
        <v>-30722.2</v>
      </c>
      <c r="G91" s="378">
        <f t="shared" si="53"/>
        <v>0</v>
      </c>
      <c r="H91" s="380" t="str">
        <f t="shared" si="54"/>
        <v>N/A</v>
      </c>
      <c r="I91" s="378"/>
    </row>
    <row r="92" spans="1:12" x14ac:dyDescent="0.25">
      <c r="B92" s="650">
        <v>42310</v>
      </c>
      <c r="C92" s="377">
        <v>0</v>
      </c>
      <c r="D92" s="651" t="s">
        <v>128</v>
      </c>
      <c r="E92" s="378">
        <v>19.010000000000002</v>
      </c>
      <c r="F92" s="378">
        <v>-30693.25</v>
      </c>
      <c r="G92" s="378">
        <f t="shared" si="53"/>
        <v>0</v>
      </c>
      <c r="H92" s="380" t="str">
        <f t="shared" si="54"/>
        <v>N/A</v>
      </c>
      <c r="I92" s="378"/>
    </row>
    <row r="93" spans="1:12" x14ac:dyDescent="0.25">
      <c r="B93" s="650">
        <v>42314</v>
      </c>
      <c r="C93" s="377">
        <v>2500</v>
      </c>
      <c r="D93" s="651">
        <v>30.24</v>
      </c>
      <c r="E93" s="378">
        <v>18.29</v>
      </c>
      <c r="F93" s="378">
        <v>-29878.25</v>
      </c>
      <c r="G93" s="378">
        <f t="shared" si="53"/>
        <v>75600</v>
      </c>
      <c r="H93" s="380">
        <f t="shared" si="54"/>
        <v>-0.39517195767195767</v>
      </c>
      <c r="I93" s="378"/>
    </row>
    <row r="94" spans="1:12" x14ac:dyDescent="0.25">
      <c r="B94" s="650">
        <v>42318</v>
      </c>
      <c r="C94" s="377">
        <v>0</v>
      </c>
      <c r="D94" s="651" t="s">
        <v>128</v>
      </c>
      <c r="E94" s="378">
        <v>18.78</v>
      </c>
      <c r="F94" s="378">
        <v>-28604.09</v>
      </c>
      <c r="G94" s="378">
        <f t="shared" si="53"/>
        <v>0</v>
      </c>
      <c r="H94" s="380" t="str">
        <f t="shared" si="54"/>
        <v>N/A</v>
      </c>
      <c r="I94" s="378"/>
    </row>
    <row r="95" spans="1:12" x14ac:dyDescent="0.25">
      <c r="B95" s="650">
        <v>42328</v>
      </c>
      <c r="C95" s="377">
        <v>3078</v>
      </c>
      <c r="D95" s="651">
        <v>26.76</v>
      </c>
      <c r="E95" s="378">
        <v>17.440000000000001</v>
      </c>
      <c r="F95" s="378">
        <v>-28696.448999999906</v>
      </c>
      <c r="G95" s="378">
        <f t="shared" si="53"/>
        <v>82367.28</v>
      </c>
      <c r="H95" s="380">
        <f t="shared" si="54"/>
        <v>-0.34828101644245141</v>
      </c>
      <c r="I95" s="378"/>
    </row>
    <row r="96" spans="1:12" x14ac:dyDescent="0.25">
      <c r="B96" s="650">
        <v>42331</v>
      </c>
      <c r="C96" s="377">
        <v>0</v>
      </c>
      <c r="D96" s="651" t="s">
        <v>128</v>
      </c>
      <c r="E96" s="378">
        <v>17.53</v>
      </c>
      <c r="F96" s="378">
        <v>-28051.068999999901</v>
      </c>
      <c r="G96" s="378">
        <f t="shared" si="53"/>
        <v>0</v>
      </c>
      <c r="H96" s="380" t="str">
        <f t="shared" si="54"/>
        <v>N/A</v>
      </c>
      <c r="I96" s="378"/>
    </row>
    <row r="97" spans="2:9" x14ac:dyDescent="0.25">
      <c r="B97" s="650">
        <v>42335</v>
      </c>
      <c r="C97" s="377">
        <v>3078</v>
      </c>
      <c r="D97" s="651">
        <v>26.85</v>
      </c>
      <c r="E97" s="378">
        <v>17.73</v>
      </c>
      <c r="F97" s="378">
        <f>C97*(E97-D97)</f>
        <v>-28071.360000000004</v>
      </c>
      <c r="G97" s="378">
        <f>D97*C97</f>
        <v>82644.3</v>
      </c>
      <c r="H97" s="379">
        <f>(E97-D97)/D97</f>
        <v>-0.33966480446927377</v>
      </c>
      <c r="I97" s="378"/>
    </row>
    <row r="98" spans="2:9" x14ac:dyDescent="0.25">
      <c r="B98" s="650">
        <v>42335</v>
      </c>
      <c r="C98" s="377">
        <v>3578</v>
      </c>
      <c r="D98" s="651">
        <v>25.55</v>
      </c>
      <c r="E98" s="378">
        <v>17.440000000000001</v>
      </c>
      <c r="F98" s="378">
        <f t="shared" ref="F98:F129" si="55">C98*(E98-D98)</f>
        <v>-29017.579999999998</v>
      </c>
      <c r="G98" s="378">
        <f t="shared" ref="G98:G127" si="56">D98*C98</f>
        <v>91417.900000000009</v>
      </c>
      <c r="H98" s="379">
        <f t="shared" ref="H98:H127" si="57">(E98-D98)/D98</f>
        <v>-0.31741682974559682</v>
      </c>
      <c r="I98" s="378"/>
    </row>
    <row r="99" spans="2:9" x14ac:dyDescent="0.25">
      <c r="B99" s="650">
        <v>42340</v>
      </c>
      <c r="C99" s="377">
        <v>4178</v>
      </c>
      <c r="D99" s="651">
        <v>24.29</v>
      </c>
      <c r="E99" s="378">
        <v>16.670000000000002</v>
      </c>
      <c r="F99" s="378">
        <f t="shared" si="55"/>
        <v>-31836.35999999999</v>
      </c>
      <c r="G99" s="378">
        <f t="shared" si="56"/>
        <v>101483.62</v>
      </c>
      <c r="H99" s="379">
        <f t="shared" si="57"/>
        <v>-0.31370934540963352</v>
      </c>
      <c r="I99" s="378"/>
    </row>
    <row r="100" spans="2:9" x14ac:dyDescent="0.25">
      <c r="B100" s="650">
        <v>42342</v>
      </c>
      <c r="C100" s="377">
        <v>4678</v>
      </c>
      <c r="D100" s="651">
        <v>23.39</v>
      </c>
      <c r="E100" s="378">
        <v>16.12</v>
      </c>
      <c r="F100" s="378">
        <f t="shared" si="55"/>
        <v>-34009.06</v>
      </c>
      <c r="G100" s="378">
        <f t="shared" si="56"/>
        <v>109418.42</v>
      </c>
      <c r="H100" s="379">
        <f t="shared" si="57"/>
        <v>-0.31081658828559211</v>
      </c>
      <c r="I100" s="378"/>
    </row>
    <row r="101" spans="2:9" x14ac:dyDescent="0.25">
      <c r="B101" s="650">
        <v>42342</v>
      </c>
      <c r="C101" s="377">
        <v>4178</v>
      </c>
      <c r="D101" s="651">
        <v>24.26</v>
      </c>
      <c r="E101" s="378">
        <v>16.12</v>
      </c>
      <c r="F101" s="378">
        <f t="shared" si="55"/>
        <v>-34008.920000000006</v>
      </c>
      <c r="G101" s="378">
        <f t="shared" si="56"/>
        <v>101358.28000000001</v>
      </c>
      <c r="H101" s="379">
        <f t="shared" si="57"/>
        <v>-0.33553173948887055</v>
      </c>
      <c r="I101" s="378"/>
    </row>
    <row r="102" spans="2:9" x14ac:dyDescent="0.25">
      <c r="B102" s="650">
        <v>42345</v>
      </c>
      <c r="C102" s="377">
        <v>4678</v>
      </c>
      <c r="D102" s="651">
        <v>23.24</v>
      </c>
      <c r="E102" s="378">
        <v>14.78</v>
      </c>
      <c r="F102" s="378">
        <f t="shared" si="55"/>
        <v>-39575.879999999997</v>
      </c>
      <c r="G102" s="378">
        <f t="shared" si="56"/>
        <v>108716.71999999999</v>
      </c>
      <c r="H102" s="379">
        <f t="shared" si="57"/>
        <v>-0.36402753872633387</v>
      </c>
      <c r="I102" s="378"/>
    </row>
    <row r="103" spans="2:9" x14ac:dyDescent="0.25">
      <c r="B103" s="650">
        <v>42347</v>
      </c>
      <c r="C103" s="377">
        <v>4778</v>
      </c>
      <c r="D103" s="651">
        <v>23.06</v>
      </c>
      <c r="E103" s="378">
        <v>14.92</v>
      </c>
      <c r="F103" s="378">
        <f t="shared" si="55"/>
        <v>-38892.919999999991</v>
      </c>
      <c r="G103" s="378">
        <f t="shared" si="56"/>
        <v>110180.68</v>
      </c>
      <c r="H103" s="379">
        <f t="shared" si="57"/>
        <v>-0.3529921942758022</v>
      </c>
      <c r="I103" s="378"/>
    </row>
    <row r="104" spans="2:9" x14ac:dyDescent="0.25">
      <c r="B104" s="650">
        <v>42348</v>
      </c>
      <c r="C104" s="377">
        <v>4178</v>
      </c>
      <c r="D104" s="651">
        <v>24.23</v>
      </c>
      <c r="E104" s="378">
        <v>14.74</v>
      </c>
      <c r="F104" s="378">
        <f t="shared" si="55"/>
        <v>-39649.22</v>
      </c>
      <c r="G104" s="378">
        <f t="shared" si="56"/>
        <v>101232.94</v>
      </c>
      <c r="H104" s="379">
        <f t="shared" si="57"/>
        <v>-0.39166322740404458</v>
      </c>
      <c r="I104" s="378"/>
    </row>
    <row r="105" spans="2:9" x14ac:dyDescent="0.25">
      <c r="B105" s="650">
        <v>42349</v>
      </c>
      <c r="C105" s="377">
        <v>3678</v>
      </c>
      <c r="D105" s="651">
        <v>25.57</v>
      </c>
      <c r="E105" s="378">
        <v>14.34</v>
      </c>
      <c r="F105" s="378">
        <f t="shared" si="55"/>
        <v>-41303.94</v>
      </c>
      <c r="G105" s="378">
        <f t="shared" si="56"/>
        <v>94046.46</v>
      </c>
      <c r="H105" s="379">
        <f t="shared" si="57"/>
        <v>-0.43918654673445445</v>
      </c>
      <c r="I105" s="378"/>
    </row>
    <row r="106" spans="2:9" x14ac:dyDescent="0.25">
      <c r="B106" s="650">
        <v>42352</v>
      </c>
      <c r="C106" s="377">
        <v>4178</v>
      </c>
      <c r="D106" s="651">
        <v>24.18</v>
      </c>
      <c r="E106" s="378">
        <v>13.96</v>
      </c>
      <c r="F106" s="378">
        <f t="shared" si="55"/>
        <v>-42699.159999999996</v>
      </c>
      <c r="G106" s="378">
        <f t="shared" si="56"/>
        <v>101024.04</v>
      </c>
      <c r="H106" s="379">
        <f t="shared" si="57"/>
        <v>-0.42266335814722905</v>
      </c>
      <c r="I106" s="378"/>
    </row>
    <row r="107" spans="2:9" x14ac:dyDescent="0.25">
      <c r="B107" s="650">
        <v>42355</v>
      </c>
      <c r="C107" s="377">
        <v>4678</v>
      </c>
      <c r="D107" s="651">
        <v>22.98</v>
      </c>
      <c r="E107" s="378">
        <v>12.78</v>
      </c>
      <c r="F107" s="378">
        <f t="shared" si="55"/>
        <v>-47715.600000000006</v>
      </c>
      <c r="G107" s="378">
        <f t="shared" si="56"/>
        <v>107500.44</v>
      </c>
      <c r="H107" s="379">
        <f t="shared" si="57"/>
        <v>-0.44386422976501311</v>
      </c>
      <c r="I107" s="378"/>
    </row>
    <row r="108" spans="2:9" x14ac:dyDescent="0.25">
      <c r="B108" s="650">
        <v>42356</v>
      </c>
      <c r="C108" s="377">
        <v>5178</v>
      </c>
      <c r="D108" s="651">
        <v>21.99</v>
      </c>
      <c r="E108" s="378">
        <v>12.95</v>
      </c>
      <c r="F108" s="378">
        <f t="shared" si="55"/>
        <v>-46809.119999999995</v>
      </c>
      <c r="G108" s="378">
        <f t="shared" si="56"/>
        <v>113864.21999999999</v>
      </c>
      <c r="H108" s="379">
        <f t="shared" si="57"/>
        <v>-0.41109595270577537</v>
      </c>
      <c r="I108" s="378"/>
    </row>
    <row r="109" spans="2:9" x14ac:dyDescent="0.25">
      <c r="B109" s="650">
        <v>42356</v>
      </c>
      <c r="C109" s="377">
        <v>6178</v>
      </c>
      <c r="D109" s="651">
        <v>20.48</v>
      </c>
      <c r="E109" s="378">
        <v>12.76</v>
      </c>
      <c r="F109" s="378">
        <f t="shared" si="55"/>
        <v>-47694.16</v>
      </c>
      <c r="G109" s="378">
        <f t="shared" si="56"/>
        <v>126525.44</v>
      </c>
      <c r="H109" s="379">
        <f t="shared" si="57"/>
        <v>-0.376953125</v>
      </c>
      <c r="I109" s="378"/>
    </row>
    <row r="110" spans="2:9" x14ac:dyDescent="0.25">
      <c r="B110" s="650">
        <v>42356</v>
      </c>
      <c r="C110" s="377">
        <v>6400</v>
      </c>
      <c r="D110" s="651">
        <v>20.2</v>
      </c>
      <c r="E110" s="378">
        <v>12.68</v>
      </c>
      <c r="F110" s="378">
        <f t="shared" si="55"/>
        <v>-48128</v>
      </c>
      <c r="G110" s="378">
        <f t="shared" si="56"/>
        <v>129280</v>
      </c>
      <c r="H110" s="379">
        <f t="shared" si="57"/>
        <v>-0.37227722772277227</v>
      </c>
      <c r="I110" s="378"/>
    </row>
    <row r="111" spans="2:9" x14ac:dyDescent="0.25">
      <c r="B111" s="650">
        <v>42359</v>
      </c>
      <c r="C111" s="377">
        <v>5178</v>
      </c>
      <c r="D111" s="651">
        <v>21.96</v>
      </c>
      <c r="E111" s="378">
        <v>12.66</v>
      </c>
      <c r="F111" s="378">
        <f t="shared" si="55"/>
        <v>-48155.4</v>
      </c>
      <c r="G111" s="378">
        <f t="shared" si="56"/>
        <v>113708.88</v>
      </c>
      <c r="H111" s="379">
        <f t="shared" si="57"/>
        <v>-0.42349726775956287</v>
      </c>
      <c r="I111" s="378"/>
    </row>
    <row r="112" spans="2:9" x14ac:dyDescent="0.25">
      <c r="B112" s="650">
        <v>42361</v>
      </c>
      <c r="C112" s="377">
        <v>4178</v>
      </c>
      <c r="D112" s="651">
        <v>24.07</v>
      </c>
      <c r="E112" s="378">
        <v>13.96</v>
      </c>
      <c r="F112" s="378">
        <f t="shared" si="55"/>
        <v>-42239.579999999994</v>
      </c>
      <c r="G112" s="378">
        <f t="shared" si="56"/>
        <v>100564.46</v>
      </c>
      <c r="H112" s="379">
        <f t="shared" si="57"/>
        <v>-0.42002492729538843</v>
      </c>
      <c r="I112" s="378"/>
    </row>
    <row r="113" spans="2:9" x14ac:dyDescent="0.25">
      <c r="B113" s="650">
        <v>42361</v>
      </c>
      <c r="C113" s="377">
        <v>4178</v>
      </c>
      <c r="D113" s="651">
        <v>24.03</v>
      </c>
      <c r="E113" s="378">
        <v>13.96</v>
      </c>
      <c r="F113" s="378">
        <f t="shared" si="55"/>
        <v>-42072.46</v>
      </c>
      <c r="G113" s="378">
        <f t="shared" si="56"/>
        <v>100397.34000000001</v>
      </c>
      <c r="H113" s="379">
        <f t="shared" si="57"/>
        <v>-0.41905950894714938</v>
      </c>
      <c r="I113" s="378"/>
    </row>
    <row r="114" spans="2:9" x14ac:dyDescent="0.25">
      <c r="B114" s="650">
        <v>42366</v>
      </c>
      <c r="C114" s="398">
        <v>6678</v>
      </c>
      <c r="D114" s="652">
        <v>19.91</v>
      </c>
      <c r="E114" s="378">
        <v>13.09</v>
      </c>
      <c r="F114" s="378">
        <f t="shared" si="55"/>
        <v>-45543.96</v>
      </c>
      <c r="G114" s="378">
        <f t="shared" si="56"/>
        <v>132958.98000000001</v>
      </c>
      <c r="H114" s="379">
        <f t="shared" si="57"/>
        <v>-0.34254143646408841</v>
      </c>
      <c r="I114" s="378"/>
    </row>
    <row r="115" spans="2:9" x14ac:dyDescent="0.25">
      <c r="B115" s="650">
        <v>42367</v>
      </c>
      <c r="C115" s="398">
        <v>8678</v>
      </c>
      <c r="D115" s="652">
        <v>18.32</v>
      </c>
      <c r="E115" s="378">
        <v>13.03</v>
      </c>
      <c r="F115" s="378">
        <f t="shared" si="55"/>
        <v>-45906.62000000001</v>
      </c>
      <c r="G115" s="378">
        <f t="shared" si="56"/>
        <v>158980.96</v>
      </c>
      <c r="H115" s="379">
        <f t="shared" si="57"/>
        <v>-0.28875545851528389</v>
      </c>
      <c r="I115" s="378"/>
    </row>
    <row r="116" spans="2:9" x14ac:dyDescent="0.25">
      <c r="B116" s="650">
        <v>42368</v>
      </c>
      <c r="C116" s="377">
        <v>9678</v>
      </c>
      <c r="D116" s="651">
        <v>17.73</v>
      </c>
      <c r="E116" s="378">
        <v>12.38</v>
      </c>
      <c r="F116" s="378">
        <f t="shared" si="55"/>
        <v>-51777.299999999996</v>
      </c>
      <c r="G116" s="378">
        <f t="shared" si="56"/>
        <v>171590.94</v>
      </c>
      <c r="H116" s="380">
        <f t="shared" si="57"/>
        <v>-0.30174844895657077</v>
      </c>
      <c r="I116" s="378"/>
    </row>
    <row r="117" spans="2:9" x14ac:dyDescent="0.25">
      <c r="B117" s="650">
        <v>42369</v>
      </c>
      <c r="C117" s="377">
        <v>8678</v>
      </c>
      <c r="D117" s="651">
        <v>18.312999999999999</v>
      </c>
      <c r="E117" s="378">
        <v>12.59</v>
      </c>
      <c r="F117" s="378">
        <f t="shared" si="55"/>
        <v>-49664.193999999989</v>
      </c>
      <c r="G117" s="378">
        <f t="shared" si="56"/>
        <v>158920.21399999998</v>
      </c>
      <c r="H117" s="380">
        <f t="shared" si="57"/>
        <v>-0.3125102386282968</v>
      </c>
      <c r="I117" s="378"/>
    </row>
    <row r="118" spans="2:9" x14ac:dyDescent="0.25">
      <c r="B118" s="650">
        <v>42374</v>
      </c>
      <c r="C118" s="377">
        <v>7678</v>
      </c>
      <c r="D118" s="651">
        <v>19.010000000000002</v>
      </c>
      <c r="E118" s="378">
        <v>12.76</v>
      </c>
      <c r="F118" s="378">
        <f t="shared" si="55"/>
        <v>-47987.500000000015</v>
      </c>
      <c r="G118" s="378">
        <f t="shared" si="56"/>
        <v>145958.78</v>
      </c>
      <c r="H118" s="380">
        <f t="shared" si="57"/>
        <v>-0.32877432930036832</v>
      </c>
      <c r="I118" s="378"/>
    </row>
    <row r="119" spans="2:9" x14ac:dyDescent="0.25">
      <c r="B119" s="650">
        <v>42375</v>
      </c>
      <c r="C119" s="377">
        <v>8678</v>
      </c>
      <c r="D119" s="651">
        <v>18.257000000000001</v>
      </c>
      <c r="E119" s="378">
        <v>12.76</v>
      </c>
      <c r="F119" s="378">
        <f t="shared" si="55"/>
        <v>-47702.966000000015</v>
      </c>
      <c r="G119" s="378">
        <f t="shared" si="56"/>
        <v>158434.24600000001</v>
      </c>
      <c r="H119" s="380">
        <f t="shared" si="57"/>
        <v>-0.30108999287944355</v>
      </c>
      <c r="I119" s="378"/>
    </row>
    <row r="120" spans="2:9" x14ac:dyDescent="0.25">
      <c r="B120" s="650">
        <v>42375</v>
      </c>
      <c r="C120" s="377">
        <v>9678</v>
      </c>
      <c r="D120" s="651">
        <v>17.579999999999998</v>
      </c>
      <c r="E120" s="378">
        <v>11.28</v>
      </c>
      <c r="F120" s="378">
        <f t="shared" si="55"/>
        <v>-60971.399999999987</v>
      </c>
      <c r="G120" s="378">
        <f t="shared" si="56"/>
        <v>170139.24</v>
      </c>
      <c r="H120" s="380">
        <f t="shared" si="57"/>
        <v>-0.35836177474402725</v>
      </c>
      <c r="I120" s="378"/>
    </row>
    <row r="121" spans="2:9" x14ac:dyDescent="0.25">
      <c r="B121" s="650">
        <v>42398</v>
      </c>
      <c r="C121" s="377">
        <v>9278</v>
      </c>
      <c r="D121" s="651">
        <v>17.93</v>
      </c>
      <c r="E121" s="378">
        <v>9.56</v>
      </c>
      <c r="F121" s="378">
        <f t="shared" si="55"/>
        <v>-77656.859999999986</v>
      </c>
      <c r="G121" s="378">
        <f t="shared" si="56"/>
        <v>166354.54</v>
      </c>
      <c r="H121" s="380">
        <f t="shared" si="57"/>
        <v>-0.46681539319576126</v>
      </c>
      <c r="I121" s="378"/>
    </row>
    <row r="122" spans="2:9" x14ac:dyDescent="0.25">
      <c r="B122" s="650">
        <v>42402</v>
      </c>
      <c r="C122" s="377">
        <v>9678</v>
      </c>
      <c r="D122" s="651">
        <v>17.559999999999999</v>
      </c>
      <c r="E122" s="378">
        <v>8.74</v>
      </c>
      <c r="F122" s="378">
        <f t="shared" si="55"/>
        <v>-85359.959999999992</v>
      </c>
      <c r="G122" s="378">
        <f t="shared" si="56"/>
        <v>169945.68</v>
      </c>
      <c r="H122" s="380">
        <f t="shared" si="57"/>
        <v>-0.50227790432801822</v>
      </c>
      <c r="I122" s="378"/>
    </row>
    <row r="123" spans="2:9" x14ac:dyDescent="0.25">
      <c r="B123" s="650">
        <v>42411</v>
      </c>
      <c r="C123" s="377">
        <v>9678</v>
      </c>
      <c r="D123" s="651">
        <v>17.553999999999998</v>
      </c>
      <c r="E123" s="378">
        <v>7.13</v>
      </c>
      <c r="F123" s="378">
        <f t="shared" si="55"/>
        <v>-100883.47199999999</v>
      </c>
      <c r="G123" s="378">
        <f t="shared" si="56"/>
        <v>169887.61199999999</v>
      </c>
      <c r="H123" s="379">
        <f t="shared" si="57"/>
        <v>-0.59382476928335426</v>
      </c>
      <c r="I123" s="378"/>
    </row>
    <row r="124" spans="2:9" x14ac:dyDescent="0.25">
      <c r="B124" s="650">
        <v>42412</v>
      </c>
      <c r="C124" s="377">
        <v>9678</v>
      </c>
      <c r="D124" s="651">
        <v>17.55</v>
      </c>
      <c r="E124" s="378">
        <v>7.46</v>
      </c>
      <c r="F124" s="378">
        <f t="shared" si="55"/>
        <v>-97651.02</v>
      </c>
      <c r="G124" s="378">
        <f t="shared" si="56"/>
        <v>169848.9</v>
      </c>
      <c r="H124" s="379">
        <f t="shared" si="57"/>
        <v>-0.57492877492877492</v>
      </c>
      <c r="I124" s="378"/>
    </row>
    <row r="125" spans="2:9" x14ac:dyDescent="0.25">
      <c r="B125" s="650">
        <v>42416</v>
      </c>
      <c r="C125" s="377">
        <v>9178</v>
      </c>
      <c r="D125" s="651">
        <v>18.084</v>
      </c>
      <c r="E125" s="378">
        <v>7.49</v>
      </c>
      <c r="F125" s="378">
        <f t="shared" si="55"/>
        <v>-97231.731999999989</v>
      </c>
      <c r="G125" s="378">
        <f t="shared" si="56"/>
        <v>165974.95199999999</v>
      </c>
      <c r="H125" s="379">
        <f t="shared" si="57"/>
        <v>-0.58582172085821715</v>
      </c>
      <c r="I125" s="378"/>
    </row>
    <row r="126" spans="2:9" x14ac:dyDescent="0.25">
      <c r="B126" s="650">
        <v>42416</v>
      </c>
      <c r="C126" s="377">
        <v>9678</v>
      </c>
      <c r="D126" s="651">
        <v>17.536999999999999</v>
      </c>
      <c r="E126" s="378">
        <v>7.49</v>
      </c>
      <c r="F126" s="378">
        <f t="shared" si="55"/>
        <v>-97234.865999999995</v>
      </c>
      <c r="G126" s="378">
        <f t="shared" si="56"/>
        <v>169723.08599999998</v>
      </c>
      <c r="H126" s="379">
        <f t="shared" si="57"/>
        <v>-0.57290300507498426</v>
      </c>
      <c r="I126" s="378"/>
    </row>
    <row r="127" spans="2:9" x14ac:dyDescent="0.25">
      <c r="B127" s="650">
        <v>42418</v>
      </c>
      <c r="C127" s="377">
        <v>13478</v>
      </c>
      <c r="D127" s="651">
        <v>14.673999999999999</v>
      </c>
      <c r="E127" s="378">
        <v>6.93</v>
      </c>
      <c r="F127" s="378">
        <f t="shared" si="55"/>
        <v>-104373.632</v>
      </c>
      <c r="G127" s="378">
        <f t="shared" si="56"/>
        <v>197776.17199999999</v>
      </c>
      <c r="H127" s="379">
        <f t="shared" si="57"/>
        <v>-0.52773613193403301</v>
      </c>
      <c r="I127" s="378"/>
    </row>
    <row r="128" spans="2:9" x14ac:dyDescent="0.25">
      <c r="B128" s="650">
        <v>42422</v>
      </c>
      <c r="C128" s="377">
        <v>10978</v>
      </c>
      <c r="D128" s="651">
        <v>16.314</v>
      </c>
      <c r="E128" s="378">
        <v>7.49</v>
      </c>
      <c r="F128" s="378">
        <f t="shared" si="55"/>
        <v>-96869.872000000003</v>
      </c>
      <c r="G128" s="378">
        <f>IF(C128=0, 0,D128*C128)</f>
        <v>179095.092</v>
      </c>
      <c r="H128" s="379">
        <f>IF(C128=0, D128, (E128-D128)/D128)</f>
        <v>-0.54088512933676591</v>
      </c>
      <c r="I128" s="378"/>
    </row>
    <row r="129" spans="2:14" x14ac:dyDescent="0.25">
      <c r="B129" s="650">
        <v>42422</v>
      </c>
      <c r="C129" s="377">
        <v>9978</v>
      </c>
      <c r="D129" s="651">
        <v>17.199000000000002</v>
      </c>
      <c r="E129" s="378">
        <v>7.49</v>
      </c>
      <c r="F129" s="378">
        <f t="shared" si="55"/>
        <v>-96876.402000000016</v>
      </c>
      <c r="G129" s="378">
        <f>IF(C129=0, 0,D129*C129)</f>
        <v>171611.622</v>
      </c>
      <c r="H129" s="379">
        <f>IF(C129=0, D129, (E129-D129)/D129)</f>
        <v>-0.56450956450956458</v>
      </c>
      <c r="I129" s="378"/>
    </row>
    <row r="130" spans="2:14" x14ac:dyDescent="0.25">
      <c r="B130" s="650">
        <v>42426</v>
      </c>
      <c r="C130" s="377">
        <v>9678</v>
      </c>
      <c r="D130" s="651">
        <v>17.489000000000001</v>
      </c>
      <c r="E130" s="378">
        <v>7.49</v>
      </c>
      <c r="F130" s="378">
        <f t="shared" ref="F130:F138" si="58">C130*(E130-D130)</f>
        <v>-96770.322</v>
      </c>
      <c r="G130" s="378">
        <f>IF(C130=0, 0,D130*C130)</f>
        <v>169258.54200000002</v>
      </c>
      <c r="H130" s="379">
        <f>IF(C130=0, D130, (E130-D130)/D130)</f>
        <v>-0.57173080221853734</v>
      </c>
      <c r="I130" s="378"/>
    </row>
    <row r="131" spans="2:14" x14ac:dyDescent="0.25">
      <c r="B131" s="650">
        <v>42426</v>
      </c>
      <c r="C131" s="377">
        <v>9178</v>
      </c>
      <c r="D131" s="651">
        <v>18.02</v>
      </c>
      <c r="E131" s="378">
        <v>7.76</v>
      </c>
      <c r="F131" s="378">
        <f t="shared" si="58"/>
        <v>-94166.28</v>
      </c>
      <c r="G131" s="378">
        <f t="shared" ref="G131:G138" si="59">IF(C131=0, 0,D131*C131)</f>
        <v>165387.56</v>
      </c>
      <c r="H131" s="379">
        <f t="shared" ref="H131:H138" si="60">IF(C131=0, D131, (E131-D131)/D131)</f>
        <v>-0.5693673695893452</v>
      </c>
      <c r="I131" s="378"/>
    </row>
    <row r="132" spans="2:14" x14ac:dyDescent="0.25">
      <c r="B132" s="650">
        <v>42426</v>
      </c>
      <c r="C132" s="377">
        <v>8178</v>
      </c>
      <c r="D132" s="651">
        <v>19.245999999999999</v>
      </c>
      <c r="E132" s="378">
        <v>8</v>
      </c>
      <c r="F132" s="378">
        <f t="shared" si="58"/>
        <v>-91969.787999999986</v>
      </c>
      <c r="G132" s="378">
        <f t="shared" si="59"/>
        <v>157393.788</v>
      </c>
      <c r="H132" s="379">
        <f t="shared" si="60"/>
        <v>-0.58432921126467829</v>
      </c>
      <c r="I132" s="378"/>
    </row>
    <row r="133" spans="2:14" x14ac:dyDescent="0.25">
      <c r="B133" s="650">
        <v>42426</v>
      </c>
      <c r="C133" s="377">
        <v>6678</v>
      </c>
      <c r="D133" s="651">
        <v>21.75</v>
      </c>
      <c r="E133" s="378">
        <v>8.1</v>
      </c>
      <c r="F133" s="378">
        <f t="shared" si="58"/>
        <v>-91154.7</v>
      </c>
      <c r="G133" s="378">
        <f t="shared" si="59"/>
        <v>145246.5</v>
      </c>
      <c r="H133" s="379">
        <f t="shared" si="60"/>
        <v>-0.62758620689655176</v>
      </c>
      <c r="I133" s="378"/>
    </row>
    <row r="134" spans="2:14" x14ac:dyDescent="0.25">
      <c r="B134" s="650">
        <v>42426</v>
      </c>
      <c r="C134" s="377">
        <v>8678</v>
      </c>
      <c r="D134" s="651">
        <v>18.568999999999999</v>
      </c>
      <c r="E134" s="378">
        <v>7.94</v>
      </c>
      <c r="F134" s="378">
        <f t="shared" si="58"/>
        <v>-92238.461999999985</v>
      </c>
      <c r="G134" s="378">
        <f t="shared" si="59"/>
        <v>161141.78199999998</v>
      </c>
      <c r="H134" s="379">
        <f t="shared" si="60"/>
        <v>-0.57240562227368186</v>
      </c>
      <c r="I134" s="378"/>
    </row>
    <row r="135" spans="2:14" x14ac:dyDescent="0.25">
      <c r="B135" s="650">
        <v>42429</v>
      </c>
      <c r="C135" s="377">
        <v>7678</v>
      </c>
      <c r="D135" s="651">
        <v>19.876000000000001</v>
      </c>
      <c r="E135" s="378">
        <v>8.2100000000000009</v>
      </c>
      <c r="F135" s="378">
        <f t="shared" si="58"/>
        <v>-89571.54800000001</v>
      </c>
      <c r="G135" s="378">
        <f t="shared" si="59"/>
        <v>152607.92800000001</v>
      </c>
      <c r="H135" s="379">
        <f t="shared" si="60"/>
        <v>-0.58693902193600322</v>
      </c>
      <c r="I135" s="378"/>
    </row>
    <row r="136" spans="2:14" x14ac:dyDescent="0.25">
      <c r="B136" s="650">
        <v>42429</v>
      </c>
      <c r="C136" s="377">
        <v>9678</v>
      </c>
      <c r="D136" s="651">
        <v>17.463000000000001</v>
      </c>
      <c r="E136" s="378">
        <v>8.2100000000000009</v>
      </c>
      <c r="F136" s="378">
        <f t="shared" si="58"/>
        <v>-89550.534</v>
      </c>
      <c r="G136" s="378">
        <f t="shared" si="59"/>
        <v>169006.91400000002</v>
      </c>
      <c r="H136" s="379">
        <f t="shared" si="60"/>
        <v>-0.5298631392086125</v>
      </c>
      <c r="I136" s="378"/>
    </row>
    <row r="137" spans="2:14" ht="15" customHeight="1" x14ac:dyDescent="0.25">
      <c r="B137" s="650">
        <v>42429</v>
      </c>
      <c r="C137" s="377">
        <v>9178</v>
      </c>
      <c r="D137" s="651">
        <v>17.981000000000002</v>
      </c>
      <c r="E137" s="378">
        <v>8.2100000000000009</v>
      </c>
      <c r="F137" s="378">
        <f t="shared" si="58"/>
        <v>-89678.238000000012</v>
      </c>
      <c r="G137" s="378">
        <f t="shared" si="59"/>
        <v>165029.61800000002</v>
      </c>
      <c r="H137" s="379">
        <f t="shared" si="60"/>
        <v>-0.5434069295367332</v>
      </c>
      <c r="I137" s="378"/>
    </row>
    <row r="138" spans="2:14" x14ac:dyDescent="0.25">
      <c r="B138" s="650">
        <v>42429</v>
      </c>
      <c r="C138" s="377">
        <v>9678</v>
      </c>
      <c r="D138" s="651">
        <v>17.459</v>
      </c>
      <c r="E138" s="378">
        <v>8.2100000000000009</v>
      </c>
      <c r="F138" s="378">
        <f t="shared" si="58"/>
        <v>-89511.821999999986</v>
      </c>
      <c r="G138" s="378">
        <f t="shared" si="59"/>
        <v>168968.20199999999</v>
      </c>
      <c r="H138" s="379">
        <f t="shared" si="60"/>
        <v>-0.5297554270004009</v>
      </c>
      <c r="I138" s="378"/>
    </row>
    <row r="139" spans="2:14" x14ac:dyDescent="0.25">
      <c r="B139" s="650">
        <v>42429</v>
      </c>
      <c r="C139" s="377">
        <v>9178</v>
      </c>
      <c r="D139" s="651">
        <v>17.975999999999999</v>
      </c>
      <c r="E139" s="378">
        <v>8.2100000000000009</v>
      </c>
      <c r="F139" s="378">
        <f t="shared" ref="F139:F150" si="61">C139*(E139-D139)</f>
        <v>-89632.347999999984</v>
      </c>
      <c r="G139" s="378">
        <f t="shared" ref="G139:G150" si="62">IF(C139=0, 0,D139*C139)</f>
        <v>164983.728</v>
      </c>
      <c r="H139" s="379">
        <f t="shared" ref="H139:H190" si="63">IF(C139=0, D139, (E139-D139)/D139)</f>
        <v>-0.54327992879394738</v>
      </c>
      <c r="I139" s="378" t="s">
        <v>188</v>
      </c>
    </row>
    <row r="140" spans="2:14" x14ac:dyDescent="0.25">
      <c r="B140" s="650">
        <v>42430</v>
      </c>
      <c r="C140" s="398">
        <v>10178</v>
      </c>
      <c r="D140" s="652">
        <v>16.974</v>
      </c>
      <c r="E140" s="378">
        <v>7.8</v>
      </c>
      <c r="F140" s="378">
        <f t="shared" si="61"/>
        <v>-93372.971999999994</v>
      </c>
      <c r="G140" s="378">
        <f t="shared" si="62"/>
        <v>172761.372</v>
      </c>
      <c r="H140" s="379">
        <f t="shared" si="63"/>
        <v>-0.54047366560622123</v>
      </c>
      <c r="I140" s="378"/>
    </row>
    <row r="141" spans="2:14" x14ac:dyDescent="0.25">
      <c r="B141" s="650">
        <v>42430</v>
      </c>
      <c r="C141" s="398">
        <v>9678</v>
      </c>
      <c r="D141" s="652">
        <v>17.440000000000001</v>
      </c>
      <c r="E141" s="378">
        <v>7.96</v>
      </c>
      <c r="F141" s="378">
        <f t="shared" si="61"/>
        <v>-91747.44</v>
      </c>
      <c r="G141" s="378">
        <f t="shared" si="62"/>
        <v>168784.32</v>
      </c>
      <c r="H141" s="379">
        <f t="shared" si="63"/>
        <v>-0.54357798165137616</v>
      </c>
      <c r="I141" s="378"/>
    </row>
    <row r="142" spans="2:14" x14ac:dyDescent="0.25">
      <c r="B142" s="650">
        <v>42431</v>
      </c>
      <c r="C142" s="377">
        <v>8678</v>
      </c>
      <c r="D142" s="651">
        <v>18.405999999999999</v>
      </c>
      <c r="E142" s="378">
        <v>9.1</v>
      </c>
      <c r="F142" s="378">
        <f t="shared" si="61"/>
        <v>-80757.467999999993</v>
      </c>
      <c r="G142" s="378">
        <f t="shared" si="62"/>
        <v>159727.26799999998</v>
      </c>
      <c r="H142" s="380">
        <f t="shared" si="63"/>
        <v>-0.50559600130392257</v>
      </c>
      <c r="I142" s="378"/>
    </row>
    <row r="143" spans="2:14" x14ac:dyDescent="0.25">
      <c r="B143" s="650">
        <v>42432</v>
      </c>
      <c r="C143" s="377">
        <v>9278</v>
      </c>
      <c r="D143" s="651">
        <v>17.771999999999998</v>
      </c>
      <c r="E143" s="378">
        <v>9.9700000000000006</v>
      </c>
      <c r="F143" s="378">
        <f t="shared" si="61"/>
        <v>-72386.955999999976</v>
      </c>
      <c r="G143" s="378">
        <f t="shared" si="62"/>
        <v>164888.61599999998</v>
      </c>
      <c r="H143" s="380">
        <f t="shared" si="63"/>
        <v>-0.43900517668242173</v>
      </c>
      <c r="I143" s="378"/>
      <c r="N143" s="71"/>
    </row>
    <row r="144" spans="2:14" x14ac:dyDescent="0.25">
      <c r="B144" s="650">
        <v>42433</v>
      </c>
      <c r="C144" s="377">
        <v>9278</v>
      </c>
      <c r="D144" s="651">
        <v>17.771999999999998</v>
      </c>
      <c r="E144" s="378">
        <v>11</v>
      </c>
      <c r="F144" s="378">
        <f t="shared" si="61"/>
        <v>-62830.615999999987</v>
      </c>
      <c r="G144" s="378">
        <f t="shared" si="62"/>
        <v>164888.61599999998</v>
      </c>
      <c r="H144" s="380">
        <f t="shared" si="63"/>
        <v>-0.38104884087328378</v>
      </c>
      <c r="I144" s="378"/>
    </row>
    <row r="145" spans="2:9" x14ac:dyDescent="0.25">
      <c r="B145" s="650">
        <v>42439</v>
      </c>
      <c r="C145" s="377">
        <v>9278</v>
      </c>
      <c r="D145" s="651">
        <v>17.718</v>
      </c>
      <c r="E145" s="378">
        <v>10.59</v>
      </c>
      <c r="F145" s="378">
        <f t="shared" si="61"/>
        <v>-66133.584000000003</v>
      </c>
      <c r="G145" s="378">
        <f t="shared" si="62"/>
        <v>164387.60399999999</v>
      </c>
      <c r="H145" s="380">
        <f t="shared" si="63"/>
        <v>-0.40230274297324753</v>
      </c>
      <c r="I145" s="378" t="s">
        <v>187</v>
      </c>
    </row>
    <row r="146" spans="2:9" x14ac:dyDescent="0.25">
      <c r="B146" s="650">
        <v>42440</v>
      </c>
      <c r="C146" s="377">
        <v>9278</v>
      </c>
      <c r="D146" s="651">
        <v>17.712</v>
      </c>
      <c r="E146" s="378">
        <v>11.12</v>
      </c>
      <c r="F146" s="378">
        <f t="shared" si="61"/>
        <v>-61160.576000000008</v>
      </c>
      <c r="G146" s="378">
        <f t="shared" si="62"/>
        <v>164331.93599999999</v>
      </c>
      <c r="H146" s="380">
        <f t="shared" si="63"/>
        <v>-0.37217705510388438</v>
      </c>
      <c r="I146" s="378"/>
    </row>
    <row r="147" spans="2:9" x14ac:dyDescent="0.25">
      <c r="B147" s="650">
        <v>42446</v>
      </c>
      <c r="C147" s="377">
        <v>9278</v>
      </c>
      <c r="D147" s="651">
        <v>17.704999999999998</v>
      </c>
      <c r="E147" s="378">
        <v>11.45</v>
      </c>
      <c r="F147" s="378">
        <f t="shared" si="61"/>
        <v>-58033.889999999992</v>
      </c>
      <c r="G147" s="378">
        <f t="shared" si="62"/>
        <v>164266.99</v>
      </c>
      <c r="H147" s="380">
        <f t="shared" si="63"/>
        <v>-0.353290031064671</v>
      </c>
      <c r="I147" s="378"/>
    </row>
    <row r="148" spans="2:9" x14ac:dyDescent="0.25">
      <c r="B148" s="650">
        <v>42447</v>
      </c>
      <c r="C148" s="377">
        <v>7928</v>
      </c>
      <c r="D148" s="651">
        <v>18.734999999999999</v>
      </c>
      <c r="E148" s="378">
        <v>11.63</v>
      </c>
      <c r="F148" s="378">
        <f t="shared" si="61"/>
        <v>-56328.439999999988</v>
      </c>
      <c r="G148" s="378">
        <f t="shared" si="62"/>
        <v>148531.07999999999</v>
      </c>
      <c r="H148" s="380">
        <f t="shared" si="63"/>
        <v>-0.37923672271150249</v>
      </c>
      <c r="I148" s="378"/>
    </row>
    <row r="149" spans="2:9" x14ac:dyDescent="0.25">
      <c r="B149" s="650">
        <v>42450</v>
      </c>
      <c r="C149" s="377">
        <v>9278</v>
      </c>
      <c r="D149" s="651">
        <v>17.670000000000002</v>
      </c>
      <c r="E149" s="378">
        <v>11.43</v>
      </c>
      <c r="F149" s="378">
        <f t="shared" si="61"/>
        <v>-57894.720000000016</v>
      </c>
      <c r="G149" s="378">
        <f t="shared" si="62"/>
        <v>163942.26</v>
      </c>
      <c r="H149" s="379">
        <f t="shared" si="63"/>
        <v>-0.35314091680814946</v>
      </c>
      <c r="I149" s="378"/>
    </row>
    <row r="150" spans="2:9" x14ac:dyDescent="0.25">
      <c r="B150" s="650">
        <v>42451</v>
      </c>
      <c r="C150" s="377">
        <v>9628</v>
      </c>
      <c r="D150" s="651">
        <v>17.428000000000001</v>
      </c>
      <c r="E150" s="378">
        <v>11.31</v>
      </c>
      <c r="F150" s="378">
        <f t="shared" si="61"/>
        <v>-58904.104000000007</v>
      </c>
      <c r="G150" s="378">
        <f t="shared" si="62"/>
        <v>167796.78400000001</v>
      </c>
      <c r="H150" s="379">
        <f t="shared" si="63"/>
        <v>-0.35104429653431263</v>
      </c>
      <c r="I150" s="378"/>
    </row>
    <row r="151" spans="2:9" ht="15" customHeight="1" x14ac:dyDescent="0.25">
      <c r="B151" s="650">
        <v>42453</v>
      </c>
      <c r="C151" s="377">
        <v>13278</v>
      </c>
      <c r="D151" s="651">
        <v>15.5565</v>
      </c>
      <c r="E151" s="378">
        <v>10.29</v>
      </c>
      <c r="F151" s="378">
        <f t="shared" ref="F151:F190" si="64">C151*(E151-D151)</f>
        <v>-69928.587000000014</v>
      </c>
      <c r="G151" s="378">
        <f t="shared" ref="G151:G190" si="65">IF(C151=0, 0,D151*C151)</f>
        <v>206559.20699999999</v>
      </c>
      <c r="H151" s="379">
        <f t="shared" si="63"/>
        <v>-0.33854016006171056</v>
      </c>
      <c r="I151" s="378"/>
    </row>
    <row r="152" spans="2:9" x14ac:dyDescent="0.25">
      <c r="B152" s="650">
        <v>42459</v>
      </c>
      <c r="C152" s="377">
        <v>11278</v>
      </c>
      <c r="D152" s="651">
        <v>16.408899999999999</v>
      </c>
      <c r="E152" s="378">
        <v>10.53</v>
      </c>
      <c r="F152" s="378">
        <f t="shared" si="64"/>
        <v>-66302.234199999992</v>
      </c>
      <c r="G152" s="378">
        <f t="shared" si="65"/>
        <v>185059.5742</v>
      </c>
      <c r="H152" s="379">
        <f t="shared" si="63"/>
        <v>-0.35827508242478168</v>
      </c>
      <c r="I152" s="378"/>
    </row>
    <row r="153" spans="2:9" x14ac:dyDescent="0.25">
      <c r="B153" s="650">
        <v>42460</v>
      </c>
      <c r="C153" s="377">
        <v>9678</v>
      </c>
      <c r="D153" s="651">
        <v>17.311699999999998</v>
      </c>
      <c r="E153" s="378">
        <v>11.14</v>
      </c>
      <c r="F153" s="378">
        <f t="shared" si="64"/>
        <v>-59729.712599999977</v>
      </c>
      <c r="G153" s="378">
        <f t="shared" si="65"/>
        <v>167542.63259999998</v>
      </c>
      <c r="H153" s="379">
        <f t="shared" si="63"/>
        <v>-0.35650456049954643</v>
      </c>
      <c r="I153" s="378"/>
    </row>
    <row r="154" spans="2:9" x14ac:dyDescent="0.25">
      <c r="B154" s="650">
        <v>42461</v>
      </c>
      <c r="C154" s="377">
        <v>11678</v>
      </c>
      <c r="D154" s="651">
        <v>16.116</v>
      </c>
      <c r="E154" s="378">
        <v>10.53</v>
      </c>
      <c r="F154" s="378">
        <f t="shared" si="64"/>
        <v>-65233.308000000005</v>
      </c>
      <c r="G154" s="378">
        <f t="shared" si="65"/>
        <v>188202.64799999999</v>
      </c>
      <c r="H154" s="379">
        <f t="shared" si="63"/>
        <v>-0.34661206254653765</v>
      </c>
      <c r="I154" s="378"/>
    </row>
    <row r="155" spans="2:9" x14ac:dyDescent="0.25">
      <c r="B155" s="650">
        <v>42461</v>
      </c>
      <c r="C155" s="377">
        <v>9678</v>
      </c>
      <c r="D155" s="651">
        <v>17.266200000000001</v>
      </c>
      <c r="E155" s="378">
        <v>10.56</v>
      </c>
      <c r="F155" s="378">
        <f t="shared" si="64"/>
        <v>-64902.603600000009</v>
      </c>
      <c r="G155" s="378">
        <f t="shared" si="65"/>
        <v>167102.28360000002</v>
      </c>
      <c r="H155" s="379">
        <f t="shared" si="63"/>
        <v>-0.388400458699656</v>
      </c>
      <c r="I155" s="378"/>
    </row>
    <row r="156" spans="2:9" x14ac:dyDescent="0.25">
      <c r="B156" s="650">
        <v>42464</v>
      </c>
      <c r="C156" s="377">
        <v>9778</v>
      </c>
      <c r="D156" s="651">
        <v>17.196100000000001</v>
      </c>
      <c r="E156" s="378">
        <v>10.4</v>
      </c>
      <c r="F156" s="378">
        <f t="shared" si="64"/>
        <v>-66452.265800000008</v>
      </c>
      <c r="G156" s="378">
        <f t="shared" si="65"/>
        <v>168143.46580000001</v>
      </c>
      <c r="H156" s="379">
        <f t="shared" si="63"/>
        <v>-0.3952117049796175</v>
      </c>
      <c r="I156" s="378"/>
    </row>
    <row r="157" spans="2:9" x14ac:dyDescent="0.25">
      <c r="B157" s="650">
        <v>42465</v>
      </c>
      <c r="C157" s="377">
        <v>9678</v>
      </c>
      <c r="D157" s="651">
        <v>17.262699999999999</v>
      </c>
      <c r="E157" s="378">
        <v>10.63</v>
      </c>
      <c r="F157" s="378">
        <f t="shared" si="64"/>
        <v>-64191.270599999982</v>
      </c>
      <c r="G157" s="378">
        <f t="shared" si="65"/>
        <v>167068.4106</v>
      </c>
      <c r="H157" s="379">
        <f t="shared" si="63"/>
        <v>-0.38422147172806098</v>
      </c>
      <c r="I157" s="378"/>
    </row>
    <row r="158" spans="2:9" x14ac:dyDescent="0.25">
      <c r="B158" s="650">
        <v>42469</v>
      </c>
      <c r="C158" s="377">
        <v>8678</v>
      </c>
      <c r="D158" s="651">
        <v>17.895700000000001</v>
      </c>
      <c r="E158" s="378">
        <v>11.78</v>
      </c>
      <c r="F158" s="378">
        <f t="shared" si="64"/>
        <v>-53072.044600000016</v>
      </c>
      <c r="G158" s="378">
        <f t="shared" si="65"/>
        <v>155298.88460000002</v>
      </c>
      <c r="H158" s="379">
        <f t="shared" si="63"/>
        <v>-0.34174131215878684</v>
      </c>
      <c r="I158" s="378"/>
    </row>
    <row r="159" spans="2:9" x14ac:dyDescent="0.25">
      <c r="B159" s="650">
        <v>42471</v>
      </c>
      <c r="C159" s="377">
        <v>9678</v>
      </c>
      <c r="D159" s="651">
        <v>17.2514</v>
      </c>
      <c r="E159" s="378">
        <v>11.67</v>
      </c>
      <c r="F159" s="378">
        <f t="shared" si="64"/>
        <v>-54016.789200000007</v>
      </c>
      <c r="G159" s="378">
        <f t="shared" si="65"/>
        <v>166959.04920000001</v>
      </c>
      <c r="H159" s="379">
        <f t="shared" si="63"/>
        <v>-0.32353316252593994</v>
      </c>
      <c r="I159" s="378"/>
    </row>
    <row r="160" spans="2:9" x14ac:dyDescent="0.25">
      <c r="B160" s="650">
        <v>42472</v>
      </c>
      <c r="C160" s="377">
        <v>8288</v>
      </c>
      <c r="D160" s="651">
        <v>17.96</v>
      </c>
      <c r="E160" s="378">
        <v>13.05</v>
      </c>
      <c r="F160" s="378">
        <f t="shared" si="64"/>
        <v>-40694.080000000002</v>
      </c>
      <c r="G160" s="378">
        <f t="shared" si="65"/>
        <v>148852.48000000001</v>
      </c>
      <c r="H160" s="379">
        <f t="shared" si="63"/>
        <v>-0.27338530066815142</v>
      </c>
      <c r="I160" s="378"/>
    </row>
    <row r="161" spans="2:9" x14ac:dyDescent="0.25">
      <c r="B161" s="650">
        <v>42473</v>
      </c>
      <c r="C161" s="377">
        <v>9258</v>
      </c>
      <c r="D161" s="651">
        <v>17.415800000000001</v>
      </c>
      <c r="E161" s="378">
        <v>12.92</v>
      </c>
      <c r="F161" s="378">
        <f t="shared" si="64"/>
        <v>-41622.116400000006</v>
      </c>
      <c r="G161" s="378">
        <f t="shared" si="65"/>
        <v>161235.47640000001</v>
      </c>
      <c r="H161" s="379">
        <f t="shared" si="63"/>
        <v>-0.2581449029042594</v>
      </c>
      <c r="I161" s="378"/>
    </row>
    <row r="162" spans="2:9" x14ac:dyDescent="0.25">
      <c r="B162" s="650">
        <v>42474</v>
      </c>
      <c r="C162" s="377">
        <v>9678</v>
      </c>
      <c r="D162" s="651">
        <v>17.2135</v>
      </c>
      <c r="E162" s="378">
        <v>13.11</v>
      </c>
      <c r="F162" s="378">
        <f t="shared" si="64"/>
        <v>-39713.673000000003</v>
      </c>
      <c r="G162" s="378">
        <f t="shared" si="65"/>
        <v>166592.253</v>
      </c>
      <c r="H162" s="379">
        <f t="shared" si="63"/>
        <v>-0.23838847416272113</v>
      </c>
      <c r="I162" s="378"/>
    </row>
    <row r="163" spans="2:9" x14ac:dyDescent="0.25">
      <c r="B163" s="650">
        <v>42474</v>
      </c>
      <c r="C163" s="377">
        <v>9178</v>
      </c>
      <c r="D163" s="651">
        <v>17.433299999999999</v>
      </c>
      <c r="E163" s="378">
        <v>13.11</v>
      </c>
      <c r="F163" s="378">
        <f t="shared" si="64"/>
        <v>-39679.2474</v>
      </c>
      <c r="G163" s="378">
        <f t="shared" si="65"/>
        <v>160002.82739999998</v>
      </c>
      <c r="H163" s="379">
        <f t="shared" si="63"/>
        <v>-0.24799091394056202</v>
      </c>
      <c r="I163" s="378"/>
    </row>
    <row r="164" spans="2:9" x14ac:dyDescent="0.25">
      <c r="B164" s="650">
        <v>42475</v>
      </c>
      <c r="C164" s="377">
        <v>9678</v>
      </c>
      <c r="D164" s="651">
        <v>17.205100000000002</v>
      </c>
      <c r="E164" s="378">
        <v>13.01</v>
      </c>
      <c r="F164" s="378">
        <f t="shared" si="64"/>
        <v>-40600.177800000019</v>
      </c>
      <c r="G164" s="378">
        <f t="shared" si="65"/>
        <v>166510.9578</v>
      </c>
      <c r="H164" s="379">
        <f t="shared" si="63"/>
        <v>-0.24382886469709572</v>
      </c>
      <c r="I164" s="378"/>
    </row>
    <row r="165" spans="2:9" x14ac:dyDescent="0.25">
      <c r="B165" s="650">
        <v>42478</v>
      </c>
      <c r="C165" s="377">
        <v>9178</v>
      </c>
      <c r="D165" s="651">
        <v>17.412400000000002</v>
      </c>
      <c r="E165" s="378">
        <v>13.36</v>
      </c>
      <c r="F165" s="378">
        <f t="shared" si="64"/>
        <v>-37192.92720000002</v>
      </c>
      <c r="G165" s="378">
        <f t="shared" si="65"/>
        <v>159811.00720000002</v>
      </c>
      <c r="H165" s="379">
        <f t="shared" si="63"/>
        <v>-0.232730697663734</v>
      </c>
      <c r="I165" s="378"/>
    </row>
    <row r="166" spans="2:9" x14ac:dyDescent="0.25">
      <c r="B166" s="650">
        <v>42484</v>
      </c>
      <c r="C166" s="398">
        <v>9178</v>
      </c>
      <c r="D166" s="652">
        <v>17.412400000000002</v>
      </c>
      <c r="E166" s="378">
        <v>14.34</v>
      </c>
      <c r="F166" s="378">
        <f t="shared" si="64"/>
        <v>-28198.487200000018</v>
      </c>
      <c r="G166" s="378">
        <f t="shared" si="65"/>
        <v>159811.00720000002</v>
      </c>
      <c r="H166" s="379">
        <f t="shared" si="63"/>
        <v>-0.17644896740254082</v>
      </c>
      <c r="I166" s="378"/>
    </row>
    <row r="167" spans="2:9" x14ac:dyDescent="0.25">
      <c r="B167" s="650">
        <v>42485</v>
      </c>
      <c r="C167" s="398">
        <v>9678</v>
      </c>
      <c r="D167" s="652">
        <v>17.233499999999999</v>
      </c>
      <c r="E167" s="378">
        <v>13.83</v>
      </c>
      <c r="F167" s="378">
        <f t="shared" si="64"/>
        <v>-32939.072999999997</v>
      </c>
      <c r="G167" s="378">
        <f t="shared" si="65"/>
        <v>166785.81299999999</v>
      </c>
      <c r="H167" s="379">
        <f t="shared" si="63"/>
        <v>-0.19749325441726867</v>
      </c>
      <c r="I167" s="378"/>
    </row>
    <row r="168" spans="2:9" x14ac:dyDescent="0.25">
      <c r="B168" s="650">
        <v>42486</v>
      </c>
      <c r="C168" s="377">
        <v>9178</v>
      </c>
      <c r="D168" s="651">
        <v>17.390599999999999</v>
      </c>
      <c r="E168" s="378">
        <v>14.44</v>
      </c>
      <c r="F168" s="378">
        <f t="shared" si="64"/>
        <v>-27080.606799999998</v>
      </c>
      <c r="G168" s="378">
        <f t="shared" si="65"/>
        <v>159610.92679999999</v>
      </c>
      <c r="H168" s="380">
        <f t="shared" si="63"/>
        <v>-0.16966637148804525</v>
      </c>
      <c r="I168" s="378"/>
    </row>
    <row r="169" spans="2:9" x14ac:dyDescent="0.25">
      <c r="B169" s="650">
        <v>42487</v>
      </c>
      <c r="C169" s="377">
        <v>9178</v>
      </c>
      <c r="D169" s="651">
        <v>17.376300000000001</v>
      </c>
      <c r="E169" s="378">
        <v>14.84</v>
      </c>
      <c r="F169" s="378">
        <f t="shared" si="64"/>
        <v>-23278.161400000005</v>
      </c>
      <c r="G169" s="378">
        <f t="shared" si="65"/>
        <v>159479.6814</v>
      </c>
      <c r="H169" s="380">
        <f t="shared" si="63"/>
        <v>-0.14596317973331496</v>
      </c>
      <c r="I169" s="378"/>
    </row>
    <row r="170" spans="2:9" x14ac:dyDescent="0.25">
      <c r="B170" s="650">
        <v>42488</v>
      </c>
      <c r="C170" s="377">
        <v>9678</v>
      </c>
      <c r="D170" s="651">
        <v>17.2287</v>
      </c>
      <c r="E170" s="378">
        <v>14.35</v>
      </c>
      <c r="F170" s="378">
        <f t="shared" si="64"/>
        <v>-27860.058600000004</v>
      </c>
      <c r="G170" s="378">
        <f t="shared" si="65"/>
        <v>166739.35860000001</v>
      </c>
      <c r="H170" s="380">
        <f t="shared" si="63"/>
        <v>-0.16708747612994598</v>
      </c>
      <c r="I170" s="378"/>
    </row>
    <row r="171" spans="2:9" x14ac:dyDescent="0.25">
      <c r="B171" s="650">
        <v>42489</v>
      </c>
      <c r="C171" s="377">
        <v>9678</v>
      </c>
      <c r="D171" s="651">
        <v>17.179200000000002</v>
      </c>
      <c r="E171" s="378">
        <v>14.09</v>
      </c>
      <c r="F171" s="378">
        <f t="shared" si="64"/>
        <v>-29897.277600000016</v>
      </c>
      <c r="G171" s="378">
        <f t="shared" si="65"/>
        <v>166260.29760000002</v>
      </c>
      <c r="H171" s="380">
        <f t="shared" si="63"/>
        <v>-0.17982211045916</v>
      </c>
      <c r="I171" s="378"/>
    </row>
    <row r="172" spans="2:9" x14ac:dyDescent="0.25">
      <c r="B172" s="650">
        <v>42492</v>
      </c>
      <c r="C172" s="377">
        <v>9678</v>
      </c>
      <c r="D172" s="651">
        <v>17.136399999999998</v>
      </c>
      <c r="E172" s="378">
        <v>13.55</v>
      </c>
      <c r="F172" s="378">
        <f t="shared" si="64"/>
        <v>-34709.179199999977</v>
      </c>
      <c r="G172" s="378">
        <f t="shared" si="65"/>
        <v>165846.07919999998</v>
      </c>
      <c r="H172" s="380">
        <f t="shared" si="63"/>
        <v>-0.20928549753740563</v>
      </c>
      <c r="I172" s="378"/>
    </row>
    <row r="173" spans="2:9" x14ac:dyDescent="0.25">
      <c r="B173" s="650">
        <v>42493</v>
      </c>
      <c r="C173" s="377">
        <v>9678</v>
      </c>
      <c r="D173" s="651">
        <v>17.1221</v>
      </c>
      <c r="E173" s="378">
        <v>12.79</v>
      </c>
      <c r="F173" s="378">
        <f t="shared" si="64"/>
        <v>-41926.063800000004</v>
      </c>
      <c r="G173" s="378">
        <f t="shared" si="65"/>
        <v>165707.6838</v>
      </c>
      <c r="H173" s="380">
        <f t="shared" si="63"/>
        <v>-0.25301218892542388</v>
      </c>
      <c r="I173" s="378"/>
    </row>
    <row r="174" spans="2:9" x14ac:dyDescent="0.25">
      <c r="B174" s="650">
        <v>42494</v>
      </c>
      <c r="C174" s="377">
        <v>11678</v>
      </c>
      <c r="D174" s="651">
        <v>16.316800000000001</v>
      </c>
      <c r="E174" s="378">
        <v>12.17</v>
      </c>
      <c r="F174" s="378">
        <f t="shared" si="64"/>
        <v>-48426.330400000006</v>
      </c>
      <c r="G174" s="378">
        <f t="shared" si="65"/>
        <v>190547.59040000002</v>
      </c>
      <c r="H174" s="380">
        <f t="shared" si="63"/>
        <v>-0.25414296920964896</v>
      </c>
      <c r="I174" s="378"/>
    </row>
    <row r="175" spans="2:9" x14ac:dyDescent="0.25">
      <c r="B175" s="650">
        <v>42495</v>
      </c>
      <c r="C175" s="377">
        <v>9678</v>
      </c>
      <c r="D175" s="651">
        <v>17.0684</v>
      </c>
      <c r="E175" s="378">
        <v>12.07</v>
      </c>
      <c r="F175" s="378">
        <f t="shared" si="64"/>
        <v>-48374.515200000002</v>
      </c>
      <c r="G175" s="378">
        <f t="shared" si="65"/>
        <v>165187.97520000002</v>
      </c>
      <c r="H175" s="379">
        <f t="shared" si="63"/>
        <v>-0.29284525790349419</v>
      </c>
      <c r="I175" s="378"/>
    </row>
    <row r="176" spans="2:9" x14ac:dyDescent="0.25">
      <c r="B176" s="650">
        <v>42499</v>
      </c>
      <c r="C176" s="377">
        <v>10678</v>
      </c>
      <c r="D176" s="651">
        <v>16.537600000000001</v>
      </c>
      <c r="E176" s="378">
        <v>11.44</v>
      </c>
      <c r="F176" s="378">
        <f t="shared" si="64"/>
        <v>-54432.172800000015</v>
      </c>
      <c r="G176" s="378">
        <f t="shared" si="65"/>
        <v>176588.49280000001</v>
      </c>
      <c r="H176" s="379">
        <f t="shared" si="63"/>
        <v>-0.30824303405572762</v>
      </c>
      <c r="I176" s="378"/>
    </row>
    <row r="177" spans="2:15" x14ac:dyDescent="0.25">
      <c r="B177" s="650">
        <v>42500</v>
      </c>
      <c r="C177" s="377">
        <v>9678</v>
      </c>
      <c r="D177" s="651">
        <v>17.042100000000001</v>
      </c>
      <c r="E177" s="378">
        <v>11.94</v>
      </c>
      <c r="F177" s="378">
        <f t="shared" si="64"/>
        <v>-49378.123800000016</v>
      </c>
      <c r="G177" s="378">
        <f t="shared" si="65"/>
        <v>164933.44380000001</v>
      </c>
      <c r="H177" s="379">
        <f t="shared" si="63"/>
        <v>-0.2993821184009014</v>
      </c>
      <c r="I177" s="378"/>
    </row>
    <row r="178" spans="2:15" x14ac:dyDescent="0.25">
      <c r="B178" s="650">
        <v>42502</v>
      </c>
      <c r="C178" s="377">
        <v>10678</v>
      </c>
      <c r="D178" s="651">
        <v>16.601800000000001</v>
      </c>
      <c r="E178" s="378">
        <v>12.33</v>
      </c>
      <c r="F178" s="378">
        <f t="shared" si="64"/>
        <v>-45614.280400000011</v>
      </c>
      <c r="G178" s="378">
        <f t="shared" si="65"/>
        <v>177274.02040000001</v>
      </c>
      <c r="H178" s="379">
        <f t="shared" si="63"/>
        <v>-0.25730944837306802</v>
      </c>
      <c r="I178" s="378"/>
      <c r="O178" s="2"/>
    </row>
    <row r="179" spans="2:15" x14ac:dyDescent="0.25">
      <c r="B179" s="650">
        <v>42502</v>
      </c>
      <c r="C179" s="377">
        <v>9678</v>
      </c>
      <c r="D179" s="651">
        <v>17.0334</v>
      </c>
      <c r="E179" s="378">
        <v>12.33</v>
      </c>
      <c r="F179" s="378">
        <f t="shared" si="64"/>
        <v>-45519.5052</v>
      </c>
      <c r="G179" s="378">
        <f t="shared" si="65"/>
        <v>164849.2452</v>
      </c>
      <c r="H179" s="379">
        <f t="shared" si="63"/>
        <v>-0.27612807777660364</v>
      </c>
      <c r="I179" s="378"/>
    </row>
    <row r="180" spans="2:15" ht="15" customHeight="1" x14ac:dyDescent="0.25">
      <c r="B180" s="650">
        <v>42503</v>
      </c>
      <c r="C180" s="377">
        <v>9678</v>
      </c>
      <c r="D180" s="651">
        <v>17.029299999999999</v>
      </c>
      <c r="E180" s="378">
        <v>12.3</v>
      </c>
      <c r="F180" s="378">
        <f t="shared" si="64"/>
        <v>-45770.165399999983</v>
      </c>
      <c r="G180" s="378">
        <f t="shared" si="65"/>
        <v>164809.56539999999</v>
      </c>
      <c r="H180" s="379">
        <f t="shared" si="63"/>
        <v>-0.27771546687180321</v>
      </c>
      <c r="I180" s="378"/>
    </row>
    <row r="181" spans="2:15" x14ac:dyDescent="0.25">
      <c r="B181" s="650">
        <v>42506</v>
      </c>
      <c r="C181" s="377">
        <v>9678</v>
      </c>
      <c r="D181" s="651">
        <v>17.027699999999999</v>
      </c>
      <c r="E181" s="378">
        <v>12.78</v>
      </c>
      <c r="F181" s="378">
        <f t="shared" si="64"/>
        <v>-41109.240599999997</v>
      </c>
      <c r="G181" s="378">
        <f t="shared" si="65"/>
        <v>164794.08059999999</v>
      </c>
      <c r="H181" s="379">
        <f t="shared" si="63"/>
        <v>-0.24945823569830336</v>
      </c>
      <c r="I181" s="378"/>
    </row>
    <row r="182" spans="2:15" x14ac:dyDescent="0.25">
      <c r="B182" s="650">
        <v>42513</v>
      </c>
      <c r="C182" s="377">
        <v>9178</v>
      </c>
      <c r="D182" s="651">
        <v>17.244399999999999</v>
      </c>
      <c r="E182" s="378">
        <v>13.19</v>
      </c>
      <c r="F182" s="378">
        <f t="shared" si="64"/>
        <v>-37211.283199999991</v>
      </c>
      <c r="G182" s="378">
        <f t="shared" si="65"/>
        <v>158269.10319999998</v>
      </c>
      <c r="H182" s="379">
        <f t="shared" si="63"/>
        <v>-0.23511400802579385</v>
      </c>
      <c r="I182" s="378"/>
    </row>
    <row r="183" spans="2:15" x14ac:dyDescent="0.25">
      <c r="B183" s="650">
        <v>42514</v>
      </c>
      <c r="C183" s="377">
        <v>9678</v>
      </c>
      <c r="D183" s="651">
        <v>17.026</v>
      </c>
      <c r="E183" s="378">
        <v>13.02</v>
      </c>
      <c r="F183" s="378">
        <f t="shared" si="64"/>
        <v>-38770.067999999999</v>
      </c>
      <c r="G183" s="378">
        <f t="shared" si="65"/>
        <v>164777.628</v>
      </c>
      <c r="H183" s="379">
        <f t="shared" si="63"/>
        <v>-0.23528720779983556</v>
      </c>
      <c r="I183" s="378"/>
    </row>
    <row r="184" spans="2:15" x14ac:dyDescent="0.25">
      <c r="B184" s="650">
        <v>42515</v>
      </c>
      <c r="C184" s="377">
        <v>9178</v>
      </c>
      <c r="D184" s="651">
        <v>17.206800000000001</v>
      </c>
      <c r="E184" s="378">
        <v>13.54</v>
      </c>
      <c r="F184" s="378">
        <f t="shared" si="64"/>
        <v>-33653.890400000018</v>
      </c>
      <c r="G184" s="378">
        <f t="shared" si="65"/>
        <v>157924.0104</v>
      </c>
      <c r="H184" s="379">
        <f t="shared" si="63"/>
        <v>-0.21310179696399109</v>
      </c>
      <c r="I184" s="378"/>
    </row>
    <row r="185" spans="2:15" x14ac:dyDescent="0.25">
      <c r="B185" s="650">
        <v>42516</v>
      </c>
      <c r="C185" s="377">
        <v>9678</v>
      </c>
      <c r="D185" s="651">
        <v>17.003799999999998</v>
      </c>
      <c r="E185" s="378">
        <v>13.17</v>
      </c>
      <c r="F185" s="378">
        <f t="shared" si="64"/>
        <v>-37103.516399999986</v>
      </c>
      <c r="G185" s="378">
        <f t="shared" si="65"/>
        <v>164562.77639999997</v>
      </c>
      <c r="H185" s="379">
        <f t="shared" si="63"/>
        <v>-0.22546724849739463</v>
      </c>
      <c r="I185" s="378"/>
    </row>
    <row r="186" spans="2:15" x14ac:dyDescent="0.25">
      <c r="B186" s="650">
        <v>42517</v>
      </c>
      <c r="C186" s="377">
        <v>9678</v>
      </c>
      <c r="D186" s="651">
        <v>16.999700000000001</v>
      </c>
      <c r="E186" s="378">
        <v>12.9</v>
      </c>
      <c r="F186" s="378">
        <f t="shared" si="64"/>
        <v>-39676.8966</v>
      </c>
      <c r="G186" s="378">
        <f t="shared" si="65"/>
        <v>164523.09660000002</v>
      </c>
      <c r="H186" s="379">
        <f t="shared" si="63"/>
        <v>-0.2411630793484591</v>
      </c>
      <c r="I186" s="378"/>
    </row>
    <row r="187" spans="2:15" x14ac:dyDescent="0.25">
      <c r="B187" s="650">
        <v>42525</v>
      </c>
      <c r="C187" s="377">
        <v>9678</v>
      </c>
      <c r="D187" s="651">
        <v>16.9956</v>
      </c>
      <c r="E187" s="378">
        <v>13.32</v>
      </c>
      <c r="F187" s="378">
        <f t="shared" si="64"/>
        <v>-35572.456799999993</v>
      </c>
      <c r="G187" s="378">
        <f t="shared" si="65"/>
        <v>164483.41680000001</v>
      </c>
      <c r="H187" s="379">
        <f t="shared" si="63"/>
        <v>-0.21626773988561743</v>
      </c>
      <c r="I187" s="378"/>
    </row>
    <row r="188" spans="2:15" x14ac:dyDescent="0.25">
      <c r="B188" s="650">
        <v>42527</v>
      </c>
      <c r="C188" s="377">
        <v>8178</v>
      </c>
      <c r="D188" s="651">
        <v>17.568999999999999</v>
      </c>
      <c r="E188" s="378">
        <v>13.96</v>
      </c>
      <c r="F188" s="378">
        <f t="shared" si="64"/>
        <v>-29514.401999999984</v>
      </c>
      <c r="G188" s="378">
        <f t="shared" si="65"/>
        <v>143679.28200000001</v>
      </c>
      <c r="H188" s="379">
        <f t="shared" si="63"/>
        <v>-0.20541863509590746</v>
      </c>
      <c r="I188" s="378"/>
    </row>
    <row r="189" spans="2:15" x14ac:dyDescent="0.25">
      <c r="B189" s="650">
        <v>42528</v>
      </c>
      <c r="C189" s="377">
        <v>7678</v>
      </c>
      <c r="D189" s="651">
        <v>17.759599999999999</v>
      </c>
      <c r="E189" s="378">
        <v>14.62</v>
      </c>
      <c r="F189" s="378">
        <f t="shared" si="64"/>
        <v>-24105.848799999996</v>
      </c>
      <c r="G189" s="378">
        <f t="shared" si="65"/>
        <v>136358.20879999999</v>
      </c>
      <c r="H189" s="379">
        <f t="shared" si="63"/>
        <v>-0.17678326088425414</v>
      </c>
      <c r="I189" s="378"/>
    </row>
    <row r="190" spans="2:15" x14ac:dyDescent="0.25">
      <c r="B190" s="650">
        <v>42529</v>
      </c>
      <c r="C190" s="377">
        <v>8178</v>
      </c>
      <c r="D190" s="651">
        <v>17.5654</v>
      </c>
      <c r="E190" s="378">
        <v>14.53</v>
      </c>
      <c r="F190" s="378">
        <f t="shared" si="64"/>
        <v>-24823.50120000001</v>
      </c>
      <c r="G190" s="378">
        <f t="shared" si="65"/>
        <v>143649.8412</v>
      </c>
      <c r="H190" s="379">
        <f t="shared" si="63"/>
        <v>-0.17280562924840887</v>
      </c>
      <c r="I190" s="378"/>
    </row>
    <row r="191" spans="2:15" x14ac:dyDescent="0.25">
      <c r="B191" s="650">
        <v>42531</v>
      </c>
      <c r="C191" s="377">
        <v>8978</v>
      </c>
      <c r="D191" s="651">
        <v>17.1751</v>
      </c>
      <c r="E191" s="378">
        <v>13.42</v>
      </c>
      <c r="F191" s="378">
        <f t="shared" ref="F191:F199" si="66">C191*(E191-D191)</f>
        <v>-33713.287800000006</v>
      </c>
      <c r="G191" s="378">
        <f t="shared" ref="G191:G199" si="67">IF(C191=0, 0,D191*C191)</f>
        <v>154198.0478</v>
      </c>
      <c r="H191" s="379">
        <f t="shared" ref="H191:H199" si="68">IF(C191=0, D191, (E191-D191)/D191)</f>
        <v>-0.21863628159370255</v>
      </c>
      <c r="I191" s="378"/>
    </row>
    <row r="192" spans="2:15" x14ac:dyDescent="0.25">
      <c r="B192" s="650">
        <v>42531</v>
      </c>
      <c r="C192" s="398">
        <v>9278</v>
      </c>
      <c r="D192" s="652">
        <v>17.1052</v>
      </c>
      <c r="E192" s="378">
        <v>13.42</v>
      </c>
      <c r="F192" s="378">
        <f t="shared" si="66"/>
        <v>-34191.285600000003</v>
      </c>
      <c r="G192" s="378">
        <f t="shared" si="67"/>
        <v>158702.04560000001</v>
      </c>
      <c r="H192" s="379">
        <f t="shared" si="68"/>
        <v>-0.21544325702125669</v>
      </c>
      <c r="I192" s="378"/>
      <c r="N192" s="71"/>
    </row>
    <row r="193" spans="2:9" x14ac:dyDescent="0.25">
      <c r="B193" s="650">
        <v>42532</v>
      </c>
      <c r="C193" s="377">
        <v>9278</v>
      </c>
      <c r="D193" s="651">
        <v>17.053000000000001</v>
      </c>
      <c r="E193" s="378">
        <v>13.42</v>
      </c>
      <c r="F193" s="378">
        <f t="shared" si="66"/>
        <v>-33706.974000000009</v>
      </c>
      <c r="G193" s="378">
        <f t="shared" si="67"/>
        <v>158217.734</v>
      </c>
      <c r="H193" s="379">
        <f t="shared" si="68"/>
        <v>-0.21304169354365804</v>
      </c>
      <c r="I193" s="378" t="s">
        <v>184</v>
      </c>
    </row>
    <row r="194" spans="2:9" x14ac:dyDescent="0.25">
      <c r="B194" s="650">
        <v>42535</v>
      </c>
      <c r="C194" s="377">
        <v>9678</v>
      </c>
      <c r="D194" s="651">
        <v>16.879300000000001</v>
      </c>
      <c r="E194" s="378">
        <v>13.23</v>
      </c>
      <c r="F194" s="378">
        <f t="shared" si="66"/>
        <v>-35317.9254</v>
      </c>
      <c r="G194" s="378">
        <f t="shared" si="67"/>
        <v>163357.86540000001</v>
      </c>
      <c r="H194" s="379">
        <f t="shared" si="68"/>
        <v>-0.21619972392220058</v>
      </c>
      <c r="I194" s="378" t="s">
        <v>221</v>
      </c>
    </row>
    <row r="195" spans="2:9" x14ac:dyDescent="0.25">
      <c r="B195" s="650">
        <v>42536</v>
      </c>
      <c r="C195" s="377">
        <v>9278</v>
      </c>
      <c r="D195" s="651">
        <v>17.027999999999999</v>
      </c>
      <c r="E195" s="378">
        <v>13.06</v>
      </c>
      <c r="F195" s="378">
        <f t="shared" si="66"/>
        <v>-36815.103999999985</v>
      </c>
      <c r="G195" s="378">
        <f t="shared" si="67"/>
        <v>157985.78399999999</v>
      </c>
      <c r="H195" s="379">
        <f t="shared" si="68"/>
        <v>-0.23302795395818643</v>
      </c>
      <c r="I195" s="378"/>
    </row>
    <row r="196" spans="2:9" x14ac:dyDescent="0.25">
      <c r="B196" s="650">
        <v>42537</v>
      </c>
      <c r="C196" s="398">
        <v>9278</v>
      </c>
      <c r="D196" s="652">
        <v>17.0168</v>
      </c>
      <c r="E196" s="378">
        <v>12.67</v>
      </c>
      <c r="F196" s="378">
        <f t="shared" si="66"/>
        <v>-40329.610399999998</v>
      </c>
      <c r="G196" s="378">
        <f t="shared" si="67"/>
        <v>157881.87039999999</v>
      </c>
      <c r="H196" s="379">
        <f t="shared" si="68"/>
        <v>-0.25544168116214566</v>
      </c>
      <c r="I196" s="378"/>
    </row>
    <row r="197" spans="2:9" x14ac:dyDescent="0.25">
      <c r="B197" s="650">
        <v>42538</v>
      </c>
      <c r="C197" s="398">
        <v>9278</v>
      </c>
      <c r="D197" s="652">
        <v>17.0061</v>
      </c>
      <c r="E197" s="378">
        <v>13.16</v>
      </c>
      <c r="F197" s="378">
        <f t="shared" si="66"/>
        <v>-35684.1158</v>
      </c>
      <c r="G197" s="378">
        <f t="shared" si="67"/>
        <v>157782.59580000001</v>
      </c>
      <c r="H197" s="379">
        <f t="shared" si="68"/>
        <v>-0.2261600249322302</v>
      </c>
      <c r="I197" s="378"/>
    </row>
    <row r="198" spans="2:9" x14ac:dyDescent="0.25">
      <c r="B198" s="650">
        <v>42541</v>
      </c>
      <c r="C198" s="377">
        <v>7678</v>
      </c>
      <c r="D198" s="651">
        <v>17.568000000000001</v>
      </c>
      <c r="E198" s="378">
        <v>14.48</v>
      </c>
      <c r="F198" s="378">
        <f t="shared" si="66"/>
        <v>-23709.664000000008</v>
      </c>
      <c r="G198" s="378">
        <f t="shared" si="67"/>
        <v>134887.10400000002</v>
      </c>
      <c r="H198" s="380">
        <f t="shared" si="68"/>
        <v>-0.17577413479052828</v>
      </c>
      <c r="I198" s="378"/>
    </row>
    <row r="199" spans="2:9" x14ac:dyDescent="0.25">
      <c r="B199" s="650">
        <v>42542</v>
      </c>
      <c r="C199" s="377">
        <v>6800</v>
      </c>
      <c r="D199" s="651">
        <v>17.892099999999999</v>
      </c>
      <c r="E199" s="378">
        <v>15.09</v>
      </c>
      <c r="F199" s="378">
        <f t="shared" si="66"/>
        <v>-19054.279999999995</v>
      </c>
      <c r="G199" s="378">
        <f t="shared" si="67"/>
        <v>121666.28</v>
      </c>
      <c r="H199" s="380">
        <f t="shared" si="68"/>
        <v>-0.15661101827063337</v>
      </c>
      <c r="I199" s="378"/>
    </row>
    <row r="200" spans="2:9" x14ac:dyDescent="0.25">
      <c r="B200" s="650">
        <v>42543</v>
      </c>
      <c r="C200" s="377">
        <v>7300</v>
      </c>
      <c r="D200" s="651">
        <v>17.6769</v>
      </c>
      <c r="E200" s="378">
        <v>14.75</v>
      </c>
      <c r="F200" s="378">
        <f t="shared" ref="F200:F208" si="69">C200*(E200-D200)</f>
        <v>-21366.37</v>
      </c>
      <c r="G200" s="378">
        <f t="shared" ref="G200:G208" si="70">IF(C200=0, 0,D200*C200)</f>
        <v>129041.37</v>
      </c>
      <c r="H200" s="380">
        <f t="shared" ref="H200:H208" si="71">IF(C200=0, D200, (E200-D200)/D200)</f>
        <v>-0.16557767481854849</v>
      </c>
      <c r="I200" s="378"/>
    </row>
    <row r="201" spans="2:9" ht="15" customHeight="1" x14ac:dyDescent="0.25">
      <c r="B201" s="650">
        <v>42544</v>
      </c>
      <c r="C201" s="377">
        <v>6800</v>
      </c>
      <c r="D201" s="651">
        <v>17.856100000000001</v>
      </c>
      <c r="E201" s="378">
        <v>15.27</v>
      </c>
      <c r="F201" s="378">
        <f t="shared" si="69"/>
        <v>-17585.480000000014</v>
      </c>
      <c r="G201" s="378">
        <f t="shared" si="70"/>
        <v>121421.48000000001</v>
      </c>
      <c r="H201" s="380">
        <f t="shared" si="71"/>
        <v>-0.1448300580753917</v>
      </c>
      <c r="I201" s="378"/>
    </row>
    <row r="202" spans="2:9" x14ac:dyDescent="0.25">
      <c r="B202" s="650">
        <v>42545</v>
      </c>
      <c r="C202" s="377">
        <v>7678</v>
      </c>
      <c r="D202" s="651">
        <v>17.462</v>
      </c>
      <c r="E202" s="378">
        <v>14.41</v>
      </c>
      <c r="F202" s="378">
        <f t="shared" si="69"/>
        <v>-23433.255999999998</v>
      </c>
      <c r="G202" s="378">
        <f t="shared" si="70"/>
        <v>134073.236</v>
      </c>
      <c r="H202" s="380">
        <f t="shared" si="71"/>
        <v>-0.17477952124613444</v>
      </c>
      <c r="I202" s="378"/>
    </row>
    <row r="203" spans="2:9" x14ac:dyDescent="0.25">
      <c r="B203" s="650">
        <v>42545</v>
      </c>
      <c r="C203" s="377">
        <v>8013</v>
      </c>
      <c r="D203" s="651">
        <v>17.32</v>
      </c>
      <c r="E203" s="378">
        <v>14.68</v>
      </c>
      <c r="F203" s="378">
        <f t="shared" si="69"/>
        <v>-21154.320000000003</v>
      </c>
      <c r="G203" s="378">
        <f t="shared" si="70"/>
        <v>138785.16</v>
      </c>
      <c r="H203" s="380">
        <f t="shared" si="71"/>
        <v>-0.15242494226327949</v>
      </c>
      <c r="I203" s="378"/>
    </row>
    <row r="204" spans="2:9" x14ac:dyDescent="0.25">
      <c r="B204" s="650">
        <v>42548</v>
      </c>
      <c r="C204" s="377">
        <v>8978</v>
      </c>
      <c r="D204" s="651">
        <v>16.943300000000001</v>
      </c>
      <c r="E204" s="378">
        <v>13.66</v>
      </c>
      <c r="F204" s="378">
        <f t="shared" si="69"/>
        <v>-29477.467400000005</v>
      </c>
      <c r="G204" s="378">
        <f t="shared" si="70"/>
        <v>152116.9474</v>
      </c>
      <c r="H204" s="380">
        <f t="shared" si="71"/>
        <v>-0.19378161279089673</v>
      </c>
      <c r="I204" s="378"/>
    </row>
    <row r="205" spans="2:9" x14ac:dyDescent="0.25">
      <c r="B205" s="650">
        <v>42548</v>
      </c>
      <c r="C205" s="377">
        <v>9278</v>
      </c>
      <c r="D205" s="651">
        <v>16.834599999999998</v>
      </c>
      <c r="E205" s="378">
        <v>13.66</v>
      </c>
      <c r="F205" s="378">
        <f t="shared" si="69"/>
        <v>-29453.938799999982</v>
      </c>
      <c r="G205" s="378">
        <f t="shared" si="70"/>
        <v>156191.41879999998</v>
      </c>
      <c r="H205" s="379">
        <f t="shared" si="71"/>
        <v>-0.18857590913951019</v>
      </c>
      <c r="I205" s="378"/>
    </row>
    <row r="206" spans="2:9" x14ac:dyDescent="0.25">
      <c r="B206" s="650">
        <v>42549</v>
      </c>
      <c r="C206" s="377">
        <v>8178</v>
      </c>
      <c r="D206" s="651">
        <v>17.124400000000001</v>
      </c>
      <c r="E206" s="378">
        <v>14.78</v>
      </c>
      <c r="F206" s="378">
        <f t="shared" si="69"/>
        <v>-19172.503200000017</v>
      </c>
      <c r="G206" s="378">
        <f t="shared" si="70"/>
        <v>140043.3432</v>
      </c>
      <c r="H206" s="379">
        <f t="shared" si="71"/>
        <v>-0.13690406671182651</v>
      </c>
      <c r="I206" s="378">
        <v>17</v>
      </c>
    </row>
    <row r="207" spans="2:9" x14ac:dyDescent="0.25">
      <c r="B207" s="650">
        <v>42552</v>
      </c>
      <c r="C207" s="377">
        <v>7678</v>
      </c>
      <c r="D207" s="651">
        <v>17.2315</v>
      </c>
      <c r="E207" s="378">
        <v>15.48</v>
      </c>
      <c r="F207" s="378">
        <f t="shared" si="69"/>
        <v>-13448.017</v>
      </c>
      <c r="G207" s="378">
        <f t="shared" si="70"/>
        <v>132303.45699999999</v>
      </c>
      <c r="H207" s="379">
        <f t="shared" si="71"/>
        <v>-0.1016452427240809</v>
      </c>
      <c r="I207" s="378">
        <v>17</v>
      </c>
    </row>
    <row r="208" spans="2:9" x14ac:dyDescent="0.25">
      <c r="B208" s="650">
        <v>42552</v>
      </c>
      <c r="C208" s="377">
        <v>7300</v>
      </c>
      <c r="D208" s="651">
        <v>17.313400000000001</v>
      </c>
      <c r="E208" s="378">
        <v>15.65</v>
      </c>
      <c r="F208" s="378">
        <f t="shared" si="69"/>
        <v>-12142.820000000009</v>
      </c>
      <c r="G208" s="378">
        <f t="shared" si="70"/>
        <v>126387.82</v>
      </c>
      <c r="H208" s="379">
        <f t="shared" si="71"/>
        <v>-9.6075871868032903E-2</v>
      </c>
      <c r="I208" s="378"/>
    </row>
    <row r="209" spans="2:16" x14ac:dyDescent="0.25">
      <c r="B209" s="650">
        <v>42552</v>
      </c>
      <c r="C209" s="377">
        <v>6800</v>
      </c>
      <c r="D209" s="651">
        <v>17.446100000000001</v>
      </c>
      <c r="E209" s="378">
        <v>15.7</v>
      </c>
      <c r="F209" s="378">
        <f t="shared" ref="F209:F230" si="72">C209*(E209-D209)</f>
        <v>-11873.480000000014</v>
      </c>
      <c r="G209" s="378">
        <f t="shared" ref="G209:G230" si="73">IF(C209=0, 0,D209*C209)</f>
        <v>118633.48000000001</v>
      </c>
      <c r="H209" s="379">
        <f t="shared" ref="H209:H230" si="74">IF(C209=0, D209, (E209-D209)/D209)</f>
        <v>-0.10008540590733757</v>
      </c>
      <c r="I209" s="378"/>
    </row>
    <row r="210" spans="2:16" ht="15" customHeight="1" x14ac:dyDescent="0.25">
      <c r="B210" s="650">
        <v>42552</v>
      </c>
      <c r="C210" s="377">
        <v>6000</v>
      </c>
      <c r="D210" s="651">
        <v>17.668199999999999</v>
      </c>
      <c r="E210" s="378">
        <v>15.68</v>
      </c>
      <c r="F210" s="378">
        <f t="shared" si="72"/>
        <v>-11929.199999999995</v>
      </c>
      <c r="G210" s="378">
        <f t="shared" si="73"/>
        <v>106009.2</v>
      </c>
      <c r="H210" s="379">
        <f t="shared" si="74"/>
        <v>-0.11252985589929926</v>
      </c>
      <c r="I210" s="378"/>
    </row>
    <row r="211" spans="2:16" ht="15" customHeight="1" x14ac:dyDescent="0.25">
      <c r="B211" s="650">
        <v>42556</v>
      </c>
      <c r="C211" s="377">
        <v>8178</v>
      </c>
      <c r="D211" s="651">
        <v>16.978899999999999</v>
      </c>
      <c r="E211" s="378">
        <v>14.72</v>
      </c>
      <c r="F211" s="378">
        <f t="shared" si="72"/>
        <v>-18473.284199999991</v>
      </c>
      <c r="G211" s="378">
        <f t="shared" si="73"/>
        <v>138853.4442</v>
      </c>
      <c r="H211" s="379">
        <f t="shared" si="74"/>
        <v>-0.13304159869013887</v>
      </c>
      <c r="I211" s="378">
        <v>16.75</v>
      </c>
    </row>
    <row r="212" spans="2:16" x14ac:dyDescent="0.25">
      <c r="B212" s="650">
        <v>42556</v>
      </c>
      <c r="C212" s="377">
        <v>8678</v>
      </c>
      <c r="D212" s="651">
        <v>16.843</v>
      </c>
      <c r="E212" s="378">
        <v>14.72</v>
      </c>
      <c r="F212" s="378">
        <f t="shared" si="72"/>
        <v>-18423.393999999993</v>
      </c>
      <c r="G212" s="378">
        <f t="shared" si="73"/>
        <v>146163.554</v>
      </c>
      <c r="H212" s="379">
        <f t="shared" si="74"/>
        <v>-0.12604642878347083</v>
      </c>
      <c r="I212" s="378"/>
    </row>
    <row r="213" spans="2:16" x14ac:dyDescent="0.25">
      <c r="B213" s="650">
        <v>42557</v>
      </c>
      <c r="C213" s="377">
        <v>8178</v>
      </c>
      <c r="D213" s="651">
        <v>16.960599999999999</v>
      </c>
      <c r="E213" s="378">
        <v>14.84</v>
      </c>
      <c r="F213" s="378">
        <f t="shared" si="72"/>
        <v>-17342.266799999998</v>
      </c>
      <c r="G213" s="378">
        <f t="shared" si="73"/>
        <v>138703.7868</v>
      </c>
      <c r="H213" s="379">
        <f t="shared" si="74"/>
        <v>-0.12503095409360515</v>
      </c>
      <c r="I213" s="378">
        <v>16.75</v>
      </c>
    </row>
    <row r="214" spans="2:16" x14ac:dyDescent="0.25">
      <c r="B214" s="650">
        <v>42557</v>
      </c>
      <c r="C214" s="377">
        <v>8678</v>
      </c>
      <c r="D214" s="651">
        <v>16.835000000000001</v>
      </c>
      <c r="E214" s="378">
        <v>14.84</v>
      </c>
      <c r="F214" s="378">
        <f t="shared" si="72"/>
        <v>-17312.610000000008</v>
      </c>
      <c r="G214" s="378">
        <f t="shared" si="73"/>
        <v>146094.13</v>
      </c>
      <c r="H214" s="379">
        <f t="shared" si="74"/>
        <v>-0.11850311850311855</v>
      </c>
      <c r="I214" s="378"/>
    </row>
    <row r="215" spans="2:16" x14ac:dyDescent="0.25">
      <c r="B215" s="650">
        <v>42559</v>
      </c>
      <c r="C215" s="377">
        <v>8678</v>
      </c>
      <c r="D215" s="651">
        <v>16.835000000000001</v>
      </c>
      <c r="E215" s="378">
        <v>14.92</v>
      </c>
      <c r="F215" s="378">
        <f t="shared" si="72"/>
        <v>-16618.370000000006</v>
      </c>
      <c r="G215" s="378">
        <f t="shared" si="73"/>
        <v>146094.13</v>
      </c>
      <c r="H215" s="379">
        <f t="shared" si="74"/>
        <v>-0.1137511137511138</v>
      </c>
      <c r="I215" s="378"/>
    </row>
    <row r="216" spans="2:16" x14ac:dyDescent="0.25">
      <c r="B216" s="650">
        <v>42562</v>
      </c>
      <c r="C216" s="377">
        <v>8678</v>
      </c>
      <c r="D216" s="651">
        <v>16.835000000000001</v>
      </c>
      <c r="E216" s="378">
        <v>14.69</v>
      </c>
      <c r="F216" s="378">
        <f t="shared" si="72"/>
        <v>-18614.310000000012</v>
      </c>
      <c r="G216" s="378">
        <f t="shared" si="73"/>
        <v>146094.13</v>
      </c>
      <c r="H216" s="379">
        <f t="shared" si="74"/>
        <v>-0.12741312741312749</v>
      </c>
      <c r="I216" s="378"/>
    </row>
    <row r="217" spans="2:16" x14ac:dyDescent="0.25">
      <c r="B217" s="650">
        <v>42563</v>
      </c>
      <c r="C217" s="377">
        <v>8678</v>
      </c>
      <c r="D217" s="651">
        <v>16.835000000000001</v>
      </c>
      <c r="E217" s="378">
        <v>15.6</v>
      </c>
      <c r="F217" s="378">
        <f t="shared" si="72"/>
        <v>-10717.330000000011</v>
      </c>
      <c r="G217" s="378">
        <f t="shared" si="73"/>
        <v>146094.13</v>
      </c>
      <c r="H217" s="379">
        <f t="shared" si="74"/>
        <v>-7.3359073359073421E-2</v>
      </c>
      <c r="I217" s="378"/>
    </row>
    <row r="218" spans="2:16" x14ac:dyDescent="0.25">
      <c r="B218" s="650">
        <v>42564</v>
      </c>
      <c r="C218" s="377">
        <v>8738</v>
      </c>
      <c r="D218" s="651">
        <v>16.816099999999999</v>
      </c>
      <c r="E218" s="378">
        <v>15.29</v>
      </c>
      <c r="F218" s="378">
        <f t="shared" si="72"/>
        <v>-13335.061799999996</v>
      </c>
      <c r="G218" s="378">
        <f t="shared" si="73"/>
        <v>146939.08179999999</v>
      </c>
      <c r="H218" s="379">
        <f t="shared" si="74"/>
        <v>-9.0752314745987453E-2</v>
      </c>
      <c r="I218" s="378"/>
      <c r="P218" s="71"/>
    </row>
    <row r="219" spans="2:16" x14ac:dyDescent="0.25">
      <c r="B219" s="650">
        <v>42566</v>
      </c>
      <c r="C219" s="377">
        <v>8738</v>
      </c>
      <c r="D219" s="651">
        <v>16.816099999999999</v>
      </c>
      <c r="E219" s="378">
        <v>15.21</v>
      </c>
      <c r="F219" s="378">
        <f t="shared" si="72"/>
        <v>-14034.101799999982</v>
      </c>
      <c r="G219" s="378">
        <f t="shared" si="73"/>
        <v>146939.08179999999</v>
      </c>
      <c r="H219" s="379">
        <f t="shared" si="74"/>
        <v>-9.5509660384988079E-2</v>
      </c>
      <c r="I219" s="378"/>
      <c r="N219" s="71"/>
      <c r="P219" s="71"/>
    </row>
    <row r="220" spans="2:16" x14ac:dyDescent="0.25">
      <c r="B220" s="650">
        <v>42570</v>
      </c>
      <c r="C220" s="377">
        <v>9138</v>
      </c>
      <c r="D220" s="651">
        <v>16.733499999999999</v>
      </c>
      <c r="E220" s="378">
        <v>14.75</v>
      </c>
      <c r="F220" s="378">
        <f t="shared" si="72"/>
        <v>-18125.222999999994</v>
      </c>
      <c r="G220" s="378">
        <f t="shared" si="73"/>
        <v>152910.723</v>
      </c>
      <c r="H220" s="379">
        <f t="shared" si="74"/>
        <v>-0.1185346759494427</v>
      </c>
      <c r="I220" s="378"/>
    </row>
    <row r="221" spans="2:16" x14ac:dyDescent="0.25">
      <c r="B221" s="650">
        <v>42571</v>
      </c>
      <c r="C221" s="398">
        <v>9138</v>
      </c>
      <c r="D221" s="652">
        <v>16.7227</v>
      </c>
      <c r="E221" s="378">
        <v>14.84</v>
      </c>
      <c r="F221" s="378">
        <f t="shared" si="72"/>
        <v>-17204.112599999997</v>
      </c>
      <c r="G221" s="378">
        <f t="shared" si="73"/>
        <v>152812.03260000001</v>
      </c>
      <c r="H221" s="379">
        <f t="shared" si="74"/>
        <v>-0.11258349429218965</v>
      </c>
      <c r="I221" s="378"/>
    </row>
    <row r="222" spans="2:16" x14ac:dyDescent="0.25">
      <c r="B222" s="650">
        <v>42572</v>
      </c>
      <c r="C222" s="377">
        <v>9138</v>
      </c>
      <c r="D222" s="651">
        <v>16.718900000000001</v>
      </c>
      <c r="E222" s="378">
        <v>14.42</v>
      </c>
      <c r="F222" s="378">
        <f t="shared" si="72"/>
        <v>-21007.348200000015</v>
      </c>
      <c r="G222" s="378">
        <f t="shared" si="73"/>
        <v>152777.3082</v>
      </c>
      <c r="H222" s="379">
        <f t="shared" si="74"/>
        <v>-0.13750306539305823</v>
      </c>
      <c r="I222" s="378"/>
    </row>
    <row r="223" spans="2:16" x14ac:dyDescent="0.25">
      <c r="B223" s="650">
        <v>42573</v>
      </c>
      <c r="C223" s="377">
        <v>9278</v>
      </c>
      <c r="D223" s="651">
        <v>16.679099999999998</v>
      </c>
      <c r="E223" s="378">
        <v>14.11</v>
      </c>
      <c r="F223" s="378">
        <f t="shared" si="72"/>
        <v>-23836.109799999987</v>
      </c>
      <c r="G223" s="378">
        <f t="shared" si="73"/>
        <v>154748.68979999999</v>
      </c>
      <c r="H223" s="379">
        <f t="shared" si="74"/>
        <v>-0.15403109280476759</v>
      </c>
      <c r="I223" s="378"/>
    </row>
    <row r="224" spans="2:16" x14ac:dyDescent="0.25">
      <c r="B224" s="650">
        <v>42576</v>
      </c>
      <c r="C224" s="377">
        <v>9478</v>
      </c>
      <c r="D224" s="651">
        <v>16.613099999999999</v>
      </c>
      <c r="E224" s="378">
        <v>13.58</v>
      </c>
      <c r="F224" s="378">
        <f t="shared" si="72"/>
        <v>-28747.721799999992</v>
      </c>
      <c r="G224" s="378">
        <f t="shared" si="73"/>
        <v>157458.96179999999</v>
      </c>
      <c r="H224" s="379">
        <f t="shared" si="74"/>
        <v>-0.18257278894366491</v>
      </c>
      <c r="I224" s="378"/>
    </row>
    <row r="225" spans="2:17" ht="15" customHeight="1" x14ac:dyDescent="0.25">
      <c r="B225" s="650">
        <v>42577</v>
      </c>
      <c r="C225" s="398">
        <v>9278</v>
      </c>
      <c r="D225" s="652">
        <v>16.674199999999999</v>
      </c>
      <c r="E225" s="378">
        <v>13.78</v>
      </c>
      <c r="F225" s="378">
        <f t="shared" si="72"/>
        <v>-26852.387599999998</v>
      </c>
      <c r="G225" s="378">
        <f t="shared" si="73"/>
        <v>154703.22759999998</v>
      </c>
      <c r="H225" s="379">
        <f t="shared" si="74"/>
        <v>-0.17357354475776948</v>
      </c>
      <c r="I225" s="378">
        <v>16.53</v>
      </c>
    </row>
    <row r="226" spans="2:17" ht="18.75" customHeight="1" x14ac:dyDescent="0.25">
      <c r="B226" s="650">
        <v>42578</v>
      </c>
      <c r="C226" s="398">
        <v>9478</v>
      </c>
      <c r="D226" s="652">
        <v>16.6004</v>
      </c>
      <c r="E226" s="378">
        <v>13.13</v>
      </c>
      <c r="F226" s="378">
        <f t="shared" si="72"/>
        <v>-32892.451199999996</v>
      </c>
      <c r="G226" s="378">
        <f t="shared" si="73"/>
        <v>157338.5912</v>
      </c>
      <c r="H226" s="379">
        <f t="shared" si="74"/>
        <v>-0.20905520348907253</v>
      </c>
      <c r="I226" s="378"/>
    </row>
    <row r="227" spans="2:17" x14ac:dyDescent="0.25">
      <c r="B227" s="650">
        <v>42580</v>
      </c>
      <c r="C227" s="377">
        <v>9478</v>
      </c>
      <c r="D227" s="651">
        <v>16.599</v>
      </c>
      <c r="E227" s="378">
        <v>13.64</v>
      </c>
      <c r="F227" s="378">
        <f t="shared" si="72"/>
        <v>-28045.401999999998</v>
      </c>
      <c r="G227" s="378">
        <f t="shared" si="73"/>
        <v>157325.32200000001</v>
      </c>
      <c r="H227" s="380">
        <f t="shared" si="74"/>
        <v>-0.17826375082836313</v>
      </c>
      <c r="I227" s="378"/>
    </row>
    <row r="228" spans="2:17" x14ac:dyDescent="0.25">
      <c r="B228" s="650">
        <v>42580</v>
      </c>
      <c r="C228" s="377">
        <v>9278</v>
      </c>
      <c r="D228" s="651">
        <v>16.664000000000001</v>
      </c>
      <c r="E228" s="378">
        <v>13.64</v>
      </c>
      <c r="F228" s="378">
        <f t="shared" si="72"/>
        <v>-28056.67200000001</v>
      </c>
      <c r="G228" s="378">
        <f t="shared" si="73"/>
        <v>154608.592</v>
      </c>
      <c r="H228" s="380">
        <f t="shared" si="74"/>
        <v>-0.18146903504560732</v>
      </c>
      <c r="I228" s="378">
        <v>16.53</v>
      </c>
    </row>
    <row r="229" spans="2:17" x14ac:dyDescent="0.25">
      <c r="B229" s="650">
        <v>42583</v>
      </c>
      <c r="C229" s="377">
        <v>9478</v>
      </c>
      <c r="D229" s="651">
        <v>16.5871</v>
      </c>
      <c r="E229" s="378">
        <v>12.92</v>
      </c>
      <c r="F229" s="378">
        <f t="shared" si="72"/>
        <v>-34756.773799999995</v>
      </c>
      <c r="G229" s="378">
        <f t="shared" si="73"/>
        <v>157212.5338</v>
      </c>
      <c r="H229" s="380">
        <f t="shared" si="74"/>
        <v>-0.22108144280796521</v>
      </c>
      <c r="I229" s="378"/>
    </row>
    <row r="230" spans="2:17" x14ac:dyDescent="0.25">
      <c r="B230" s="650">
        <v>42584</v>
      </c>
      <c r="C230" s="377">
        <v>9678</v>
      </c>
      <c r="D230" s="651">
        <v>16.5063</v>
      </c>
      <c r="E230" s="378">
        <v>12.9</v>
      </c>
      <c r="F230" s="378">
        <f t="shared" si="72"/>
        <v>-34901.771399999991</v>
      </c>
      <c r="G230" s="378">
        <f t="shared" si="73"/>
        <v>159747.97140000001</v>
      </c>
      <c r="H230" s="380">
        <f t="shared" si="74"/>
        <v>-0.21848021664455386</v>
      </c>
      <c r="I230" s="378"/>
      <c r="P230" s="1"/>
    </row>
    <row r="231" spans="2:17" x14ac:dyDescent="0.25">
      <c r="B231" s="650">
        <v>42585</v>
      </c>
      <c r="C231" s="377">
        <v>10078</v>
      </c>
      <c r="D231" s="651">
        <v>16.5063</v>
      </c>
      <c r="E231" s="378">
        <v>12.9</v>
      </c>
      <c r="F231" s="378">
        <f t="shared" ref="F231:F246" si="75">C231*(E231-D231)</f>
        <v>-36344.291399999995</v>
      </c>
      <c r="G231" s="378">
        <f t="shared" ref="G231:G246" si="76">IF(C231=0, 0,D231*C231)</f>
        <v>166350.4914</v>
      </c>
      <c r="H231" s="380">
        <f t="shared" ref="H231:H246" si="77">IF(C231=0, D231, (E231-D231)/D231)</f>
        <v>-0.21848021664455386</v>
      </c>
      <c r="I231" s="378"/>
      <c r="Q231" s="71"/>
    </row>
    <row r="232" spans="2:17" x14ac:dyDescent="0.25">
      <c r="B232" s="650">
        <v>42586</v>
      </c>
      <c r="C232" s="377">
        <v>9678</v>
      </c>
      <c r="D232" s="651">
        <v>16.489799999999999</v>
      </c>
      <c r="E232" s="378">
        <v>13.41</v>
      </c>
      <c r="F232" s="378">
        <f t="shared" si="75"/>
        <v>-29806.304399999986</v>
      </c>
      <c r="G232" s="378">
        <f t="shared" si="76"/>
        <v>159588.28439999997</v>
      </c>
      <c r="H232" s="380">
        <f t="shared" si="77"/>
        <v>-0.1867700032747516</v>
      </c>
      <c r="I232" s="378"/>
      <c r="P232" s="1"/>
    </row>
    <row r="233" spans="2:17" x14ac:dyDescent="0.25">
      <c r="B233" s="650">
        <v>42586</v>
      </c>
      <c r="C233" s="377">
        <v>9278</v>
      </c>
      <c r="D233" s="651">
        <v>16.609200000000001</v>
      </c>
      <c r="E233" s="378">
        <v>13.66</v>
      </c>
      <c r="F233" s="378">
        <f t="shared" si="75"/>
        <v>-27362.67760000001</v>
      </c>
      <c r="G233" s="378">
        <f t="shared" si="76"/>
        <v>154100.15760000001</v>
      </c>
      <c r="H233" s="380">
        <f t="shared" si="77"/>
        <v>-0.17756424150470829</v>
      </c>
      <c r="I233" s="378">
        <v>16.53</v>
      </c>
      <c r="P233" s="1"/>
      <c r="Q233" s="71"/>
    </row>
    <row r="234" spans="2:17" x14ac:dyDescent="0.25">
      <c r="B234" s="650">
        <v>42586</v>
      </c>
      <c r="C234" s="377">
        <v>9138</v>
      </c>
      <c r="D234" s="651">
        <v>16.6511</v>
      </c>
      <c r="E234" s="378">
        <v>13.87</v>
      </c>
      <c r="F234" s="378">
        <f t="shared" si="75"/>
        <v>-25413.691800000004</v>
      </c>
      <c r="G234" s="378">
        <f t="shared" si="76"/>
        <v>152157.7518</v>
      </c>
      <c r="H234" s="379">
        <f t="shared" si="77"/>
        <v>-0.1670219985466426</v>
      </c>
      <c r="I234" s="378"/>
      <c r="P234" s="1"/>
    </row>
    <row r="235" spans="2:17" x14ac:dyDescent="0.25">
      <c r="B235" s="650">
        <v>42593</v>
      </c>
      <c r="C235" s="377">
        <v>8678</v>
      </c>
      <c r="D235" s="651">
        <v>16.760300000000001</v>
      </c>
      <c r="E235" s="378">
        <v>14.61</v>
      </c>
      <c r="F235" s="378">
        <f t="shared" si="75"/>
        <v>-18660.303400000012</v>
      </c>
      <c r="G235" s="378">
        <f t="shared" si="76"/>
        <v>145445.88340000002</v>
      </c>
      <c r="H235" s="379">
        <f t="shared" si="77"/>
        <v>-0.12829722618330228</v>
      </c>
      <c r="I235" s="378"/>
      <c r="P235" s="1"/>
      <c r="Q235" s="71"/>
    </row>
    <row r="236" spans="2:17" x14ac:dyDescent="0.25">
      <c r="B236" s="650">
        <v>42597</v>
      </c>
      <c r="C236" s="377">
        <v>8678</v>
      </c>
      <c r="D236" s="651">
        <v>16.7471</v>
      </c>
      <c r="E236" s="378">
        <v>14.9</v>
      </c>
      <c r="F236" s="378">
        <f t="shared" si="75"/>
        <v>-16029.133799999994</v>
      </c>
      <c r="G236" s="378">
        <f t="shared" si="76"/>
        <v>145331.33379999999</v>
      </c>
      <c r="H236" s="379">
        <f t="shared" si="77"/>
        <v>-0.11029372249523794</v>
      </c>
      <c r="I236" s="378"/>
      <c r="Q236" s="71"/>
    </row>
    <row r="237" spans="2:17" x14ac:dyDescent="0.25">
      <c r="B237" s="650">
        <v>42598</v>
      </c>
      <c r="C237" s="377">
        <v>8178</v>
      </c>
      <c r="D237" s="651">
        <v>16.8429</v>
      </c>
      <c r="E237" s="378">
        <v>15.17</v>
      </c>
      <c r="F237" s="378">
        <f t="shared" si="75"/>
        <v>-13680.976200000003</v>
      </c>
      <c r="G237" s="378">
        <f t="shared" si="76"/>
        <v>137741.23620000001</v>
      </c>
      <c r="H237" s="379">
        <f t="shared" si="77"/>
        <v>-9.9323750660515728E-2</v>
      </c>
      <c r="I237" s="378">
        <v>16.75</v>
      </c>
      <c r="N237" s="71"/>
      <c r="P237" s="1"/>
    </row>
    <row r="238" spans="2:17" x14ac:dyDescent="0.25">
      <c r="B238" s="650">
        <v>42599</v>
      </c>
      <c r="C238" s="377">
        <v>7178</v>
      </c>
      <c r="D238" s="651">
        <v>17.009899999999998</v>
      </c>
      <c r="E238" s="378">
        <v>15.7</v>
      </c>
      <c r="F238" s="378">
        <f t="shared" si="75"/>
        <v>-9402.4621999999927</v>
      </c>
      <c r="G238" s="378">
        <f t="shared" si="76"/>
        <v>122097.06219999999</v>
      </c>
      <c r="H238" s="379">
        <f t="shared" si="77"/>
        <v>-7.7008095285686515E-2</v>
      </c>
      <c r="I238" s="378"/>
    </row>
    <row r="239" spans="2:17" x14ac:dyDescent="0.25">
      <c r="B239" s="650">
        <v>42600</v>
      </c>
      <c r="C239" s="377">
        <v>5500</v>
      </c>
      <c r="D239" s="651">
        <v>17.185600000000001</v>
      </c>
      <c r="E239" s="378">
        <v>16.68</v>
      </c>
      <c r="F239" s="378">
        <f t="shared" si="75"/>
        <v>-2780.8000000000065</v>
      </c>
      <c r="G239" s="378">
        <f t="shared" si="76"/>
        <v>94520.8</v>
      </c>
      <c r="H239" s="379">
        <f t="shared" si="77"/>
        <v>-2.9419979517735846E-2</v>
      </c>
      <c r="I239" s="378"/>
    </row>
    <row r="240" spans="2:17" x14ac:dyDescent="0.25">
      <c r="B240" s="650">
        <v>42601</v>
      </c>
      <c r="C240" s="377">
        <v>5000</v>
      </c>
      <c r="D240" s="651">
        <v>17.222200000000001</v>
      </c>
      <c r="E240" s="378">
        <v>16.8</v>
      </c>
      <c r="F240" s="378">
        <f t="shared" si="75"/>
        <v>-2111.0000000000005</v>
      </c>
      <c r="G240" s="378">
        <f t="shared" si="76"/>
        <v>86111</v>
      </c>
      <c r="H240" s="379">
        <f t="shared" si="77"/>
        <v>-2.4514870341768188E-2</v>
      </c>
      <c r="I240" s="378"/>
    </row>
    <row r="241" spans="2:9" x14ac:dyDescent="0.25">
      <c r="B241" s="650">
        <v>42604</v>
      </c>
      <c r="C241" s="377">
        <v>6000</v>
      </c>
      <c r="D241" s="651">
        <v>16.9651</v>
      </c>
      <c r="E241" s="378">
        <v>15.64</v>
      </c>
      <c r="F241" s="378">
        <f t="shared" si="75"/>
        <v>-7950.599999999994</v>
      </c>
      <c r="G241" s="378">
        <f t="shared" si="76"/>
        <v>101790.59999999999</v>
      </c>
      <c r="H241" s="379">
        <f t="shared" si="77"/>
        <v>-7.8107408739117312E-2</v>
      </c>
      <c r="I241" s="378"/>
    </row>
    <row r="242" spans="2:9" x14ac:dyDescent="0.25">
      <c r="B242" s="650">
        <v>42604</v>
      </c>
      <c r="C242" s="377">
        <v>6500</v>
      </c>
      <c r="D242" s="651">
        <v>16.850899999999999</v>
      </c>
      <c r="E242" s="378">
        <v>15.64</v>
      </c>
      <c r="F242" s="378">
        <f t="shared" si="75"/>
        <v>-7870.8499999999922</v>
      </c>
      <c r="G242" s="378">
        <f t="shared" si="76"/>
        <v>109530.84999999999</v>
      </c>
      <c r="H242" s="379">
        <f t="shared" si="77"/>
        <v>-7.1859663282079822E-2</v>
      </c>
      <c r="I242" s="378"/>
    </row>
    <row r="243" spans="2:9" x14ac:dyDescent="0.25">
      <c r="B243" s="650">
        <v>42605</v>
      </c>
      <c r="C243" s="377">
        <v>6000</v>
      </c>
      <c r="D243" s="651">
        <v>16.923500000000001</v>
      </c>
      <c r="E243" s="378">
        <v>16.43</v>
      </c>
      <c r="F243" s="378">
        <f t="shared" si="75"/>
        <v>-2961.0000000000055</v>
      </c>
      <c r="G243" s="378">
        <f t="shared" si="76"/>
        <v>101541</v>
      </c>
      <c r="H243" s="379">
        <f t="shared" si="77"/>
        <v>-2.9160634620498178E-2</v>
      </c>
      <c r="I243" s="378"/>
    </row>
    <row r="244" spans="2:9" x14ac:dyDescent="0.25">
      <c r="B244" s="650">
        <v>42605</v>
      </c>
      <c r="C244" s="377">
        <v>5500</v>
      </c>
      <c r="D244" s="651">
        <v>16.9848</v>
      </c>
      <c r="E244" s="378">
        <v>16.43</v>
      </c>
      <c r="F244" s="378">
        <f t="shared" si="75"/>
        <v>-3051.400000000001</v>
      </c>
      <c r="G244" s="378">
        <f t="shared" si="76"/>
        <v>93416.4</v>
      </c>
      <c r="H244" s="379">
        <f t="shared" si="77"/>
        <v>-3.266450002355048E-2</v>
      </c>
      <c r="I244" s="378"/>
    </row>
    <row r="245" spans="2:9" x14ac:dyDescent="0.25">
      <c r="B245" s="650">
        <v>42605</v>
      </c>
      <c r="C245" s="377">
        <v>5000</v>
      </c>
      <c r="D245" s="651">
        <v>17.035299999999999</v>
      </c>
      <c r="E245" s="378">
        <v>16.43</v>
      </c>
      <c r="F245" s="378">
        <f t="shared" si="75"/>
        <v>-3026.4999999999986</v>
      </c>
      <c r="G245" s="378">
        <f t="shared" si="76"/>
        <v>85176.5</v>
      </c>
      <c r="H245" s="379">
        <f t="shared" si="77"/>
        <v>-3.5532100990296606E-2</v>
      </c>
      <c r="I245" s="378"/>
    </row>
    <row r="246" spans="2:9" x14ac:dyDescent="0.25">
      <c r="B246" s="650">
        <v>42606</v>
      </c>
      <c r="C246" s="377">
        <v>5178</v>
      </c>
      <c r="D246" s="651">
        <v>17.0017</v>
      </c>
      <c r="E246" s="378">
        <v>16.059999999999999</v>
      </c>
      <c r="F246" s="378">
        <f t="shared" si="75"/>
        <v>-4876.1226000000042</v>
      </c>
      <c r="G246" s="378">
        <f t="shared" si="76"/>
        <v>88034.802599999995</v>
      </c>
      <c r="H246" s="379">
        <f t="shared" si="77"/>
        <v>-5.5388578789179958E-2</v>
      </c>
      <c r="I246" s="378"/>
    </row>
    <row r="247" spans="2:9" x14ac:dyDescent="0.25">
      <c r="B247" s="650">
        <v>42607</v>
      </c>
      <c r="C247" s="377">
        <v>5178</v>
      </c>
      <c r="D247" s="651">
        <v>17.0017</v>
      </c>
      <c r="E247" s="378">
        <v>16.010000000000002</v>
      </c>
      <c r="F247" s="378">
        <f>C247*(E247-D247)</f>
        <v>-5135.0225999999902</v>
      </c>
      <c r="G247" s="378">
        <f>IF(C247=0, 0,D247*C247)</f>
        <v>88034.802599999995</v>
      </c>
      <c r="H247" s="379">
        <f>IF(C247=0, D247, (E247-D247)/D247)</f>
        <v>-5.8329461171529789E-2</v>
      </c>
      <c r="I247" s="378"/>
    </row>
    <row r="248" spans="2:9" x14ac:dyDescent="0.25">
      <c r="B248" s="650">
        <v>42608</v>
      </c>
      <c r="C248" s="377">
        <v>6178</v>
      </c>
      <c r="D248" s="651">
        <v>16.825800000000001</v>
      </c>
      <c r="E248" s="378">
        <v>15.95</v>
      </c>
      <c r="F248" s="378">
        <f>C248*(E248-D248)</f>
        <v>-5410.6924000000108</v>
      </c>
      <c r="G248" s="378">
        <f>IF(C248=0, 0,D248*C248)</f>
        <v>103949.79240000001</v>
      </c>
      <c r="H248" s="379">
        <f>IF(C248=0, D248, (E248-D248)/D248)</f>
        <v>-5.2051016890727435E-2</v>
      </c>
      <c r="I248" s="378"/>
    </row>
    <row r="249" spans="2:9" x14ac:dyDescent="0.25">
      <c r="B249" s="650">
        <v>42611</v>
      </c>
      <c r="C249" s="377">
        <v>6178</v>
      </c>
      <c r="D249" s="651">
        <v>16.825800000000001</v>
      </c>
      <c r="E249" s="378">
        <v>15.99</v>
      </c>
      <c r="F249" s="378">
        <f t="shared" ref="F249:F254" si="78">C249*(E249-D249)</f>
        <v>-5163.5724000000046</v>
      </c>
      <c r="G249" s="378">
        <f t="shared" ref="G249:G254" si="79">IF(C249=0, 0,D249*C249)</f>
        <v>103949.79240000001</v>
      </c>
      <c r="H249" s="379">
        <f t="shared" ref="H249:H254" si="80">IF(C249=0, D249, (E249-D249)/D249)</f>
        <v>-4.9673715365688452E-2</v>
      </c>
      <c r="I249" s="378"/>
    </row>
    <row r="250" spans="2:9" x14ac:dyDescent="0.25">
      <c r="B250" s="650">
        <v>42612</v>
      </c>
      <c r="C250" s="377">
        <v>6678</v>
      </c>
      <c r="D250" s="651">
        <v>16.739999999999998</v>
      </c>
      <c r="E250" s="378">
        <v>15.55</v>
      </c>
      <c r="F250" s="465">
        <f t="shared" si="78"/>
        <v>-7946.8199999999852</v>
      </c>
      <c r="G250" s="378">
        <f t="shared" si="79"/>
        <v>111789.71999999999</v>
      </c>
      <c r="H250" s="380">
        <f t="shared" si="80"/>
        <v>-7.1087216248506446E-2</v>
      </c>
      <c r="I250" s="397"/>
    </row>
    <row r="251" spans="2:9" x14ac:dyDescent="0.25">
      <c r="B251" s="650">
        <v>42612</v>
      </c>
      <c r="C251" s="377">
        <v>7178</v>
      </c>
      <c r="D251" s="651">
        <v>16.6571</v>
      </c>
      <c r="E251" s="378">
        <v>15.55</v>
      </c>
      <c r="F251" s="378">
        <f t="shared" si="78"/>
        <v>-7946.7637999999934</v>
      </c>
      <c r="G251" s="378">
        <f t="shared" si="79"/>
        <v>119564.66379999999</v>
      </c>
      <c r="H251" s="379">
        <f t="shared" si="80"/>
        <v>-6.6464150422342369E-2</v>
      </c>
      <c r="I251" s="378"/>
    </row>
    <row r="252" spans="2:9" x14ac:dyDescent="0.25">
      <c r="B252" s="650">
        <v>42613</v>
      </c>
      <c r="C252" s="377">
        <v>7678</v>
      </c>
      <c r="D252" s="651">
        <v>16.565200000000001</v>
      </c>
      <c r="E252" s="378">
        <v>15.02</v>
      </c>
      <c r="F252" s="378">
        <f t="shared" si="78"/>
        <v>-11864.04560000001</v>
      </c>
      <c r="G252" s="378">
        <f t="shared" si="79"/>
        <v>127187.60560000001</v>
      </c>
      <c r="H252" s="379">
        <f t="shared" si="80"/>
        <v>-9.3279887957887692E-2</v>
      </c>
      <c r="I252" s="378" t="s">
        <v>266</v>
      </c>
    </row>
    <row r="253" spans="2:9" x14ac:dyDescent="0.25">
      <c r="B253" s="650">
        <v>42613</v>
      </c>
      <c r="C253" s="377">
        <v>8178</v>
      </c>
      <c r="D253" s="651">
        <v>16.474399999999999</v>
      </c>
      <c r="E253" s="378">
        <v>15.02</v>
      </c>
      <c r="F253" s="378">
        <f t="shared" si="78"/>
        <v>-11894.083199999997</v>
      </c>
      <c r="G253" s="378">
        <f t="shared" si="79"/>
        <v>134727.64319999999</v>
      </c>
      <c r="H253" s="379">
        <f t="shared" si="80"/>
        <v>-8.8282426067110162E-2</v>
      </c>
      <c r="I253" s="378" t="s">
        <v>267</v>
      </c>
    </row>
    <row r="254" spans="2:9" x14ac:dyDescent="0.25">
      <c r="B254" s="650">
        <v>42615</v>
      </c>
      <c r="C254" s="377">
        <v>7678</v>
      </c>
      <c r="D254" s="651">
        <v>16.528099999999998</v>
      </c>
      <c r="E254" s="378">
        <v>15.49</v>
      </c>
      <c r="F254" s="378">
        <f t="shared" si="78"/>
        <v>-7970.5317999999861</v>
      </c>
      <c r="G254" s="378">
        <f t="shared" si="79"/>
        <v>126902.75179999998</v>
      </c>
      <c r="H254" s="379">
        <f t="shared" si="80"/>
        <v>-6.2808187268953986E-2</v>
      </c>
      <c r="I254" s="378">
        <v>16.350000000000001</v>
      </c>
    </row>
    <row r="255" spans="2:9" x14ac:dyDescent="0.25">
      <c r="B255" s="650">
        <v>42616</v>
      </c>
      <c r="C255" s="377">
        <v>7678</v>
      </c>
      <c r="D255" s="651">
        <v>16.528099999999998</v>
      </c>
      <c r="E255" s="378">
        <v>15.64</v>
      </c>
      <c r="F255" s="378">
        <f>C255*(E255-D255)</f>
        <v>-6818.8317999999836</v>
      </c>
      <c r="G255" s="378">
        <f>IF(C255=0, 0,D255*C255)</f>
        <v>126902.75179999998</v>
      </c>
      <c r="H255" s="379">
        <f>IF(C255=0, D255, (E255-D255)/D255)</f>
        <v>-5.3732733950060681E-2</v>
      </c>
      <c r="I255" s="378"/>
    </row>
    <row r="256" spans="2:9" x14ac:dyDescent="0.25">
      <c r="B256" s="650">
        <v>42621</v>
      </c>
      <c r="C256" s="377">
        <v>7178</v>
      </c>
      <c r="D256" s="651">
        <v>16.545400000000001</v>
      </c>
      <c r="E256" s="378">
        <v>16.739999999999998</v>
      </c>
      <c r="F256" s="378">
        <f>C256*(E256-D256)</f>
        <v>1396.8387999999832</v>
      </c>
      <c r="G256" s="378">
        <f>IF(C256=0, 0,D256*C256)</f>
        <v>118762.8812</v>
      </c>
      <c r="H256" s="379">
        <f>IF(C256=0, D256, (E256-D256)/D256)</f>
        <v>1.1761577235968768E-2</v>
      </c>
      <c r="I256" s="378"/>
    </row>
    <row r="257" spans="2:14" x14ac:dyDescent="0.25">
      <c r="B257" s="650">
        <v>42621</v>
      </c>
      <c r="C257" s="398">
        <v>6678</v>
      </c>
      <c r="D257" s="652">
        <v>16.532299999999999</v>
      </c>
      <c r="E257" s="378">
        <v>16.739999999999998</v>
      </c>
      <c r="F257" s="378">
        <f>C257*(E257-D257)</f>
        <v>1387.0205999999941</v>
      </c>
      <c r="G257" s="378">
        <f>IF(C257=0, 0,D257*C257)</f>
        <v>110402.6994</v>
      </c>
      <c r="H257" s="379">
        <f>IF(C257=0, D257, (E257-D257)/D257)</f>
        <v>1.256328520532528E-2</v>
      </c>
      <c r="I257" s="378"/>
    </row>
    <row r="258" spans="2:14" x14ac:dyDescent="0.25">
      <c r="B258" s="650">
        <v>42621</v>
      </c>
      <c r="C258" s="377">
        <v>6458</v>
      </c>
      <c r="D258" s="651">
        <v>16.524263999999999</v>
      </c>
      <c r="E258" s="378">
        <v>16.739999999999998</v>
      </c>
      <c r="F258" s="378">
        <f>C258*(E258-D258)</f>
        <v>1393.2230879999981</v>
      </c>
      <c r="G258" s="378">
        <f>IF(C258=0, 0,D258*C258)</f>
        <v>106713.69691199998</v>
      </c>
      <c r="H258" s="379">
        <f>IF(C258=0, D258, (E258-D258)/D258)</f>
        <v>1.3055710075801242E-2</v>
      </c>
      <c r="I258" s="378"/>
    </row>
    <row r="259" spans="2:14" x14ac:dyDescent="0.25">
      <c r="B259" s="650">
        <v>42622</v>
      </c>
      <c r="C259" s="377">
        <v>7178</v>
      </c>
      <c r="D259" s="651">
        <v>16.477945999999999</v>
      </c>
      <c r="E259" s="378">
        <v>15.67</v>
      </c>
      <c r="F259" s="378">
        <f>C259*(E259-D259)</f>
        <v>-5799.4363879999955</v>
      </c>
      <c r="G259" s="378">
        <f>IF(C259=0, 0,D259*C259)</f>
        <v>118278.696388</v>
      </c>
      <c r="H259" s="379">
        <f>IF(C259=0, D259, (E259-D259)/D259)</f>
        <v>-4.9031960658203359E-2</v>
      </c>
      <c r="I259" s="378"/>
    </row>
    <row r="260" spans="2:14" x14ac:dyDescent="0.25">
      <c r="B260" s="650">
        <v>42622</v>
      </c>
      <c r="C260" s="377">
        <v>7678</v>
      </c>
      <c r="D260" s="651">
        <v>16.430541999999999</v>
      </c>
      <c r="E260" s="378">
        <v>15.67</v>
      </c>
      <c r="F260" s="378">
        <f t="shared" ref="F260:F266" si="81">C260*(E260-D260)</f>
        <v>-5839.4414759999936</v>
      </c>
      <c r="G260" s="378">
        <f t="shared" ref="G260:G266" si="82">IF(C260=0, 0,D260*C260)</f>
        <v>126153.70147599999</v>
      </c>
      <c r="H260" s="379">
        <f t="shared" ref="H260:H266" si="83">IF(C260=0, D260, (E260-D260)/D260)</f>
        <v>-4.6288308687564853E-2</v>
      </c>
      <c r="I260" s="378">
        <v>16.350000000000001</v>
      </c>
    </row>
    <row r="261" spans="2:14" x14ac:dyDescent="0.25">
      <c r="B261" s="650">
        <v>42625</v>
      </c>
      <c r="C261" s="398">
        <v>7678</v>
      </c>
      <c r="D261" s="652">
        <v>16.412330000000001</v>
      </c>
      <c r="E261" s="378">
        <v>15.47</v>
      </c>
      <c r="F261" s="378">
        <f t="shared" si="81"/>
        <v>-7235.2097400000011</v>
      </c>
      <c r="G261" s="378">
        <f t="shared" si="82"/>
        <v>126013.86974000001</v>
      </c>
      <c r="H261" s="379">
        <f t="shared" si="83"/>
        <v>-5.7415979327737135E-2</v>
      </c>
      <c r="I261" s="378"/>
    </row>
    <row r="262" spans="2:14" x14ac:dyDescent="0.25">
      <c r="B262" s="650">
        <v>42625</v>
      </c>
      <c r="C262" s="398">
        <v>7678</v>
      </c>
      <c r="D262" s="652">
        <v>16.355817999999999</v>
      </c>
      <c r="E262" s="378">
        <v>15.47</v>
      </c>
      <c r="F262" s="378">
        <f t="shared" si="81"/>
        <v>-6801.3106039999893</v>
      </c>
      <c r="G262" s="378">
        <f t="shared" si="82"/>
        <v>125579.970604</v>
      </c>
      <c r="H262" s="379">
        <f t="shared" si="83"/>
        <v>-5.4159198885680847E-2</v>
      </c>
      <c r="I262" s="378" t="s">
        <v>282</v>
      </c>
    </row>
    <row r="263" spans="2:14" x14ac:dyDescent="0.25">
      <c r="B263" s="650">
        <v>42626</v>
      </c>
      <c r="C263" s="377">
        <v>8278</v>
      </c>
      <c r="D263" s="651">
        <v>16.25066</v>
      </c>
      <c r="E263" s="378">
        <v>14.34</v>
      </c>
      <c r="F263" s="378">
        <f t="shared" si="81"/>
        <v>-15816.44348</v>
      </c>
      <c r="G263" s="378">
        <f t="shared" si="82"/>
        <v>134522.96348000001</v>
      </c>
      <c r="H263" s="380">
        <f t="shared" si="83"/>
        <v>-0.11757430159759666</v>
      </c>
      <c r="I263" s="378"/>
    </row>
    <row r="264" spans="2:14" x14ac:dyDescent="0.25">
      <c r="B264" s="650">
        <v>42626</v>
      </c>
      <c r="C264" s="377">
        <v>8678</v>
      </c>
      <c r="D264" s="651">
        <v>16.18149</v>
      </c>
      <c r="E264" s="378">
        <v>14.34</v>
      </c>
      <c r="F264" s="378">
        <f t="shared" si="81"/>
        <v>-15980.450220000002</v>
      </c>
      <c r="G264" s="378">
        <f t="shared" si="82"/>
        <v>140422.97021999999</v>
      </c>
      <c r="H264" s="380">
        <f t="shared" si="83"/>
        <v>-0.11380225183218605</v>
      </c>
      <c r="I264" s="378"/>
    </row>
    <row r="265" spans="2:14" x14ac:dyDescent="0.25">
      <c r="B265" s="650">
        <v>42626</v>
      </c>
      <c r="C265" s="377">
        <v>8978</v>
      </c>
      <c r="D265" s="651">
        <v>16.124635000000001</v>
      </c>
      <c r="E265" s="378">
        <v>14.34</v>
      </c>
      <c r="F265" s="378">
        <f t="shared" si="81"/>
        <v>-16022.453030000013</v>
      </c>
      <c r="G265" s="378">
        <f t="shared" si="82"/>
        <v>144766.97303000002</v>
      </c>
      <c r="H265" s="380">
        <f t="shared" si="83"/>
        <v>-0.11067754401882594</v>
      </c>
      <c r="I265" s="378"/>
    </row>
    <row r="266" spans="2:14" x14ac:dyDescent="0.25">
      <c r="B266" s="650">
        <v>42626</v>
      </c>
      <c r="C266" s="377">
        <v>9278</v>
      </c>
      <c r="D266" s="651">
        <v>16.064019999999999</v>
      </c>
      <c r="E266" s="378">
        <v>14.34</v>
      </c>
      <c r="F266" s="378">
        <f t="shared" si="81"/>
        <v>-15995.457559999995</v>
      </c>
      <c r="G266" s="378">
        <f t="shared" si="82"/>
        <v>149041.97756</v>
      </c>
      <c r="H266" s="380">
        <f t="shared" si="83"/>
        <v>-0.10732182853357998</v>
      </c>
      <c r="I266" s="378" t="s">
        <v>283</v>
      </c>
    </row>
    <row r="267" spans="2:14" x14ac:dyDescent="0.25">
      <c r="B267" s="650">
        <v>42627</v>
      </c>
      <c r="C267" s="377">
        <v>9478</v>
      </c>
      <c r="D267" s="651">
        <v>16.020790999999999</v>
      </c>
      <c r="E267" s="378">
        <v>14.01</v>
      </c>
      <c r="F267" s="378">
        <f t="shared" ref="F267:F274" si="84">C267*(E267-D267)</f>
        <v>-19058.277097999995</v>
      </c>
      <c r="G267" s="378">
        <f t="shared" ref="G267:G274" si="85">IF(C267=0, 0,D267*C267)</f>
        <v>151845.05709799999</v>
      </c>
      <c r="H267" s="380">
        <f t="shared" ref="H267:H274" si="86">IF(C267=0, D267, (E267-D267)/D267)</f>
        <v>-0.1255113433537707</v>
      </c>
      <c r="I267" s="378"/>
    </row>
    <row r="268" spans="2:14" x14ac:dyDescent="0.25">
      <c r="B268" s="650">
        <v>42628</v>
      </c>
      <c r="C268" s="377">
        <v>9478</v>
      </c>
      <c r="D268" s="651">
        <v>16.015726999999998</v>
      </c>
      <c r="E268" s="378">
        <v>14.26</v>
      </c>
      <c r="F268" s="378">
        <f t="shared" si="84"/>
        <v>-16640.780505999985</v>
      </c>
      <c r="G268" s="378">
        <f t="shared" si="85"/>
        <v>151797.06050599998</v>
      </c>
      <c r="H268" s="380">
        <f t="shared" si="86"/>
        <v>-0.1096251827968845</v>
      </c>
      <c r="I268" s="378"/>
      <c r="N268" s="30"/>
    </row>
    <row r="269" spans="2:14" x14ac:dyDescent="0.25">
      <c r="B269" s="650">
        <v>42629</v>
      </c>
      <c r="C269" s="377">
        <v>9478</v>
      </c>
      <c r="D269" s="651">
        <v>16.015726999999998</v>
      </c>
      <c r="E269" s="378">
        <v>14.24</v>
      </c>
      <c r="F269" s="378">
        <f t="shared" si="84"/>
        <v>-16830.340505999982</v>
      </c>
      <c r="G269" s="378">
        <f t="shared" si="85"/>
        <v>151797.06050599998</v>
      </c>
      <c r="H269" s="380">
        <f t="shared" si="86"/>
        <v>-0.1108739553315312</v>
      </c>
      <c r="I269" s="378"/>
    </row>
    <row r="270" spans="2:14" x14ac:dyDescent="0.25">
      <c r="B270" s="650">
        <v>42632</v>
      </c>
      <c r="C270" s="377">
        <v>9678</v>
      </c>
      <c r="D270" s="651">
        <v>15.975311</v>
      </c>
      <c r="E270" s="378">
        <v>14.09</v>
      </c>
      <c r="F270" s="378">
        <f t="shared" si="84"/>
        <v>-18246.039857999996</v>
      </c>
      <c r="G270" s="378">
        <f t="shared" si="85"/>
        <v>154609.05985799999</v>
      </c>
      <c r="H270" s="379">
        <f t="shared" si="86"/>
        <v>-0.11801404054043141</v>
      </c>
      <c r="I270" s="378"/>
    </row>
    <row r="271" spans="2:14" x14ac:dyDescent="0.25">
      <c r="B271" s="650">
        <v>42633</v>
      </c>
      <c r="C271" s="377">
        <v>9878</v>
      </c>
      <c r="D271" s="651">
        <v>15.937544000000001</v>
      </c>
      <c r="E271" s="378">
        <v>13.87</v>
      </c>
      <c r="F271" s="378">
        <f t="shared" si="84"/>
        <v>-20423.199632000014</v>
      </c>
      <c r="G271" s="378">
        <f t="shared" si="85"/>
        <v>157431.05963200002</v>
      </c>
      <c r="H271" s="379">
        <f t="shared" si="86"/>
        <v>-0.12972789282966068</v>
      </c>
      <c r="I271" s="378"/>
    </row>
    <row r="272" spans="2:14" x14ac:dyDescent="0.25">
      <c r="B272" s="650">
        <v>42633</v>
      </c>
      <c r="C272" s="377">
        <v>10000</v>
      </c>
      <c r="D272" s="651">
        <v>15.915126000000001</v>
      </c>
      <c r="E272" s="378">
        <v>13.87</v>
      </c>
      <c r="F272" s="378">
        <f t="shared" si="84"/>
        <v>-20451.260000000017</v>
      </c>
      <c r="G272" s="378">
        <f t="shared" si="85"/>
        <v>159151.26</v>
      </c>
      <c r="H272" s="379">
        <f t="shared" si="86"/>
        <v>-0.12850203008132022</v>
      </c>
      <c r="I272" s="378"/>
    </row>
    <row r="273" spans="2:9" x14ac:dyDescent="0.25">
      <c r="B273" s="650">
        <v>42634</v>
      </c>
      <c r="C273" s="377">
        <v>9678</v>
      </c>
      <c r="D273" s="651">
        <v>15.969538999999999</v>
      </c>
      <c r="E273" s="378">
        <v>14.65</v>
      </c>
      <c r="F273" s="378">
        <f t="shared" si="84"/>
        <v>-12770.498441999989</v>
      </c>
      <c r="G273" s="378">
        <f t="shared" si="85"/>
        <v>154553.19844199999</v>
      </c>
      <c r="H273" s="379">
        <f t="shared" si="86"/>
        <v>-8.2628496664806608E-2</v>
      </c>
      <c r="I273" s="378"/>
    </row>
    <row r="274" spans="2:9" x14ac:dyDescent="0.25">
      <c r="B274" s="650">
        <v>42634</v>
      </c>
      <c r="C274" s="377">
        <v>9278</v>
      </c>
      <c r="D274" s="651">
        <v>16.026872999999998</v>
      </c>
      <c r="E274" s="378">
        <v>14.65</v>
      </c>
      <c r="F274" s="378">
        <f t="shared" si="84"/>
        <v>-12774.627693999981</v>
      </c>
      <c r="G274" s="378">
        <f t="shared" si="85"/>
        <v>148697.32769399998</v>
      </c>
      <c r="H274" s="379">
        <f t="shared" si="86"/>
        <v>-8.5910270830747718E-2</v>
      </c>
      <c r="I274" s="378">
        <v>16</v>
      </c>
    </row>
    <row r="275" spans="2:9" x14ac:dyDescent="0.25">
      <c r="B275" s="650">
        <v>42635</v>
      </c>
      <c r="C275" s="377">
        <v>9278</v>
      </c>
      <c r="D275" s="651">
        <v>16.026872999999998</v>
      </c>
      <c r="E275" s="378">
        <v>14.87</v>
      </c>
      <c r="F275" s="378">
        <f t="shared" ref="F275:F286" si="87">C275*(E275-D275)</f>
        <v>-10733.467693999992</v>
      </c>
      <c r="G275" s="378">
        <f t="shared" ref="G275:G286" si="88">IF(C275=0, 0,D275*C275)</f>
        <v>148697.32769399998</v>
      </c>
      <c r="H275" s="379">
        <f t="shared" ref="H275:H286" si="89">IF(C275=0, D275, (E275-D275)/D275)</f>
        <v>-7.2183326092369937E-2</v>
      </c>
      <c r="I275" s="378"/>
    </row>
    <row r="276" spans="2:9" x14ac:dyDescent="0.25">
      <c r="B276" s="650">
        <v>42636</v>
      </c>
      <c r="C276" s="377">
        <v>9478</v>
      </c>
      <c r="D276" s="651">
        <v>15.992122</v>
      </c>
      <c r="E276" s="378">
        <v>14.49</v>
      </c>
      <c r="F276" s="378">
        <f t="shared" si="87"/>
        <v>-14237.112315999999</v>
      </c>
      <c r="G276" s="378">
        <f t="shared" si="88"/>
        <v>151573.33231600001</v>
      </c>
      <c r="H276" s="379">
        <f t="shared" si="89"/>
        <v>-9.39288732289561E-2</v>
      </c>
      <c r="I276" s="378"/>
    </row>
    <row r="277" spans="2:9" x14ac:dyDescent="0.25">
      <c r="B277" s="650">
        <v>42639</v>
      </c>
      <c r="C277" s="377">
        <v>9278</v>
      </c>
      <c r="D277" s="651">
        <v>16.019549999999999</v>
      </c>
      <c r="E277" s="378">
        <v>14.41</v>
      </c>
      <c r="F277" s="378">
        <f t="shared" si="87"/>
        <v>-14933.404899999989</v>
      </c>
      <c r="G277" s="378">
        <f t="shared" si="88"/>
        <v>148629.38489999998</v>
      </c>
      <c r="H277" s="379">
        <f t="shared" si="89"/>
        <v>-0.10047410819904422</v>
      </c>
      <c r="I277" s="378">
        <v>16</v>
      </c>
    </row>
    <row r="278" spans="2:9" x14ac:dyDescent="0.25">
      <c r="B278" s="650">
        <v>42639</v>
      </c>
      <c r="C278" s="377">
        <v>9478</v>
      </c>
      <c r="D278" s="651">
        <v>15.987468</v>
      </c>
      <c r="E278" s="378">
        <v>14.41</v>
      </c>
      <c r="F278" s="378">
        <f t="shared" si="87"/>
        <v>-14951.241703999996</v>
      </c>
      <c r="G278" s="378">
        <f t="shared" si="88"/>
        <v>151529.221704</v>
      </c>
      <c r="H278" s="379">
        <f t="shared" si="89"/>
        <v>-9.8669032519721048E-2</v>
      </c>
      <c r="I278" s="378"/>
    </row>
    <row r="279" spans="2:9" x14ac:dyDescent="0.25">
      <c r="B279" s="650">
        <v>42639</v>
      </c>
      <c r="C279" s="377">
        <v>9678</v>
      </c>
      <c r="D279" s="651">
        <v>15.954266000000001</v>
      </c>
      <c r="E279" s="378">
        <v>14.41</v>
      </c>
      <c r="F279" s="378">
        <f t="shared" si="87"/>
        <v>-14945.406348000004</v>
      </c>
      <c r="G279" s="378">
        <f t="shared" si="88"/>
        <v>154405.386348</v>
      </c>
      <c r="H279" s="379">
        <f t="shared" si="89"/>
        <v>-9.6793296538994669E-2</v>
      </c>
      <c r="I279" s="378"/>
    </row>
    <row r="280" spans="2:9" x14ac:dyDescent="0.25">
      <c r="B280" s="650">
        <v>42640</v>
      </c>
      <c r="C280" s="377">
        <v>10000</v>
      </c>
      <c r="D280" s="651">
        <v>15.890373</v>
      </c>
      <c r="E280" s="378">
        <v>14.06</v>
      </c>
      <c r="F280" s="378">
        <f t="shared" si="87"/>
        <v>-18303.73</v>
      </c>
      <c r="G280" s="378">
        <f t="shared" si="88"/>
        <v>158903.73000000001</v>
      </c>
      <c r="H280" s="379">
        <f t="shared" si="89"/>
        <v>-0.11518754153851517</v>
      </c>
      <c r="I280" s="378"/>
    </row>
    <row r="281" spans="2:9" x14ac:dyDescent="0.25">
      <c r="B281" s="650">
        <v>42641</v>
      </c>
      <c r="C281" s="377">
        <v>9278</v>
      </c>
      <c r="D281" s="651">
        <v>15.968</v>
      </c>
      <c r="E281" s="378">
        <v>15.18</v>
      </c>
      <c r="F281" s="378">
        <f t="shared" si="87"/>
        <v>-7311.0640000000021</v>
      </c>
      <c r="G281" s="378">
        <f t="shared" si="88"/>
        <v>148151.10399999999</v>
      </c>
      <c r="H281" s="379">
        <f t="shared" si="89"/>
        <v>-4.9348697394789594E-2</v>
      </c>
      <c r="I281" s="378" t="s">
        <v>296</v>
      </c>
    </row>
    <row r="282" spans="2:9" x14ac:dyDescent="0.25">
      <c r="B282" s="650">
        <v>42641</v>
      </c>
      <c r="C282" s="377">
        <v>8978</v>
      </c>
      <c r="D282" s="651">
        <v>15.991466000000001</v>
      </c>
      <c r="E282" s="378">
        <v>15.18</v>
      </c>
      <c r="F282" s="378">
        <f t="shared" si="87"/>
        <v>-7285.3417480000098</v>
      </c>
      <c r="G282" s="378">
        <f t="shared" si="88"/>
        <v>143571.38174800001</v>
      </c>
      <c r="H282" s="379">
        <f t="shared" si="89"/>
        <v>-5.0743690415875634E-2</v>
      </c>
      <c r="I282" s="378"/>
    </row>
    <row r="283" spans="2:9" x14ac:dyDescent="0.25">
      <c r="B283" s="650">
        <v>42642</v>
      </c>
      <c r="C283" s="377">
        <v>8678</v>
      </c>
      <c r="D283" s="651">
        <v>16.016100000000002</v>
      </c>
      <c r="E283" s="378">
        <v>15.9</v>
      </c>
      <c r="F283" s="378">
        <f t="shared" si="87"/>
        <v>-1007.5158000000105</v>
      </c>
      <c r="G283" s="378">
        <f t="shared" si="88"/>
        <v>138987.71580000001</v>
      </c>
      <c r="H283" s="379">
        <f t="shared" si="89"/>
        <v>-7.2489557382884214E-3</v>
      </c>
      <c r="I283" s="378"/>
    </row>
    <row r="284" spans="2:9" x14ac:dyDescent="0.25">
      <c r="B284" s="650">
        <v>42642</v>
      </c>
      <c r="C284" s="377">
        <v>7978</v>
      </c>
      <c r="D284" s="651">
        <v>16.036825</v>
      </c>
      <c r="E284" s="378">
        <v>15.9</v>
      </c>
      <c r="F284" s="378">
        <f t="shared" si="87"/>
        <v>-1091.5898499999998</v>
      </c>
      <c r="G284" s="378">
        <f t="shared" si="88"/>
        <v>127941.78985</v>
      </c>
      <c r="H284" s="379">
        <f t="shared" si="89"/>
        <v>-8.5319257396648009E-3</v>
      </c>
      <c r="I284" s="378"/>
    </row>
    <row r="285" spans="2:9" x14ac:dyDescent="0.25">
      <c r="B285" s="650">
        <v>42642</v>
      </c>
      <c r="C285" s="377">
        <v>7764</v>
      </c>
      <c r="D285" s="651">
        <v>16.038399999999999</v>
      </c>
      <c r="E285" s="378">
        <v>15.9</v>
      </c>
      <c r="F285" s="378">
        <f t="shared" si="87"/>
        <v>-1074.5375999999919</v>
      </c>
      <c r="G285" s="378">
        <f t="shared" si="88"/>
        <v>124522.1376</v>
      </c>
      <c r="H285" s="379">
        <f t="shared" si="89"/>
        <v>-8.6292897047086353E-3</v>
      </c>
      <c r="I285" s="378"/>
    </row>
    <row r="286" spans="2:9" x14ac:dyDescent="0.25">
      <c r="B286" s="650">
        <v>42642</v>
      </c>
      <c r="C286" s="377">
        <v>8178</v>
      </c>
      <c r="D286" s="651">
        <v>16.019235999999999</v>
      </c>
      <c r="E286" s="378">
        <v>15.9</v>
      </c>
      <c r="F286" s="378">
        <f t="shared" si="87"/>
        <v>-975.11200799999187</v>
      </c>
      <c r="G286" s="378">
        <f t="shared" si="88"/>
        <v>131005.31200799999</v>
      </c>
      <c r="H286" s="379">
        <f t="shared" si="89"/>
        <v>-7.4433012910228059E-3</v>
      </c>
      <c r="I286" s="378" t="s">
        <v>297</v>
      </c>
    </row>
    <row r="287" spans="2:9" x14ac:dyDescent="0.25">
      <c r="B287" s="650">
        <v>42643</v>
      </c>
      <c r="C287" s="377">
        <v>8178</v>
      </c>
      <c r="D287" s="651">
        <v>16.019235999999999</v>
      </c>
      <c r="E287" s="378">
        <v>15.81</v>
      </c>
      <c r="F287" s="378">
        <f>C287*(E287-D287)</f>
        <v>-1711.1320079999907</v>
      </c>
      <c r="G287" s="378">
        <f>IF(C287=0, 0,D287*C287)</f>
        <v>131005.31200799999</v>
      </c>
      <c r="H287" s="379">
        <f>IF(C287=0, D287, (E287-D287)/D287)</f>
        <v>-1.3061546755413234E-2</v>
      </c>
      <c r="I287" s="378"/>
    </row>
    <row r="288" spans="2:9" x14ac:dyDescent="0.25">
      <c r="B288" s="650">
        <v>42646</v>
      </c>
      <c r="C288" s="377">
        <v>8178</v>
      </c>
      <c r="D288" s="651">
        <v>16.019235999999999</v>
      </c>
      <c r="E288" s="378">
        <v>15.98</v>
      </c>
      <c r="F288" s="378">
        <f t="shared" ref="F288:F297" si="90">C288*(E288-D288)</f>
        <v>-320.8720079999913</v>
      </c>
      <c r="G288" s="378">
        <f t="shared" ref="G288:G297" si="91">IF(C288=0, 0,D288*C288)</f>
        <v>131005.31200799999</v>
      </c>
      <c r="H288" s="379">
        <f t="shared" ref="H288:H297" si="92">IF(C288=0, D288, (E288-D288)/D288)</f>
        <v>-2.4493053226757469E-3</v>
      </c>
      <c r="I288" s="378"/>
    </row>
    <row r="289" spans="2:9" x14ac:dyDescent="0.25">
      <c r="B289" s="650">
        <v>42647</v>
      </c>
      <c r="C289" s="377">
        <v>8678</v>
      </c>
      <c r="D289" s="651">
        <v>16.010061</v>
      </c>
      <c r="E289" s="378">
        <v>15.63</v>
      </c>
      <c r="F289" s="378">
        <f t="shared" si="90"/>
        <v>-3298.169357999996</v>
      </c>
      <c r="G289" s="378">
        <f t="shared" si="91"/>
        <v>138935.309358</v>
      </c>
      <c r="H289" s="379">
        <f t="shared" si="92"/>
        <v>-2.3738885192255015E-2</v>
      </c>
      <c r="I289" s="378"/>
    </row>
    <row r="290" spans="2:9" x14ac:dyDescent="0.25">
      <c r="B290" s="650">
        <v>42647</v>
      </c>
      <c r="C290" s="377">
        <v>9178</v>
      </c>
      <c r="D290" s="651">
        <v>15.988811</v>
      </c>
      <c r="E290" s="378">
        <v>15.63</v>
      </c>
      <c r="F290" s="378">
        <f t="shared" si="90"/>
        <v>-3293.1673579999938</v>
      </c>
      <c r="G290" s="378">
        <f t="shared" si="91"/>
        <v>146745.30735799999</v>
      </c>
      <c r="H290" s="379">
        <f t="shared" si="92"/>
        <v>-2.2441381038277287E-2</v>
      </c>
      <c r="I290" s="378"/>
    </row>
    <row r="291" spans="2:9" x14ac:dyDescent="0.25">
      <c r="B291" s="650">
        <v>42648</v>
      </c>
      <c r="C291" s="377">
        <v>8178</v>
      </c>
      <c r="D291" s="651">
        <v>15.977725</v>
      </c>
      <c r="E291" s="378">
        <v>16.12</v>
      </c>
      <c r="F291" s="378">
        <f t="shared" si="90"/>
        <v>1163.524950000012</v>
      </c>
      <c r="G291" s="378">
        <f t="shared" si="91"/>
        <v>130665.83504999999</v>
      </c>
      <c r="H291" s="379">
        <f t="shared" si="92"/>
        <v>8.904584351026288E-3</v>
      </c>
      <c r="I291" s="378">
        <v>15.75</v>
      </c>
    </row>
    <row r="292" spans="2:9" x14ac:dyDescent="0.25">
      <c r="B292" s="650">
        <v>42648</v>
      </c>
      <c r="C292" s="398">
        <v>7678</v>
      </c>
      <c r="D292" s="652">
        <v>15.951529000000001</v>
      </c>
      <c r="E292" s="378">
        <v>16.12</v>
      </c>
      <c r="F292" s="378">
        <f t="shared" si="90"/>
        <v>1293.5203380000021</v>
      </c>
      <c r="G292" s="378">
        <f t="shared" si="91"/>
        <v>122475.839662</v>
      </c>
      <c r="H292" s="379">
        <f t="shared" si="92"/>
        <v>1.0561432700275958E-2</v>
      </c>
      <c r="I292" s="378" t="s">
        <v>301</v>
      </c>
    </row>
    <row r="293" spans="2:9" x14ac:dyDescent="0.25">
      <c r="B293" s="650">
        <v>42649</v>
      </c>
      <c r="C293" s="377">
        <v>8678</v>
      </c>
      <c r="D293" s="651">
        <v>15.941579000000001</v>
      </c>
      <c r="E293" s="378">
        <v>16.079999999999998</v>
      </c>
      <c r="F293" s="378">
        <f t="shared" si="90"/>
        <v>1201.2174379999781</v>
      </c>
      <c r="G293" s="378">
        <f t="shared" si="91"/>
        <v>138341.022562</v>
      </c>
      <c r="H293" s="379">
        <f t="shared" si="92"/>
        <v>8.683016908174369E-3</v>
      </c>
      <c r="I293" s="378"/>
    </row>
    <row r="294" spans="2:9" x14ac:dyDescent="0.25">
      <c r="B294" s="650">
        <v>42650</v>
      </c>
      <c r="C294" s="377">
        <v>8978</v>
      </c>
      <c r="D294" s="651">
        <v>15.935176999999999</v>
      </c>
      <c r="E294" s="378">
        <v>15.56</v>
      </c>
      <c r="F294" s="378">
        <f t="shared" si="90"/>
        <v>-3368.3391059999908</v>
      </c>
      <c r="G294" s="378">
        <f t="shared" si="91"/>
        <v>143066.01910599999</v>
      </c>
      <c r="H294" s="379">
        <f t="shared" si="92"/>
        <v>-2.354394933925108E-2</v>
      </c>
      <c r="I294" s="378"/>
    </row>
    <row r="295" spans="2:9" x14ac:dyDescent="0.25">
      <c r="B295" s="650">
        <v>42650</v>
      </c>
      <c r="C295" s="377">
        <v>9278</v>
      </c>
      <c r="D295" s="651">
        <v>15.923692000000001</v>
      </c>
      <c r="E295" s="378">
        <v>15.56</v>
      </c>
      <c r="F295" s="378">
        <f t="shared" si="90"/>
        <v>-3374.3343760000034</v>
      </c>
      <c r="G295" s="378">
        <f t="shared" si="91"/>
        <v>147740.01437600001</v>
      </c>
      <c r="H295" s="379">
        <f t="shared" si="92"/>
        <v>-2.2839678134945106E-2</v>
      </c>
      <c r="I295" s="378">
        <v>15.8</v>
      </c>
    </row>
    <row r="296" spans="2:9" x14ac:dyDescent="0.25">
      <c r="B296" s="650">
        <v>42653</v>
      </c>
      <c r="C296" s="398">
        <v>9678</v>
      </c>
      <c r="D296" s="652">
        <v>15.9153</v>
      </c>
      <c r="E296" s="378">
        <v>15.72</v>
      </c>
      <c r="F296" s="378">
        <f t="shared" si="90"/>
        <v>-1890.1133999999961</v>
      </c>
      <c r="G296" s="378">
        <f t="shared" si="91"/>
        <v>154028.27340000001</v>
      </c>
      <c r="H296" s="379">
        <f t="shared" si="92"/>
        <v>-1.2271210721758281E-2</v>
      </c>
      <c r="I296" s="378"/>
    </row>
    <row r="297" spans="2:9" x14ac:dyDescent="0.25">
      <c r="B297" s="650">
        <v>42661</v>
      </c>
      <c r="C297" s="398">
        <v>10000</v>
      </c>
      <c r="D297" s="652">
        <v>15.901258</v>
      </c>
      <c r="E297" s="378">
        <v>14.2</v>
      </c>
      <c r="F297" s="378">
        <f t="shared" si="90"/>
        <v>-17012.580000000009</v>
      </c>
      <c r="G297" s="378">
        <f t="shared" si="91"/>
        <v>159012.58000000002</v>
      </c>
      <c r="H297" s="379">
        <f t="shared" si="92"/>
        <v>-0.10698889358313669</v>
      </c>
      <c r="I297" s="378"/>
    </row>
    <row r="298" spans="2:9" x14ac:dyDescent="0.25">
      <c r="B298" s="650">
        <v>42663</v>
      </c>
      <c r="C298" s="377">
        <v>10000</v>
      </c>
      <c r="D298" s="651">
        <v>15.901258</v>
      </c>
      <c r="E298" s="378">
        <v>14.7</v>
      </c>
      <c r="F298" s="378">
        <f>C298*(E298-D298)</f>
        <v>-12012.580000000011</v>
      </c>
      <c r="G298" s="378">
        <f>IF(C298=0, 0,D298*C298)</f>
        <v>159012.58000000002</v>
      </c>
      <c r="H298" s="380">
        <f>IF(C298=0, D298, (E298-D298)/D298)</f>
        <v>-7.5544840540289399E-2</v>
      </c>
      <c r="I298" s="378"/>
    </row>
    <row r="299" spans="2:9" x14ac:dyDescent="0.25">
      <c r="B299" s="650">
        <v>42668</v>
      </c>
      <c r="C299" s="377">
        <v>11000</v>
      </c>
      <c r="D299" s="651">
        <v>15.74728</v>
      </c>
      <c r="E299" s="378">
        <v>14.18</v>
      </c>
      <c r="F299" s="378">
        <f>C299*(E299-D299)</f>
        <v>-17240.080000000002</v>
      </c>
      <c r="G299" s="378">
        <f>IF(C299=0, 0,D299*C299)</f>
        <v>173220.08</v>
      </c>
      <c r="H299" s="380">
        <f>IF(C299=0, D299, (E299-D299)/D299)</f>
        <v>-9.9527029429844413E-2</v>
      </c>
      <c r="I299" s="378"/>
    </row>
    <row r="300" spans="2:9" x14ac:dyDescent="0.25">
      <c r="B300" s="650">
        <v>42670</v>
      </c>
      <c r="C300" s="377">
        <v>11500</v>
      </c>
      <c r="D300" s="651">
        <v>15.679137000000001</v>
      </c>
      <c r="E300" s="378">
        <v>13.95</v>
      </c>
      <c r="F300" s="378">
        <f>C300*(E300-D300)</f>
        <v>-19885.075500000017</v>
      </c>
      <c r="G300" s="378">
        <f>IF(C300=0, 0,D300*C300)</f>
        <v>180310.07550000001</v>
      </c>
      <c r="H300" s="380">
        <f>IF(C300=0, D300, (E300-D300)/D300)</f>
        <v>-0.11028266415428357</v>
      </c>
      <c r="I300" s="378"/>
    </row>
    <row r="301" spans="2:9" x14ac:dyDescent="0.25">
      <c r="B301" s="650">
        <v>42670</v>
      </c>
      <c r="C301" s="377">
        <v>12000</v>
      </c>
      <c r="D301" s="651">
        <v>15.6113</v>
      </c>
      <c r="E301" s="378">
        <v>13.95</v>
      </c>
      <c r="F301" s="378">
        <f t="shared" ref="F301:F308" si="93">C301*(E301-D301)</f>
        <v>-19935.600000000009</v>
      </c>
      <c r="G301" s="378">
        <f t="shared" ref="G301:G308" si="94">IF(C301=0, 0,D301*C301)</f>
        <v>187335.6</v>
      </c>
      <c r="H301" s="380">
        <f t="shared" ref="H301:H308" si="95">IF(C301=0, D301, (E301-D301)/D301)</f>
        <v>-0.10641650599245422</v>
      </c>
      <c r="I301" s="378"/>
    </row>
    <row r="302" spans="2:9" x14ac:dyDescent="0.25">
      <c r="B302" s="650">
        <v>42670</v>
      </c>
      <c r="C302" s="377">
        <v>12500</v>
      </c>
      <c r="D302" s="651">
        <v>15.542006000000001</v>
      </c>
      <c r="E302" s="378">
        <v>13.95</v>
      </c>
      <c r="F302" s="378">
        <f t="shared" si="93"/>
        <v>-19900.075000000015</v>
      </c>
      <c r="G302" s="378">
        <f t="shared" si="94"/>
        <v>194275.07500000001</v>
      </c>
      <c r="H302" s="380">
        <f t="shared" si="95"/>
        <v>-0.10243246592492637</v>
      </c>
      <c r="I302" s="378"/>
    </row>
    <row r="303" spans="2:9" x14ac:dyDescent="0.25">
      <c r="B303" s="650">
        <v>42671</v>
      </c>
      <c r="C303" s="377">
        <v>12500</v>
      </c>
      <c r="D303" s="651">
        <v>15.536431</v>
      </c>
      <c r="E303" s="378">
        <v>13.72</v>
      </c>
      <c r="F303" s="378">
        <f t="shared" si="93"/>
        <v>-22705.387499999997</v>
      </c>
      <c r="G303" s="378">
        <f t="shared" si="94"/>
        <v>194205.38750000001</v>
      </c>
      <c r="H303" s="380">
        <f t="shared" si="95"/>
        <v>-0.11691430290521676</v>
      </c>
      <c r="I303" s="378"/>
    </row>
    <row r="304" spans="2:9" ht="15" customHeight="1" x14ac:dyDescent="0.25">
      <c r="B304" s="650">
        <v>42674</v>
      </c>
      <c r="C304" s="377">
        <v>12500</v>
      </c>
      <c r="D304" s="651">
        <v>15.5313</v>
      </c>
      <c r="E304" s="378">
        <v>13.18</v>
      </c>
      <c r="F304" s="378">
        <f t="shared" si="93"/>
        <v>-29391.250000000004</v>
      </c>
      <c r="G304" s="378">
        <f t="shared" si="94"/>
        <v>194141.25</v>
      </c>
      <c r="H304" s="380">
        <f t="shared" si="95"/>
        <v>-0.15139106192012261</v>
      </c>
      <c r="I304" s="378"/>
    </row>
    <row r="305" spans="2:9" x14ac:dyDescent="0.25">
      <c r="B305" s="650">
        <v>42676</v>
      </c>
      <c r="C305" s="377">
        <v>12500</v>
      </c>
      <c r="D305" s="651">
        <v>15.528746</v>
      </c>
      <c r="E305" s="378">
        <v>12.78</v>
      </c>
      <c r="F305" s="378">
        <f t="shared" si="93"/>
        <v>-34359.325000000004</v>
      </c>
      <c r="G305" s="378">
        <f t="shared" si="94"/>
        <v>194109.32500000001</v>
      </c>
      <c r="H305" s="379">
        <f t="shared" si="95"/>
        <v>-0.17701017197396368</v>
      </c>
      <c r="I305" s="378"/>
    </row>
    <row r="306" spans="2:9" x14ac:dyDescent="0.25">
      <c r="B306" s="650">
        <v>42677</v>
      </c>
      <c r="C306" s="377">
        <v>10000</v>
      </c>
      <c r="D306" s="651">
        <v>15.813000000000001</v>
      </c>
      <c r="E306" s="378">
        <v>14.15</v>
      </c>
      <c r="F306" s="378">
        <f t="shared" si="93"/>
        <v>-16630.000000000004</v>
      </c>
      <c r="G306" s="378">
        <f t="shared" si="94"/>
        <v>158130</v>
      </c>
      <c r="H306" s="379">
        <f t="shared" si="95"/>
        <v>-0.10516663504711314</v>
      </c>
      <c r="I306" s="378"/>
    </row>
    <row r="307" spans="2:9" x14ac:dyDescent="0.25">
      <c r="B307" s="650">
        <v>42678</v>
      </c>
      <c r="C307" s="377">
        <v>11000</v>
      </c>
      <c r="D307" s="651">
        <v>15.62</v>
      </c>
      <c r="E307" s="378">
        <v>13.69</v>
      </c>
      <c r="F307" s="378">
        <f t="shared" si="93"/>
        <v>-21229.999999999996</v>
      </c>
      <c r="G307" s="378">
        <f t="shared" si="94"/>
        <v>171820</v>
      </c>
      <c r="H307" s="379">
        <f t="shared" si="95"/>
        <v>-0.12355953905249678</v>
      </c>
      <c r="I307" s="378"/>
    </row>
    <row r="308" spans="2:9" x14ac:dyDescent="0.25">
      <c r="B308" s="650">
        <v>42701</v>
      </c>
      <c r="C308" s="377">
        <v>7678</v>
      </c>
      <c r="D308" s="651">
        <v>15.484220000000001</v>
      </c>
      <c r="E308" s="378">
        <v>16.28</v>
      </c>
      <c r="F308" s="378">
        <f t="shared" si="93"/>
        <v>6109.9988400000047</v>
      </c>
      <c r="G308" s="378">
        <f t="shared" si="94"/>
        <v>118887.84116000001</v>
      </c>
      <c r="H308" s="379">
        <f t="shared" si="95"/>
        <v>5.1392966516879801E-2</v>
      </c>
      <c r="I308" s="378" t="s">
        <v>313</v>
      </c>
    </row>
    <row r="309" spans="2:9" x14ac:dyDescent="0.25">
      <c r="B309" s="650">
        <v>42702</v>
      </c>
      <c r="C309" s="377">
        <v>8178</v>
      </c>
      <c r="D309" s="651">
        <v>15.519399999999999</v>
      </c>
      <c r="E309" s="378">
        <v>15.62</v>
      </c>
      <c r="F309" s="378">
        <f t="shared" ref="F309:F326" si="96">C309*(E309-D309)</f>
        <v>822.70680000000016</v>
      </c>
      <c r="G309" s="378">
        <f t="shared" ref="G309:G326" si="97">IF(C309=0, 0,D309*C309)</f>
        <v>126917.6532</v>
      </c>
      <c r="H309" s="379">
        <f t="shared" ref="H309:H326" si="98">IF(C309=0, D309, (E309-D309)/D309)</f>
        <v>6.4822093637640649E-3</v>
      </c>
      <c r="I309" s="378" t="s">
        <v>319</v>
      </c>
    </row>
    <row r="310" spans="2:9" x14ac:dyDescent="0.25">
      <c r="B310" s="650">
        <v>42702</v>
      </c>
      <c r="C310" s="377">
        <v>8678</v>
      </c>
      <c r="D310" s="651">
        <v>15.5304</v>
      </c>
      <c r="E310" s="378">
        <v>15.54</v>
      </c>
      <c r="F310" s="378">
        <f t="shared" si="96"/>
        <v>83.308799999990825</v>
      </c>
      <c r="G310" s="378">
        <f t="shared" si="97"/>
        <v>134772.8112</v>
      </c>
      <c r="H310" s="379">
        <f t="shared" si="98"/>
        <v>6.1814248184199655E-4</v>
      </c>
      <c r="I310" s="378"/>
    </row>
    <row r="311" spans="2:9" x14ac:dyDescent="0.25">
      <c r="B311" s="650">
        <v>42703</v>
      </c>
      <c r="C311" s="377">
        <v>8978</v>
      </c>
      <c r="D311" s="651">
        <v>15.5053</v>
      </c>
      <c r="E311" s="378">
        <v>14.95</v>
      </c>
      <c r="F311" s="378">
        <f t="shared" si="96"/>
        <v>-4985.4834000000074</v>
      </c>
      <c r="G311" s="378">
        <f t="shared" si="97"/>
        <v>139206.5834</v>
      </c>
      <c r="H311" s="379">
        <f t="shared" si="98"/>
        <v>-3.5813560524465882E-2</v>
      </c>
      <c r="I311" s="378"/>
    </row>
    <row r="312" spans="2:9" x14ac:dyDescent="0.25">
      <c r="B312" s="650">
        <v>42704</v>
      </c>
      <c r="C312" s="377">
        <v>5178</v>
      </c>
      <c r="D312" s="651">
        <v>14.3947</v>
      </c>
      <c r="E312" s="378">
        <v>18.059999999999999</v>
      </c>
      <c r="F312" s="378">
        <f t="shared" si="96"/>
        <v>18978.923399999992</v>
      </c>
      <c r="G312" s="378">
        <f t="shared" si="97"/>
        <v>74535.756600000008</v>
      </c>
      <c r="H312" s="379">
        <f t="shared" si="98"/>
        <v>0.25462843963403187</v>
      </c>
      <c r="I312" s="378"/>
    </row>
    <row r="313" spans="2:9" x14ac:dyDescent="0.25">
      <c r="B313" s="650">
        <v>42705</v>
      </c>
      <c r="C313" s="377">
        <v>4678</v>
      </c>
      <c r="D313" s="651">
        <v>13.905799999999999</v>
      </c>
      <c r="E313" s="378">
        <v>17.89</v>
      </c>
      <c r="F313" s="378">
        <f t="shared" si="96"/>
        <v>18638.087600000006</v>
      </c>
      <c r="G313" s="378">
        <f t="shared" si="97"/>
        <v>65051.332399999999</v>
      </c>
      <c r="H313" s="379">
        <f t="shared" si="98"/>
        <v>0.28651354111234173</v>
      </c>
      <c r="I313" s="378"/>
    </row>
    <row r="314" spans="2:9" x14ac:dyDescent="0.25">
      <c r="B314" s="650">
        <v>42705</v>
      </c>
      <c r="C314" s="377">
        <v>5000</v>
      </c>
      <c r="D314" s="651">
        <v>14.1645</v>
      </c>
      <c r="E314" s="378">
        <v>17.89</v>
      </c>
      <c r="F314" s="378">
        <f t="shared" si="96"/>
        <v>18627.5</v>
      </c>
      <c r="G314" s="378">
        <f t="shared" si="97"/>
        <v>70822.5</v>
      </c>
      <c r="H314" s="379">
        <f t="shared" si="98"/>
        <v>0.2630166966712556</v>
      </c>
      <c r="I314" s="378"/>
    </row>
    <row r="315" spans="2:9" x14ac:dyDescent="0.25">
      <c r="B315" s="650">
        <v>42708</v>
      </c>
      <c r="C315" s="377">
        <v>5000</v>
      </c>
      <c r="D315" s="651">
        <v>14.1645</v>
      </c>
      <c r="E315" s="378">
        <v>18.2</v>
      </c>
      <c r="F315" s="378">
        <f t="shared" si="96"/>
        <v>20177.499999999996</v>
      </c>
      <c r="G315" s="378">
        <f t="shared" si="97"/>
        <v>70822.5</v>
      </c>
      <c r="H315" s="379">
        <f t="shared" si="98"/>
        <v>0.28490239683716323</v>
      </c>
      <c r="I315" s="378"/>
    </row>
    <row r="316" spans="2:9" x14ac:dyDescent="0.25">
      <c r="B316" s="650">
        <v>42711</v>
      </c>
      <c r="C316" s="377">
        <v>5000</v>
      </c>
      <c r="D316" s="651">
        <v>14.143514</v>
      </c>
      <c r="E316" s="378">
        <v>18.420000000000002</v>
      </c>
      <c r="F316" s="378">
        <f t="shared" si="96"/>
        <v>21382.430000000011</v>
      </c>
      <c r="G316" s="378">
        <f t="shared" si="97"/>
        <v>70717.569999999992</v>
      </c>
      <c r="H316" s="379">
        <f t="shared" si="98"/>
        <v>0.3023637548631834</v>
      </c>
      <c r="I316" s="378"/>
    </row>
    <row r="317" spans="2:9" x14ac:dyDescent="0.25">
      <c r="B317" s="650">
        <v>42713</v>
      </c>
      <c r="C317" s="377">
        <v>5000</v>
      </c>
      <c r="D317" s="651">
        <v>14.127554</v>
      </c>
      <c r="E317" s="378">
        <v>18.25</v>
      </c>
      <c r="F317" s="378">
        <f t="shared" si="96"/>
        <v>20612.23</v>
      </c>
      <c r="G317" s="378">
        <f t="shared" si="97"/>
        <v>70637.77</v>
      </c>
      <c r="H317" s="379">
        <f t="shared" si="98"/>
        <v>0.29180182216964096</v>
      </c>
      <c r="I317" s="378"/>
    </row>
    <row r="318" spans="2:9" x14ac:dyDescent="0.25">
      <c r="B318" s="650">
        <v>42716</v>
      </c>
      <c r="C318" s="377">
        <v>5000</v>
      </c>
      <c r="D318" s="651">
        <v>14.0276</v>
      </c>
      <c r="E318" s="378">
        <v>18.489999999999998</v>
      </c>
      <c r="F318" s="378">
        <f t="shared" si="96"/>
        <v>22311.999999999993</v>
      </c>
      <c r="G318" s="378">
        <f t="shared" si="97"/>
        <v>70138</v>
      </c>
      <c r="H318" s="379">
        <f t="shared" si="98"/>
        <v>0.3181157147338104</v>
      </c>
      <c r="I318" s="378" t="s">
        <v>187</v>
      </c>
    </row>
    <row r="319" spans="2:9" x14ac:dyDescent="0.25">
      <c r="B319" s="650">
        <v>42718</v>
      </c>
      <c r="C319" s="377">
        <v>5000</v>
      </c>
      <c r="D319" s="651">
        <v>14.025399999999999</v>
      </c>
      <c r="E319" s="378">
        <v>18.2</v>
      </c>
      <c r="F319" s="378">
        <f t="shared" si="96"/>
        <v>20873</v>
      </c>
      <c r="G319" s="378">
        <f t="shared" si="97"/>
        <v>70127</v>
      </c>
      <c r="H319" s="379">
        <f t="shared" si="98"/>
        <v>0.29764569994438661</v>
      </c>
      <c r="I319" s="378">
        <v>13.8</v>
      </c>
    </row>
    <row r="320" spans="2:9" x14ac:dyDescent="0.25">
      <c r="B320" s="650">
        <v>42726</v>
      </c>
      <c r="C320" s="377">
        <v>5000</v>
      </c>
      <c r="D320" s="651">
        <v>14.025399999999999</v>
      </c>
      <c r="E320" s="378">
        <v>18.04</v>
      </c>
      <c r="F320" s="378">
        <f t="shared" si="96"/>
        <v>20073</v>
      </c>
      <c r="G320" s="378">
        <f t="shared" si="97"/>
        <v>70127</v>
      </c>
      <c r="H320" s="379">
        <f t="shared" si="98"/>
        <v>0.28623782565916123</v>
      </c>
      <c r="I320" s="378"/>
    </row>
    <row r="321" spans="1:10" x14ac:dyDescent="0.25">
      <c r="B321" s="650">
        <v>42733</v>
      </c>
      <c r="C321" s="377">
        <v>6000</v>
      </c>
      <c r="D321" s="651">
        <v>14.627558000000001</v>
      </c>
      <c r="E321" s="378">
        <v>17.57</v>
      </c>
      <c r="F321" s="465">
        <f t="shared" si="96"/>
        <v>17654.651999999998</v>
      </c>
      <c r="G321" s="378">
        <f t="shared" si="97"/>
        <v>87765.347999999998</v>
      </c>
      <c r="H321" s="380">
        <f t="shared" si="98"/>
        <v>0.20115743174629694</v>
      </c>
      <c r="I321" s="378"/>
      <c r="J321" s="3"/>
    </row>
    <row r="322" spans="1:10" x14ac:dyDescent="0.25">
      <c r="B322" s="650">
        <v>42734</v>
      </c>
      <c r="C322" s="377">
        <v>6000</v>
      </c>
      <c r="D322" s="651">
        <v>14.562623</v>
      </c>
      <c r="E322" s="378">
        <v>17.309999999999999</v>
      </c>
      <c r="F322" s="465">
        <f t="shared" si="96"/>
        <v>16484.261999999992</v>
      </c>
      <c r="G322" s="378">
        <f t="shared" si="97"/>
        <v>87375.737999999998</v>
      </c>
      <c r="H322" s="380">
        <f t="shared" si="98"/>
        <v>0.18865948806063293</v>
      </c>
      <c r="I322" s="378"/>
    </row>
    <row r="323" spans="1:10" x14ac:dyDescent="0.25">
      <c r="B323" s="650">
        <v>42739</v>
      </c>
      <c r="C323" s="377">
        <v>5500</v>
      </c>
      <c r="D323" s="651">
        <v>14.242898</v>
      </c>
      <c r="E323" s="378">
        <v>18.05</v>
      </c>
      <c r="F323" s="465">
        <f t="shared" si="96"/>
        <v>20939.061000000002</v>
      </c>
      <c r="G323" s="378">
        <f t="shared" si="97"/>
        <v>78335.938999999998</v>
      </c>
      <c r="H323" s="380">
        <f t="shared" si="98"/>
        <v>0.26729827033796072</v>
      </c>
      <c r="I323" s="378"/>
    </row>
    <row r="324" spans="1:10" x14ac:dyDescent="0.25">
      <c r="B324" s="650">
        <v>42741</v>
      </c>
      <c r="C324" s="377">
        <v>6000</v>
      </c>
      <c r="D324" s="651">
        <v>14.54599</v>
      </c>
      <c r="E324" s="378">
        <v>17.98</v>
      </c>
      <c r="F324" s="465">
        <f t="shared" si="96"/>
        <v>20604.060000000005</v>
      </c>
      <c r="G324" s="378">
        <f t="shared" si="97"/>
        <v>87275.94</v>
      </c>
      <c r="H324" s="380">
        <f t="shared" si="98"/>
        <v>0.23607949682352322</v>
      </c>
      <c r="I324" s="378"/>
    </row>
    <row r="325" spans="1:10" x14ac:dyDescent="0.25">
      <c r="B325" s="650">
        <v>42748</v>
      </c>
      <c r="C325" s="377">
        <v>6000</v>
      </c>
      <c r="D325" s="651">
        <v>14.527687999999999</v>
      </c>
      <c r="E325" s="378">
        <v>17.46</v>
      </c>
      <c r="F325" s="465">
        <f t="shared" si="96"/>
        <v>17593.872000000007</v>
      </c>
      <c r="G325" s="378">
        <f t="shared" si="97"/>
        <v>87166.127999999997</v>
      </c>
      <c r="H325" s="380">
        <f t="shared" si="98"/>
        <v>0.20184299112150547</v>
      </c>
      <c r="I325" s="378"/>
    </row>
    <row r="326" spans="1:10" x14ac:dyDescent="0.25">
      <c r="A326" s="233" t="s">
        <v>348</v>
      </c>
      <c r="B326" s="650">
        <v>42754</v>
      </c>
      <c r="C326" s="377">
        <v>6000</v>
      </c>
      <c r="D326" s="651">
        <v>14.527687999999999</v>
      </c>
      <c r="E326" s="378">
        <v>17.27</v>
      </c>
      <c r="F326" s="465">
        <f t="shared" si="96"/>
        <v>16453.871999999999</v>
      </c>
      <c r="G326" s="378">
        <f t="shared" si="97"/>
        <v>87166.127999999997</v>
      </c>
      <c r="H326" s="380">
        <f t="shared" si="98"/>
        <v>0.1887645164185795</v>
      </c>
      <c r="I326" s="378"/>
    </row>
    <row r="327" spans="1:10" x14ac:dyDescent="0.25">
      <c r="A327" t="s">
        <v>348</v>
      </c>
      <c r="B327" s="650">
        <v>42760</v>
      </c>
      <c r="C327" s="377">
        <v>6000</v>
      </c>
      <c r="D327" s="651">
        <v>14.527687999999999</v>
      </c>
      <c r="E327" s="378">
        <v>17.75</v>
      </c>
      <c r="F327" s="465">
        <f t="shared" ref="F327:F341" si="99">C327*(E327-D327)</f>
        <v>19333.872000000003</v>
      </c>
      <c r="G327" s="378">
        <f t="shared" ref="G327:G341" si="100">IF(C327=0, 0,D327*C327)</f>
        <v>87166.127999999997</v>
      </c>
      <c r="H327" s="380">
        <f t="shared" ref="H327:H341" si="101">IF(C327=0, D327, (E327-D327)/D327)</f>
        <v>0.22180487356281334</v>
      </c>
      <c r="I327" s="378"/>
    </row>
    <row r="328" spans="1:10" x14ac:dyDescent="0.25">
      <c r="A328" t="s">
        <v>383</v>
      </c>
      <c r="B328" s="650">
        <v>42761</v>
      </c>
      <c r="C328" s="377">
        <v>6000</v>
      </c>
      <c r="D328" s="651">
        <v>14.50817</v>
      </c>
      <c r="E328" s="378">
        <v>17.75</v>
      </c>
      <c r="F328" s="465">
        <f t="shared" si="99"/>
        <v>19450.98</v>
      </c>
      <c r="G328" s="378">
        <f t="shared" si="100"/>
        <v>87049.02</v>
      </c>
      <c r="H328" s="380">
        <f t="shared" si="101"/>
        <v>0.22344858104088938</v>
      </c>
      <c r="I328" s="378"/>
    </row>
    <row r="329" spans="1:10" x14ac:dyDescent="0.25">
      <c r="A329" t="s">
        <v>387</v>
      </c>
      <c r="B329" s="650">
        <v>42762</v>
      </c>
      <c r="C329" s="377">
        <v>6100</v>
      </c>
      <c r="D329" s="651">
        <v>14.553610000000001</v>
      </c>
      <c r="E329" s="378">
        <v>17.41</v>
      </c>
      <c r="F329" s="465">
        <f t="shared" si="99"/>
        <v>17423.978999999996</v>
      </c>
      <c r="G329" s="378">
        <f t="shared" si="100"/>
        <v>88777.021000000008</v>
      </c>
      <c r="H329" s="380">
        <f t="shared" si="101"/>
        <v>0.19626676817641803</v>
      </c>
      <c r="I329" s="378"/>
    </row>
    <row r="330" spans="1:10" x14ac:dyDescent="0.25">
      <c r="A330" t="s">
        <v>398</v>
      </c>
      <c r="B330" s="650">
        <v>42765</v>
      </c>
      <c r="C330" s="377">
        <v>6900</v>
      </c>
      <c r="D330" s="651">
        <v>14.793915999999999</v>
      </c>
      <c r="E330" s="378">
        <v>16.53</v>
      </c>
      <c r="F330" s="465">
        <f t="shared" si="99"/>
        <v>11978.979600000011</v>
      </c>
      <c r="G330" s="378">
        <f t="shared" si="100"/>
        <v>102078.02039999999</v>
      </c>
      <c r="H330" s="380">
        <f t="shared" si="101"/>
        <v>0.11735121383682331</v>
      </c>
      <c r="I330" s="378"/>
    </row>
    <row r="331" spans="1:10" x14ac:dyDescent="0.25">
      <c r="A331" t="s">
        <v>399</v>
      </c>
      <c r="B331" s="650">
        <v>42766</v>
      </c>
      <c r="C331" s="377">
        <v>6900</v>
      </c>
      <c r="D331" s="651">
        <v>14.783497000000001</v>
      </c>
      <c r="E331" s="378">
        <v>16.75</v>
      </c>
      <c r="F331" s="465">
        <f t="shared" si="99"/>
        <v>13568.870699999996</v>
      </c>
      <c r="G331" s="378">
        <f t="shared" si="100"/>
        <v>102006.1293</v>
      </c>
      <c r="H331" s="380">
        <f t="shared" si="101"/>
        <v>0.13302015078029233</v>
      </c>
      <c r="I331" s="378"/>
    </row>
    <row r="332" spans="1:10" x14ac:dyDescent="0.25">
      <c r="B332" s="650">
        <v>42767</v>
      </c>
      <c r="C332" s="377">
        <v>6000</v>
      </c>
      <c r="D332" s="651">
        <v>14.442175000000001</v>
      </c>
      <c r="E332" s="378">
        <v>16.59</v>
      </c>
      <c r="F332" s="465">
        <f t="shared" si="99"/>
        <v>12886.949999999995</v>
      </c>
      <c r="G332" s="378">
        <f t="shared" si="100"/>
        <v>86653.05</v>
      </c>
      <c r="H332" s="380">
        <f t="shared" si="101"/>
        <v>0.14871894295699914</v>
      </c>
      <c r="I332" s="378"/>
    </row>
    <row r="333" spans="1:10" x14ac:dyDescent="0.25">
      <c r="B333" s="650">
        <v>42767</v>
      </c>
      <c r="C333" s="377">
        <v>7000</v>
      </c>
      <c r="D333" s="651">
        <v>14.725436</v>
      </c>
      <c r="E333" s="378">
        <v>16.59</v>
      </c>
      <c r="F333" s="465">
        <f t="shared" si="99"/>
        <v>13051.947999999999</v>
      </c>
      <c r="G333" s="378">
        <f t="shared" si="100"/>
        <v>103078.052</v>
      </c>
      <c r="H333" s="380">
        <f t="shared" si="101"/>
        <v>0.1266219893251378</v>
      </c>
      <c r="I333" s="378"/>
    </row>
    <row r="334" spans="1:10" x14ac:dyDescent="0.25">
      <c r="B334" s="650">
        <v>42767</v>
      </c>
      <c r="C334" s="377">
        <v>7200</v>
      </c>
      <c r="D334" s="651">
        <v>14.771951</v>
      </c>
      <c r="E334" s="378">
        <v>16.59</v>
      </c>
      <c r="F334" s="465">
        <f t="shared" si="99"/>
        <v>13089.952800000001</v>
      </c>
      <c r="G334" s="378">
        <f t="shared" si="100"/>
        <v>106358.0472</v>
      </c>
      <c r="H334" s="380">
        <f t="shared" si="101"/>
        <v>0.12307439958337259</v>
      </c>
      <c r="I334" s="378"/>
    </row>
    <row r="335" spans="1:10" x14ac:dyDescent="0.25">
      <c r="A335" t="s">
        <v>403</v>
      </c>
      <c r="B335" s="650">
        <v>42767</v>
      </c>
      <c r="C335" s="377">
        <v>6500</v>
      </c>
      <c r="D335" s="651">
        <v>14.578353999999999</v>
      </c>
      <c r="E335" s="378">
        <v>16.59</v>
      </c>
      <c r="F335" s="465">
        <f t="shared" si="99"/>
        <v>13075.699000000004</v>
      </c>
      <c r="G335" s="378">
        <f t="shared" si="100"/>
        <v>94759.300999999992</v>
      </c>
      <c r="H335" s="380">
        <f t="shared" si="101"/>
        <v>0.13798855481215511</v>
      </c>
      <c r="I335" s="378"/>
    </row>
    <row r="336" spans="1:10" ht="15" customHeight="1" x14ac:dyDescent="0.25">
      <c r="A336" t="s">
        <v>406</v>
      </c>
      <c r="B336" s="650">
        <v>42768</v>
      </c>
      <c r="C336" s="377">
        <v>6000</v>
      </c>
      <c r="D336" s="651">
        <v>14.368788</v>
      </c>
      <c r="E336" s="378">
        <v>16.68</v>
      </c>
      <c r="F336" s="465">
        <f t="shared" si="99"/>
        <v>13867.271999999995</v>
      </c>
      <c r="G336" s="378">
        <f>IF(C336=0, 0,D336*C336)</f>
        <v>86212.728000000003</v>
      </c>
      <c r="H336" s="380">
        <f t="shared" si="101"/>
        <v>0.16084947456946261</v>
      </c>
      <c r="I336" s="378"/>
    </row>
    <row r="337" spans="1:13" x14ac:dyDescent="0.25">
      <c r="A337" t="s">
        <v>414</v>
      </c>
      <c r="B337" s="650">
        <v>42769</v>
      </c>
      <c r="C337" s="377">
        <v>5300</v>
      </c>
      <c r="D337" s="651">
        <v>14.006677</v>
      </c>
      <c r="E337" s="378">
        <v>17.23</v>
      </c>
      <c r="F337" s="465">
        <f t="shared" si="99"/>
        <v>17083.611900000004</v>
      </c>
      <c r="G337" s="378">
        <f t="shared" si="100"/>
        <v>74235.388099999996</v>
      </c>
      <c r="H337" s="380">
        <f t="shared" si="101"/>
        <v>0.2301276027140485</v>
      </c>
      <c r="I337" s="378"/>
    </row>
    <row r="338" spans="1:13" x14ac:dyDescent="0.25">
      <c r="A338" t="s">
        <v>425</v>
      </c>
      <c r="B338" s="650">
        <v>42772</v>
      </c>
      <c r="C338" s="377">
        <v>6000</v>
      </c>
      <c r="D338" s="651">
        <v>14.311230999999999</v>
      </c>
      <c r="E338" s="378">
        <v>16.52</v>
      </c>
      <c r="F338" s="465">
        <f t="shared" si="99"/>
        <v>13252.614000000001</v>
      </c>
      <c r="G338" s="378">
        <f t="shared" si="100"/>
        <v>85867.385999999999</v>
      </c>
      <c r="H338" s="380">
        <f t="shared" si="101"/>
        <v>0.15433815581622576</v>
      </c>
      <c r="I338" s="378"/>
    </row>
    <row r="339" spans="1:13" x14ac:dyDescent="0.25">
      <c r="A339" t="s">
        <v>430</v>
      </c>
      <c r="B339" s="650">
        <v>42773</v>
      </c>
      <c r="C339" s="377">
        <v>6600</v>
      </c>
      <c r="D339" s="651">
        <v>14.461574000000001</v>
      </c>
      <c r="E339" s="378">
        <v>16.03</v>
      </c>
      <c r="F339" s="465">
        <f t="shared" si="99"/>
        <v>10351.611600000004</v>
      </c>
      <c r="G339" s="378">
        <f t="shared" si="100"/>
        <v>95446.388400000011</v>
      </c>
      <c r="H339" s="380">
        <f t="shared" si="101"/>
        <v>0.10845472283998965</v>
      </c>
      <c r="I339" s="378"/>
    </row>
    <row r="340" spans="1:13" x14ac:dyDescent="0.25">
      <c r="A340" t="s">
        <v>454</v>
      </c>
      <c r="B340" s="650">
        <v>42781</v>
      </c>
      <c r="C340" s="377">
        <v>5700</v>
      </c>
      <c r="D340" s="651">
        <v>14.140828000000001</v>
      </c>
      <c r="E340" s="378">
        <v>16.3</v>
      </c>
      <c r="F340" s="465">
        <f t="shared" si="99"/>
        <v>12307.2804</v>
      </c>
      <c r="G340" s="378">
        <f t="shared" si="100"/>
        <v>80602.719600000011</v>
      </c>
      <c r="H340" s="380">
        <f t="shared" si="101"/>
        <v>0.1526906345229572</v>
      </c>
      <c r="I340" s="378"/>
    </row>
    <row r="341" spans="1:13" x14ac:dyDescent="0.25">
      <c r="A341" t="s">
        <v>456</v>
      </c>
      <c r="B341" s="650">
        <v>42782</v>
      </c>
      <c r="C341" s="377">
        <v>5700</v>
      </c>
      <c r="D341" s="651">
        <v>14.103</v>
      </c>
      <c r="E341" s="378">
        <v>16.170000000000002</v>
      </c>
      <c r="F341" s="465">
        <f t="shared" si="99"/>
        <v>11781.900000000011</v>
      </c>
      <c r="G341" s="378">
        <f t="shared" si="100"/>
        <v>80387.100000000006</v>
      </c>
      <c r="H341" s="380">
        <f t="shared" si="101"/>
        <v>0.14656456073175933</v>
      </c>
      <c r="I341" s="378"/>
    </row>
    <row r="342" spans="1:13" x14ac:dyDescent="0.25">
      <c r="B342" s="650"/>
      <c r="C342" s="377"/>
      <c r="D342" s="651"/>
      <c r="E342" s="378"/>
      <c r="F342" s="465"/>
      <c r="G342" s="378"/>
      <c r="H342" s="380"/>
      <c r="I342" s="378"/>
    </row>
    <row r="343" spans="1:13" x14ac:dyDescent="0.25">
      <c r="B343" s="650"/>
      <c r="C343" s="377"/>
      <c r="D343" s="651"/>
      <c r="E343" s="378"/>
      <c r="F343" s="465"/>
      <c r="G343" s="378"/>
      <c r="H343" s="380"/>
      <c r="I343" s="378"/>
    </row>
    <row r="344" spans="1:13" x14ac:dyDescent="0.25">
      <c r="B344" s="650"/>
      <c r="C344" s="377"/>
      <c r="D344" s="651"/>
      <c r="E344" s="378"/>
      <c r="F344" s="465"/>
      <c r="G344" s="378"/>
      <c r="H344" s="380"/>
      <c r="I344" s="378"/>
    </row>
    <row r="345" spans="1:13" x14ac:dyDescent="0.25">
      <c r="B345" s="650"/>
      <c r="C345" s="377"/>
      <c r="D345" s="651"/>
      <c r="E345" s="378"/>
      <c r="F345" s="465"/>
      <c r="G345" s="378"/>
      <c r="H345" s="380"/>
      <c r="I345" s="378"/>
    </row>
    <row r="347" spans="1:13" ht="15" customHeight="1" x14ac:dyDescent="0.25"/>
    <row r="349" spans="1:13" x14ac:dyDescent="0.25">
      <c r="L349" t="s">
        <v>65</v>
      </c>
      <c r="M349" s="234">
        <f>K612+M612-F612</f>
        <v>14615.571000001626</v>
      </c>
    </row>
    <row r="350" spans="1:13" x14ac:dyDescent="0.25">
      <c r="A350" s="538" t="s">
        <v>1</v>
      </c>
      <c r="B350" s="617" t="s">
        <v>2</v>
      </c>
      <c r="C350" s="538" t="s">
        <v>4</v>
      </c>
      <c r="D350" s="618" t="s">
        <v>5</v>
      </c>
      <c r="E350" s="539" t="s">
        <v>90</v>
      </c>
      <c r="F350" s="539" t="s">
        <v>60</v>
      </c>
      <c r="G350" s="538" t="s">
        <v>3</v>
      </c>
      <c r="H350" s="619" t="s">
        <v>6</v>
      </c>
      <c r="I350" s="618" t="s">
        <v>7</v>
      </c>
      <c r="J350" s="539" t="s">
        <v>89</v>
      </c>
      <c r="K350" s="539" t="s">
        <v>61</v>
      </c>
      <c r="L350" s="538" t="s">
        <v>37</v>
      </c>
      <c r="M350" s="539" t="s">
        <v>38</v>
      </c>
    </row>
    <row r="351" spans="1:13" x14ac:dyDescent="0.25">
      <c r="A351" s="540" t="s">
        <v>50</v>
      </c>
      <c r="B351" s="574">
        <v>42187</v>
      </c>
      <c r="C351" s="523">
        <v>1000</v>
      </c>
      <c r="D351" s="524">
        <v>27.25</v>
      </c>
      <c r="E351" s="525">
        <v>0</v>
      </c>
      <c r="F351" s="525">
        <f>C351*D351+E351</f>
        <v>27250</v>
      </c>
      <c r="G351" s="522">
        <v>42187</v>
      </c>
      <c r="H351" s="541">
        <v>2000</v>
      </c>
      <c r="I351" s="524">
        <v>27.34</v>
      </c>
      <c r="J351" s="525">
        <v>-5.49</v>
      </c>
      <c r="K351" s="525">
        <f>H351*I351-J351</f>
        <v>54685.49</v>
      </c>
      <c r="L351" s="522">
        <v>42257</v>
      </c>
      <c r="M351" s="525">
        <v>850.5</v>
      </c>
    </row>
    <row r="352" spans="1:13" x14ac:dyDescent="0.25">
      <c r="A352" s="542" t="s">
        <v>71</v>
      </c>
      <c r="B352" s="574">
        <v>42187</v>
      </c>
      <c r="C352" s="523">
        <v>80</v>
      </c>
      <c r="D352" s="524">
        <v>27.152249999999999</v>
      </c>
      <c r="E352" s="525">
        <v>0</v>
      </c>
      <c r="F352" s="525">
        <f t="shared" ref="F352:F415" si="102">C352*D352+E352</f>
        <v>2172.1799999999998</v>
      </c>
      <c r="G352" s="522">
        <v>42199</v>
      </c>
      <c r="H352" s="541">
        <v>102</v>
      </c>
      <c r="I352" s="524">
        <v>25.28</v>
      </c>
      <c r="J352" s="525">
        <v>0.05</v>
      </c>
      <c r="K352" s="525">
        <f t="shared" ref="K352:K379" si="103">H352*I352-J352</f>
        <v>2578.5099999999998</v>
      </c>
      <c r="L352" s="522">
        <v>42439</v>
      </c>
      <c r="M352" s="525">
        <v>483.9</v>
      </c>
    </row>
    <row r="353" spans="1:13" x14ac:dyDescent="0.25">
      <c r="A353" s="523"/>
      <c r="B353" s="574">
        <v>42187</v>
      </c>
      <c r="C353" s="523">
        <v>1000</v>
      </c>
      <c r="D353" s="524">
        <v>27.1</v>
      </c>
      <c r="E353" s="525">
        <v>0</v>
      </c>
      <c r="F353" s="525">
        <f t="shared" si="102"/>
        <v>27100</v>
      </c>
      <c r="G353" s="522">
        <v>42227</v>
      </c>
      <c r="H353" s="541">
        <v>200</v>
      </c>
      <c r="I353" s="524">
        <v>19.649999999999999</v>
      </c>
      <c r="J353" s="525">
        <v>7.0000000000000007E-2</v>
      </c>
      <c r="K353" s="525">
        <f t="shared" si="103"/>
        <v>3929.9299999999994</v>
      </c>
      <c r="L353" s="522">
        <v>42531</v>
      </c>
      <c r="M353" s="525">
        <v>483.9</v>
      </c>
    </row>
    <row r="354" spans="1:13" x14ac:dyDescent="0.25">
      <c r="A354" s="523"/>
      <c r="B354" s="638">
        <v>42187</v>
      </c>
      <c r="C354" s="523">
        <v>500</v>
      </c>
      <c r="D354" s="524">
        <v>27.039332999999999</v>
      </c>
      <c r="E354" s="525">
        <v>0</v>
      </c>
      <c r="F354" s="525">
        <f t="shared" si="102"/>
        <v>13519.666499999999</v>
      </c>
      <c r="G354" s="522">
        <v>42227</v>
      </c>
      <c r="H354" s="541">
        <v>200</v>
      </c>
      <c r="I354" s="524">
        <v>18.7</v>
      </c>
      <c r="J354" s="525">
        <v>7.0000000000000007E-2</v>
      </c>
      <c r="K354" s="525">
        <f t="shared" si="103"/>
        <v>3739.93</v>
      </c>
      <c r="L354" s="522">
        <v>42625</v>
      </c>
      <c r="M354" s="525">
        <v>433.9</v>
      </c>
    </row>
    <row r="355" spans="1:13" x14ac:dyDescent="0.25">
      <c r="A355" s="523"/>
      <c r="B355" s="638"/>
      <c r="C355" s="523">
        <v>500</v>
      </c>
      <c r="D355" s="524">
        <v>27.039332999999999</v>
      </c>
      <c r="E355" s="525">
        <v>0</v>
      </c>
      <c r="F355" s="525">
        <f t="shared" si="102"/>
        <v>13519.666499999999</v>
      </c>
      <c r="G355" s="522">
        <v>42257</v>
      </c>
      <c r="H355" s="541">
        <v>1600</v>
      </c>
      <c r="I355" s="524">
        <v>16.445</v>
      </c>
      <c r="J355" s="525">
        <v>0.48</v>
      </c>
      <c r="K355" s="525">
        <f t="shared" si="103"/>
        <v>26311.52</v>
      </c>
      <c r="L355" s="522">
        <v>42716</v>
      </c>
      <c r="M355" s="525">
        <v>500</v>
      </c>
    </row>
    <row r="356" spans="1:13" x14ac:dyDescent="0.25">
      <c r="A356" s="523"/>
      <c r="B356" s="638"/>
      <c r="C356" s="523">
        <v>500</v>
      </c>
      <c r="D356" s="524">
        <v>27.039332999999999</v>
      </c>
      <c r="E356" s="525">
        <v>0</v>
      </c>
      <c r="F356" s="525">
        <f t="shared" si="102"/>
        <v>13519.666499999999</v>
      </c>
      <c r="G356" s="639">
        <v>42265</v>
      </c>
      <c r="H356" s="541">
        <v>200</v>
      </c>
      <c r="I356" s="524">
        <v>15.65</v>
      </c>
      <c r="J356" s="525">
        <v>0.05</v>
      </c>
      <c r="K356" s="525">
        <f t="shared" si="103"/>
        <v>3129.95</v>
      </c>
      <c r="L356" s="523"/>
      <c r="M356" s="525"/>
    </row>
    <row r="357" spans="1:13" x14ac:dyDescent="0.25">
      <c r="A357" s="523"/>
      <c r="B357" s="638"/>
      <c r="C357" s="523">
        <v>500</v>
      </c>
      <c r="D357" s="524">
        <v>27.039332999999999</v>
      </c>
      <c r="E357" s="525">
        <v>0</v>
      </c>
      <c r="F357" s="525">
        <f t="shared" si="102"/>
        <v>13519.666499999999</v>
      </c>
      <c r="G357" s="639"/>
      <c r="H357" s="541">
        <v>2400</v>
      </c>
      <c r="I357" s="524">
        <v>15.7</v>
      </c>
      <c r="J357" s="525">
        <v>0.7</v>
      </c>
      <c r="K357" s="525">
        <f t="shared" si="103"/>
        <v>37679.300000000003</v>
      </c>
      <c r="L357" s="523"/>
      <c r="M357" s="525"/>
    </row>
    <row r="358" spans="1:13" x14ac:dyDescent="0.25">
      <c r="A358" s="523"/>
      <c r="B358" s="638"/>
      <c r="C358" s="523">
        <v>1000</v>
      </c>
      <c r="D358" s="524">
        <v>27.039332999999999</v>
      </c>
      <c r="E358" s="525">
        <v>0</v>
      </c>
      <c r="F358" s="525">
        <f t="shared" si="102"/>
        <v>27039.332999999999</v>
      </c>
      <c r="G358" s="522">
        <v>42271</v>
      </c>
      <c r="H358" s="620">
        <v>918</v>
      </c>
      <c r="I358" s="621">
        <v>16.45</v>
      </c>
      <c r="J358" s="622">
        <v>0.28000000000000003</v>
      </c>
      <c r="K358" s="622">
        <f t="shared" si="103"/>
        <v>15100.819999999998</v>
      </c>
      <c r="L358" s="523"/>
      <c r="M358" s="525"/>
    </row>
    <row r="359" spans="1:13" ht="60" x14ac:dyDescent="0.25">
      <c r="A359" s="523"/>
      <c r="B359" s="574">
        <v>42198</v>
      </c>
      <c r="C359" s="523">
        <v>100</v>
      </c>
      <c r="D359" s="524">
        <v>24.77</v>
      </c>
      <c r="E359" s="525">
        <v>0</v>
      </c>
      <c r="F359" s="525">
        <f t="shared" si="102"/>
        <v>2477</v>
      </c>
      <c r="G359" s="640" t="s">
        <v>139</v>
      </c>
      <c r="H359" s="541">
        <v>500</v>
      </c>
      <c r="I359" s="524">
        <v>15.95</v>
      </c>
      <c r="J359" s="525">
        <v>0.15</v>
      </c>
      <c r="K359" s="622">
        <f t="shared" si="103"/>
        <v>7974.85</v>
      </c>
      <c r="L359" s="523"/>
      <c r="M359" s="525"/>
    </row>
    <row r="360" spans="1:13" x14ac:dyDescent="0.25">
      <c r="A360" s="523"/>
      <c r="B360" s="574">
        <v>42205</v>
      </c>
      <c r="C360" s="523">
        <v>50</v>
      </c>
      <c r="D360" s="524">
        <v>24.35</v>
      </c>
      <c r="E360" s="525">
        <v>0</v>
      </c>
      <c r="F360" s="525">
        <f t="shared" si="102"/>
        <v>1217.5</v>
      </c>
      <c r="G360" s="640"/>
      <c r="H360" s="541">
        <v>500</v>
      </c>
      <c r="I360" s="524">
        <v>16.100000000000001</v>
      </c>
      <c r="J360" s="525">
        <v>0.15</v>
      </c>
      <c r="K360" s="622">
        <f t="shared" si="103"/>
        <v>8049.8500000000013</v>
      </c>
      <c r="L360" s="523"/>
      <c r="M360" s="525"/>
    </row>
    <row r="361" spans="1:13" x14ac:dyDescent="0.25">
      <c r="A361" s="523"/>
      <c r="B361" s="574">
        <v>42207</v>
      </c>
      <c r="C361" s="523">
        <v>20</v>
      </c>
      <c r="D361" s="524">
        <v>24.02</v>
      </c>
      <c r="E361" s="525">
        <v>0</v>
      </c>
      <c r="F361" s="525">
        <f t="shared" si="102"/>
        <v>480.4</v>
      </c>
      <c r="G361" s="640"/>
      <c r="H361" s="541">
        <v>500</v>
      </c>
      <c r="I361" s="524">
        <v>16.170000000000002</v>
      </c>
      <c r="J361" s="525">
        <v>0.15</v>
      </c>
      <c r="K361" s="622">
        <f t="shared" si="103"/>
        <v>8084.8500000000013</v>
      </c>
      <c r="L361" s="523"/>
      <c r="M361" s="525"/>
    </row>
    <row r="362" spans="1:13" x14ac:dyDescent="0.25">
      <c r="A362" s="523"/>
      <c r="B362" s="574">
        <v>42207</v>
      </c>
      <c r="C362" s="523">
        <v>20</v>
      </c>
      <c r="D362" s="524">
        <v>23.91</v>
      </c>
      <c r="E362" s="525">
        <v>0</v>
      </c>
      <c r="F362" s="525">
        <f t="shared" si="102"/>
        <v>478.2</v>
      </c>
      <c r="G362" s="640"/>
      <c r="H362" s="541">
        <v>500</v>
      </c>
      <c r="I362" s="524">
        <v>16.28</v>
      </c>
      <c r="J362" s="525">
        <v>0.15</v>
      </c>
      <c r="K362" s="622">
        <f t="shared" si="103"/>
        <v>8139.8500000000013</v>
      </c>
      <c r="L362" s="525"/>
      <c r="M362" s="525"/>
    </row>
    <row r="363" spans="1:13" x14ac:dyDescent="0.25">
      <c r="A363" s="523"/>
      <c r="B363" s="574">
        <v>42207</v>
      </c>
      <c r="C363" s="523">
        <v>20</v>
      </c>
      <c r="D363" s="524">
        <v>23.7</v>
      </c>
      <c r="E363" s="525">
        <v>0</v>
      </c>
      <c r="F363" s="525">
        <f t="shared" si="102"/>
        <v>474</v>
      </c>
      <c r="G363" s="640"/>
      <c r="H363" s="541">
        <v>500</v>
      </c>
      <c r="I363" s="524">
        <v>16.39</v>
      </c>
      <c r="J363" s="525">
        <v>0.15</v>
      </c>
      <c r="K363" s="622">
        <f t="shared" si="103"/>
        <v>8194.85</v>
      </c>
      <c r="L363" s="523"/>
      <c r="M363" s="525"/>
    </row>
    <row r="364" spans="1:13" x14ac:dyDescent="0.25">
      <c r="A364" s="523"/>
      <c r="B364" s="574">
        <v>42207</v>
      </c>
      <c r="C364" s="523">
        <v>20</v>
      </c>
      <c r="D364" s="524">
        <v>23.6</v>
      </c>
      <c r="E364" s="525">
        <v>0</v>
      </c>
      <c r="F364" s="525">
        <f t="shared" si="102"/>
        <v>472</v>
      </c>
      <c r="G364" s="640"/>
      <c r="H364" s="541">
        <v>500</v>
      </c>
      <c r="I364" s="524">
        <v>16.55</v>
      </c>
      <c r="J364" s="525">
        <v>0.17</v>
      </c>
      <c r="K364" s="622">
        <f t="shared" si="103"/>
        <v>8274.83</v>
      </c>
      <c r="L364" s="523"/>
      <c r="M364" s="525"/>
    </row>
    <row r="365" spans="1:13" x14ac:dyDescent="0.25">
      <c r="A365" s="523"/>
      <c r="B365" s="574">
        <v>42209</v>
      </c>
      <c r="C365" s="523">
        <v>40</v>
      </c>
      <c r="D365" s="524">
        <v>22.3</v>
      </c>
      <c r="E365" s="525">
        <v>0</v>
      </c>
      <c r="F365" s="525">
        <f t="shared" si="102"/>
        <v>892</v>
      </c>
      <c r="G365" s="640"/>
      <c r="H365" s="541">
        <v>50</v>
      </c>
      <c r="I365" s="524">
        <v>16.55</v>
      </c>
      <c r="J365" s="525">
        <v>0</v>
      </c>
      <c r="K365" s="622">
        <f t="shared" si="103"/>
        <v>827.5</v>
      </c>
      <c r="L365" s="523"/>
      <c r="M365" s="525"/>
    </row>
    <row r="366" spans="1:13" x14ac:dyDescent="0.25">
      <c r="A366" s="525"/>
      <c r="B366" s="574">
        <v>42221</v>
      </c>
      <c r="C366" s="523">
        <v>12</v>
      </c>
      <c r="D366" s="524">
        <v>20.95</v>
      </c>
      <c r="E366" s="525">
        <v>0</v>
      </c>
      <c r="F366" s="525">
        <f t="shared" si="102"/>
        <v>251.39999999999998</v>
      </c>
      <c r="G366" s="640"/>
      <c r="H366" s="541">
        <v>28</v>
      </c>
      <c r="I366" s="524">
        <v>16.68</v>
      </c>
      <c r="J366" s="525">
        <v>0.01</v>
      </c>
      <c r="K366" s="622">
        <f t="shared" si="103"/>
        <v>467.03</v>
      </c>
      <c r="L366" s="541"/>
      <c r="M366" s="525"/>
    </row>
    <row r="367" spans="1:13" x14ac:dyDescent="0.25">
      <c r="A367" s="523"/>
      <c r="B367" s="574">
        <v>42223</v>
      </c>
      <c r="C367" s="523">
        <v>100</v>
      </c>
      <c r="D367" s="524">
        <v>20.399999999999999</v>
      </c>
      <c r="E367" s="525">
        <v>0</v>
      </c>
      <c r="F367" s="525">
        <f t="shared" si="102"/>
        <v>2039.9999999999998</v>
      </c>
      <c r="G367" s="522">
        <v>42285</v>
      </c>
      <c r="H367" s="541">
        <v>632</v>
      </c>
      <c r="I367" s="524">
        <v>17.850000000000001</v>
      </c>
      <c r="J367" s="525">
        <v>0.21</v>
      </c>
      <c r="K367" s="622">
        <f t="shared" si="103"/>
        <v>11280.990000000002</v>
      </c>
      <c r="L367" s="525"/>
      <c r="M367" s="525"/>
    </row>
    <row r="368" spans="1:13" ht="15" customHeight="1" x14ac:dyDescent="0.25">
      <c r="A368" s="525"/>
      <c r="B368" s="574">
        <v>42226</v>
      </c>
      <c r="C368" s="523">
        <v>200</v>
      </c>
      <c r="D368" s="524">
        <v>19.95</v>
      </c>
      <c r="E368" s="525">
        <v>0</v>
      </c>
      <c r="F368" s="525">
        <f t="shared" si="102"/>
        <v>3990</v>
      </c>
      <c r="G368" s="522">
        <v>42297</v>
      </c>
      <c r="H368" s="541">
        <v>500</v>
      </c>
      <c r="I368" s="524">
        <v>19.149999999999999</v>
      </c>
      <c r="J368" s="525">
        <v>0.18</v>
      </c>
      <c r="K368" s="622">
        <f t="shared" si="103"/>
        <v>9574.82</v>
      </c>
      <c r="L368" s="523"/>
      <c r="M368" s="525"/>
    </row>
    <row r="369" spans="1:13" x14ac:dyDescent="0.25">
      <c r="A369" s="523"/>
      <c r="B369" s="574">
        <v>42226</v>
      </c>
      <c r="C369" s="523">
        <v>50</v>
      </c>
      <c r="D369" s="524">
        <v>20.010000000000002</v>
      </c>
      <c r="E369" s="525">
        <v>0</v>
      </c>
      <c r="F369" s="525">
        <f t="shared" si="102"/>
        <v>1000.5000000000001</v>
      </c>
      <c r="G369" s="522">
        <v>42300</v>
      </c>
      <c r="H369" s="541">
        <v>1000</v>
      </c>
      <c r="I369" s="524">
        <v>18.62</v>
      </c>
      <c r="J369" s="525">
        <v>0.34</v>
      </c>
      <c r="K369" s="622">
        <f t="shared" si="103"/>
        <v>18619.66</v>
      </c>
      <c r="L369" s="523"/>
      <c r="M369" s="525"/>
    </row>
    <row r="370" spans="1:13" x14ac:dyDescent="0.25">
      <c r="A370" s="523"/>
      <c r="B370" s="574">
        <v>42226</v>
      </c>
      <c r="C370" s="523">
        <v>100</v>
      </c>
      <c r="D370" s="524">
        <v>20.2</v>
      </c>
      <c r="E370" s="525">
        <v>0</v>
      </c>
      <c r="F370" s="525">
        <f t="shared" si="102"/>
        <v>2020</v>
      </c>
      <c r="G370" s="522">
        <v>42312</v>
      </c>
      <c r="H370" s="541">
        <v>2500</v>
      </c>
      <c r="I370" s="524">
        <v>18.48</v>
      </c>
      <c r="J370" s="525">
        <v>7.8</v>
      </c>
      <c r="K370" s="525">
        <f t="shared" si="103"/>
        <v>46192.2</v>
      </c>
      <c r="L370" s="523"/>
      <c r="M370" s="525"/>
    </row>
    <row r="371" spans="1:13" x14ac:dyDescent="0.25">
      <c r="A371" s="523"/>
      <c r="B371" s="574">
        <v>42227</v>
      </c>
      <c r="C371" s="523">
        <v>200</v>
      </c>
      <c r="D371" s="524">
        <v>18.399999999999999</v>
      </c>
      <c r="E371" s="525">
        <v>0</v>
      </c>
      <c r="F371" s="525">
        <f t="shared" si="102"/>
        <v>3679.9999999999995</v>
      </c>
      <c r="G371" s="522">
        <v>42313</v>
      </c>
      <c r="H371" s="541">
        <v>3000</v>
      </c>
      <c r="I371" s="524">
        <v>19.059999999999999</v>
      </c>
      <c r="J371" s="525">
        <v>1.05</v>
      </c>
      <c r="K371" s="525">
        <f t="shared" si="103"/>
        <v>57178.94999999999</v>
      </c>
      <c r="L371" s="523"/>
      <c r="M371" s="525"/>
    </row>
    <row r="372" spans="1:13" x14ac:dyDescent="0.25">
      <c r="A372" s="523"/>
      <c r="B372" s="574">
        <v>42227</v>
      </c>
      <c r="C372" s="523">
        <v>200</v>
      </c>
      <c r="D372" s="524">
        <v>19.55</v>
      </c>
      <c r="E372" s="525">
        <v>0</v>
      </c>
      <c r="F372" s="525">
        <f t="shared" si="102"/>
        <v>3910</v>
      </c>
      <c r="G372" s="522">
        <v>42324</v>
      </c>
      <c r="H372" s="541">
        <v>2500</v>
      </c>
      <c r="I372" s="524">
        <v>18.8</v>
      </c>
      <c r="J372" s="525">
        <v>0.86</v>
      </c>
      <c r="K372" s="525">
        <f t="shared" si="103"/>
        <v>46999.14</v>
      </c>
      <c r="L372" s="525"/>
      <c r="M372" s="525"/>
    </row>
    <row r="373" spans="1:13" x14ac:dyDescent="0.25">
      <c r="A373" s="523"/>
      <c r="B373" s="574">
        <v>42234</v>
      </c>
      <c r="C373" s="523">
        <v>40</v>
      </c>
      <c r="D373" s="524">
        <v>18.149999999999999</v>
      </c>
      <c r="E373" s="525">
        <v>0</v>
      </c>
      <c r="F373" s="525">
        <f t="shared" si="102"/>
        <v>726</v>
      </c>
      <c r="G373" s="522">
        <v>42335</v>
      </c>
      <c r="H373" s="541">
        <v>3078</v>
      </c>
      <c r="I373" s="524">
        <v>17.649999999999999</v>
      </c>
      <c r="J373" s="525">
        <v>1</v>
      </c>
      <c r="K373" s="525">
        <f t="shared" si="103"/>
        <v>54325.7</v>
      </c>
      <c r="L373" s="523"/>
      <c r="M373" s="525"/>
    </row>
    <row r="374" spans="1:13" x14ac:dyDescent="0.25">
      <c r="A374" s="523"/>
      <c r="B374" s="574">
        <v>42234</v>
      </c>
      <c r="C374" s="523">
        <v>100</v>
      </c>
      <c r="D374" s="524">
        <v>18</v>
      </c>
      <c r="E374" s="525">
        <v>0</v>
      </c>
      <c r="F374" s="525">
        <f t="shared" si="102"/>
        <v>1800</v>
      </c>
      <c r="G374" s="522">
        <v>42347</v>
      </c>
      <c r="H374" s="541">
        <v>500</v>
      </c>
      <c r="I374" s="524">
        <v>16.149999999999999</v>
      </c>
      <c r="J374" s="525">
        <v>0.15</v>
      </c>
      <c r="K374" s="525">
        <f t="shared" si="103"/>
        <v>8074.8499999999995</v>
      </c>
      <c r="L374" s="523"/>
      <c r="M374" s="525"/>
    </row>
    <row r="375" spans="1:13" x14ac:dyDescent="0.25">
      <c r="A375" s="523"/>
      <c r="B375" s="574">
        <v>42235</v>
      </c>
      <c r="C375" s="523">
        <v>100</v>
      </c>
      <c r="D375" s="524">
        <v>17.78</v>
      </c>
      <c r="E375" s="525">
        <v>0</v>
      </c>
      <c r="F375" s="525">
        <f t="shared" si="102"/>
        <v>1778</v>
      </c>
      <c r="G375" s="522">
        <v>42353</v>
      </c>
      <c r="H375" s="541">
        <v>600</v>
      </c>
      <c r="I375" s="524">
        <v>14.95</v>
      </c>
      <c r="J375" s="525">
        <v>0.17</v>
      </c>
      <c r="K375" s="525">
        <f t="shared" si="103"/>
        <v>8969.83</v>
      </c>
      <c r="L375" s="523"/>
      <c r="M375" s="525"/>
    </row>
    <row r="376" spans="1:13" x14ac:dyDescent="0.25">
      <c r="A376" s="523"/>
      <c r="B376" s="574">
        <v>42235</v>
      </c>
      <c r="C376" s="523">
        <v>100</v>
      </c>
      <c r="D376" s="524">
        <v>17.68</v>
      </c>
      <c r="E376" s="525">
        <v>0</v>
      </c>
      <c r="F376" s="525">
        <f t="shared" si="102"/>
        <v>1768</v>
      </c>
      <c r="G376" s="522">
        <v>42354</v>
      </c>
      <c r="H376" s="541">
        <v>500</v>
      </c>
      <c r="I376" s="524">
        <v>14.32</v>
      </c>
      <c r="J376" s="525">
        <v>0.13</v>
      </c>
      <c r="K376" s="525">
        <f t="shared" si="103"/>
        <v>7159.87</v>
      </c>
      <c r="L376" s="523"/>
      <c r="M376" s="525"/>
    </row>
    <row r="377" spans="1:13" x14ac:dyDescent="0.25">
      <c r="A377" s="523"/>
      <c r="B377" s="574">
        <v>42240</v>
      </c>
      <c r="C377" s="523">
        <v>100</v>
      </c>
      <c r="D377" s="524">
        <v>16.649999999999999</v>
      </c>
      <c r="E377" s="525">
        <v>0</v>
      </c>
      <c r="F377" s="525">
        <f t="shared" si="102"/>
        <v>1664.9999999999998</v>
      </c>
      <c r="G377" s="522">
        <v>42361</v>
      </c>
      <c r="H377" s="541">
        <v>500</v>
      </c>
      <c r="I377" s="524">
        <v>12.83</v>
      </c>
      <c r="J377" s="525">
        <v>0.12</v>
      </c>
      <c r="K377" s="525">
        <f t="shared" si="103"/>
        <v>6414.88</v>
      </c>
      <c r="L377" s="523"/>
      <c r="M377" s="525"/>
    </row>
    <row r="378" spans="1:13" x14ac:dyDescent="0.25">
      <c r="A378" s="523"/>
      <c r="B378" s="574">
        <v>42240</v>
      </c>
      <c r="C378" s="523">
        <v>100</v>
      </c>
      <c r="D378" s="524">
        <v>16.100000000000001</v>
      </c>
      <c r="E378" s="525">
        <v>0</v>
      </c>
      <c r="F378" s="525">
        <f t="shared" si="102"/>
        <v>1610.0000000000002</v>
      </c>
      <c r="G378" s="522">
        <v>42362</v>
      </c>
      <c r="H378" s="541">
        <v>1222</v>
      </c>
      <c r="I378" s="524">
        <v>12.75</v>
      </c>
      <c r="J378" s="525">
        <v>0.28999999999999998</v>
      </c>
      <c r="K378" s="525">
        <f t="shared" si="103"/>
        <v>15580.21</v>
      </c>
      <c r="L378" s="523"/>
      <c r="M378" s="525"/>
    </row>
    <row r="379" spans="1:13" x14ac:dyDescent="0.25">
      <c r="A379" s="523"/>
      <c r="B379" s="574">
        <v>42257</v>
      </c>
      <c r="C379" s="523">
        <v>1500</v>
      </c>
      <c r="D379" s="524">
        <v>16.350000000000001</v>
      </c>
      <c r="E379" s="525">
        <v>0</v>
      </c>
      <c r="F379" s="525">
        <f t="shared" si="102"/>
        <v>24525.000000000004</v>
      </c>
      <c r="G379" s="522">
        <v>42367</v>
      </c>
      <c r="H379" s="541">
        <v>1000</v>
      </c>
      <c r="I379" s="524">
        <v>13.15</v>
      </c>
      <c r="J379" s="525">
        <v>0.24</v>
      </c>
      <c r="K379" s="525">
        <f t="shared" si="103"/>
        <v>13149.76</v>
      </c>
      <c r="L379" s="523"/>
      <c r="M379" s="525"/>
    </row>
    <row r="380" spans="1:13" x14ac:dyDescent="0.25">
      <c r="A380" s="523"/>
      <c r="B380" s="574">
        <v>42258</v>
      </c>
      <c r="C380" s="523">
        <v>100</v>
      </c>
      <c r="D380" s="524">
        <v>16.100000000000001</v>
      </c>
      <c r="E380" s="525">
        <v>0</v>
      </c>
      <c r="F380" s="525">
        <f t="shared" si="102"/>
        <v>1610.0000000000002</v>
      </c>
      <c r="G380" s="522">
        <v>42367</v>
      </c>
      <c r="H380" s="541">
        <v>2178</v>
      </c>
      <c r="I380" s="524">
        <v>13.75</v>
      </c>
      <c r="J380" s="525">
        <v>0.55000000000000004</v>
      </c>
      <c r="K380" s="525">
        <f>H380*I380-J380</f>
        <v>29946.95</v>
      </c>
      <c r="L380" s="523"/>
      <c r="M380" s="525"/>
    </row>
    <row r="381" spans="1:13" x14ac:dyDescent="0.25">
      <c r="A381" s="523"/>
      <c r="B381" s="574">
        <v>42261</v>
      </c>
      <c r="C381" s="523">
        <v>1000</v>
      </c>
      <c r="D381" s="524">
        <v>15.416</v>
      </c>
      <c r="E381" s="525">
        <v>0</v>
      </c>
      <c r="F381" s="525">
        <f t="shared" si="102"/>
        <v>15416</v>
      </c>
      <c r="G381" s="522">
        <v>42010</v>
      </c>
      <c r="H381" s="541">
        <v>1000</v>
      </c>
      <c r="I381" s="524">
        <v>12.63</v>
      </c>
      <c r="J381" s="525">
        <v>0.23</v>
      </c>
      <c r="K381" s="525">
        <f>H381*I381-J381</f>
        <v>12629.77</v>
      </c>
      <c r="L381" s="523"/>
      <c r="M381" s="525"/>
    </row>
    <row r="382" spans="1:13" x14ac:dyDescent="0.25">
      <c r="A382" s="523"/>
      <c r="B382" s="574">
        <v>42261</v>
      </c>
      <c r="C382" s="523">
        <v>1000</v>
      </c>
      <c r="D382" s="524">
        <v>15.1</v>
      </c>
      <c r="E382" s="525">
        <v>0</v>
      </c>
      <c r="F382" s="525">
        <f t="shared" si="102"/>
        <v>15100</v>
      </c>
      <c r="G382" s="623">
        <v>42374</v>
      </c>
      <c r="H382" s="541">
        <v>2000</v>
      </c>
      <c r="I382" s="524">
        <v>12.81</v>
      </c>
      <c r="J382" s="525">
        <v>0.47</v>
      </c>
      <c r="K382" s="525">
        <f t="shared" ref="K382:K394" si="104">H382*I382-J382</f>
        <v>25619.53</v>
      </c>
      <c r="L382" s="523"/>
      <c r="M382" s="525"/>
    </row>
    <row r="383" spans="1:13" x14ac:dyDescent="0.25">
      <c r="A383" s="523"/>
      <c r="B383" s="574">
        <v>42261</v>
      </c>
      <c r="C383" s="523">
        <v>200</v>
      </c>
      <c r="D383" s="524">
        <v>14.87</v>
      </c>
      <c r="E383" s="525">
        <v>0</v>
      </c>
      <c r="F383" s="525">
        <f t="shared" si="102"/>
        <v>2974</v>
      </c>
      <c r="G383" s="522">
        <v>42374</v>
      </c>
      <c r="H383" s="541">
        <v>1000</v>
      </c>
      <c r="I383" s="524">
        <v>12.82</v>
      </c>
      <c r="J383" s="525">
        <v>0.24</v>
      </c>
      <c r="K383" s="525">
        <f t="shared" si="104"/>
        <v>12819.76</v>
      </c>
      <c r="L383" s="523"/>
      <c r="M383" s="525"/>
    </row>
    <row r="384" spans="1:13" x14ac:dyDescent="0.25">
      <c r="A384" s="523"/>
      <c r="B384" s="574">
        <v>42261</v>
      </c>
      <c r="C384" s="523">
        <v>300</v>
      </c>
      <c r="D384" s="524">
        <v>14.87</v>
      </c>
      <c r="E384" s="525">
        <v>0</v>
      </c>
      <c r="F384" s="525">
        <f t="shared" si="102"/>
        <v>4461</v>
      </c>
      <c r="G384" s="522">
        <v>42398</v>
      </c>
      <c r="H384" s="541">
        <v>400</v>
      </c>
      <c r="I384" s="524">
        <v>9.5500000000000007</v>
      </c>
      <c r="J384" s="525">
        <v>7.0000000000000007E-2</v>
      </c>
      <c r="K384" s="525">
        <f t="shared" si="104"/>
        <v>3819.9300000000003</v>
      </c>
      <c r="L384" s="523"/>
      <c r="M384" s="525"/>
    </row>
    <row r="385" spans="1:13" x14ac:dyDescent="0.25">
      <c r="A385" s="523"/>
      <c r="B385" s="574">
        <v>42270</v>
      </c>
      <c r="C385" s="523">
        <v>478</v>
      </c>
      <c r="D385" s="524">
        <v>15.85</v>
      </c>
      <c r="E385" s="525">
        <v>0</v>
      </c>
      <c r="F385" s="525">
        <f t="shared" si="102"/>
        <v>7576.3</v>
      </c>
      <c r="G385" s="522">
        <v>42411</v>
      </c>
      <c r="H385" s="541">
        <v>500</v>
      </c>
      <c r="I385" s="524">
        <v>6.97</v>
      </c>
      <c r="J385" s="525">
        <v>0.08</v>
      </c>
      <c r="K385" s="525">
        <f t="shared" si="104"/>
        <v>3484.92</v>
      </c>
      <c r="L385" s="523"/>
      <c r="M385" s="525"/>
    </row>
    <row r="386" spans="1:13" x14ac:dyDescent="0.25">
      <c r="A386" s="523"/>
      <c r="B386" s="574">
        <v>42292</v>
      </c>
      <c r="C386" s="523">
        <v>500</v>
      </c>
      <c r="D386" s="524">
        <v>18.55</v>
      </c>
      <c r="E386" s="525">
        <v>0</v>
      </c>
      <c r="F386" s="525">
        <f t="shared" si="102"/>
        <v>9275</v>
      </c>
      <c r="G386" s="522">
        <v>42412</v>
      </c>
      <c r="H386" s="541">
        <v>200</v>
      </c>
      <c r="I386" s="524">
        <v>7.45</v>
      </c>
      <c r="J386" s="525">
        <v>0.03</v>
      </c>
      <c r="K386" s="525">
        <f t="shared" si="104"/>
        <v>1489.97</v>
      </c>
      <c r="L386" s="523"/>
      <c r="M386" s="525"/>
    </row>
    <row r="387" spans="1:13" x14ac:dyDescent="0.25">
      <c r="A387" s="523"/>
      <c r="B387" s="574">
        <v>42299</v>
      </c>
      <c r="C387" s="523">
        <v>500</v>
      </c>
      <c r="D387" s="524">
        <v>18.55</v>
      </c>
      <c r="E387" s="525">
        <v>0</v>
      </c>
      <c r="F387" s="525">
        <f t="shared" si="102"/>
        <v>9275</v>
      </c>
      <c r="G387" s="522">
        <v>42416</v>
      </c>
      <c r="H387" s="541">
        <v>500</v>
      </c>
      <c r="I387" s="524">
        <v>7.75</v>
      </c>
      <c r="J387" s="525">
        <v>0.08</v>
      </c>
      <c r="K387" s="525">
        <f t="shared" si="104"/>
        <v>3874.92</v>
      </c>
      <c r="L387" s="523"/>
      <c r="M387" s="525"/>
    </row>
    <row r="388" spans="1:13" x14ac:dyDescent="0.25">
      <c r="A388" s="523"/>
      <c r="B388" s="574">
        <v>42299</v>
      </c>
      <c r="C388" s="523">
        <v>500</v>
      </c>
      <c r="D388" s="524">
        <v>18.28</v>
      </c>
      <c r="E388" s="525">
        <v>0</v>
      </c>
      <c r="F388" s="525">
        <f t="shared" si="102"/>
        <v>9140</v>
      </c>
      <c r="G388" s="522">
        <v>42422</v>
      </c>
      <c r="H388" s="541">
        <v>2500</v>
      </c>
      <c r="I388" s="524">
        <v>7.47</v>
      </c>
      <c r="J388" s="525">
        <v>0.41</v>
      </c>
      <c r="K388" s="525">
        <f t="shared" si="104"/>
        <v>18674.59</v>
      </c>
      <c r="L388" s="523"/>
      <c r="M388" s="525"/>
    </row>
    <row r="389" spans="1:13" x14ac:dyDescent="0.25">
      <c r="A389" s="523"/>
      <c r="B389" s="574">
        <v>42299</v>
      </c>
      <c r="C389" s="523">
        <v>1000</v>
      </c>
      <c r="D389" s="524">
        <v>18.100000000000001</v>
      </c>
      <c r="E389" s="525">
        <v>0</v>
      </c>
      <c r="F389" s="525">
        <f t="shared" si="102"/>
        <v>18100</v>
      </c>
      <c r="G389" s="522">
        <v>42422</v>
      </c>
      <c r="H389" s="541">
        <v>1000</v>
      </c>
      <c r="I389" s="524">
        <v>7.49</v>
      </c>
      <c r="J389" s="525">
        <v>0.16</v>
      </c>
      <c r="K389" s="525">
        <f t="shared" si="104"/>
        <v>7489.84</v>
      </c>
      <c r="L389" s="523"/>
      <c r="M389" s="525"/>
    </row>
    <row r="390" spans="1:13" ht="15" customHeight="1" x14ac:dyDescent="0.25">
      <c r="A390" s="523"/>
      <c r="B390" s="638">
        <v>42306</v>
      </c>
      <c r="C390" s="523">
        <v>660</v>
      </c>
      <c r="D390" s="524">
        <v>17.8</v>
      </c>
      <c r="E390" s="525">
        <v>0</v>
      </c>
      <c r="F390" s="525">
        <f t="shared" si="102"/>
        <v>11748</v>
      </c>
      <c r="G390" s="522">
        <v>42426</v>
      </c>
      <c r="H390" s="541">
        <v>900</v>
      </c>
      <c r="I390" s="524">
        <v>7.7</v>
      </c>
      <c r="J390" s="525">
        <v>0.15</v>
      </c>
      <c r="K390" s="525">
        <f t="shared" si="104"/>
        <v>6929.85</v>
      </c>
      <c r="L390" s="523"/>
      <c r="M390" s="525"/>
    </row>
    <row r="391" spans="1:13" ht="30" x14ac:dyDescent="0.25">
      <c r="A391" s="523"/>
      <c r="B391" s="638"/>
      <c r="C391" s="523">
        <v>340</v>
      </c>
      <c r="D391" s="524">
        <v>17.8</v>
      </c>
      <c r="E391" s="525">
        <v>0</v>
      </c>
      <c r="F391" s="525">
        <f t="shared" si="102"/>
        <v>6052</v>
      </c>
      <c r="G391" s="641" t="s">
        <v>183</v>
      </c>
      <c r="H391" s="541">
        <v>500</v>
      </c>
      <c r="I391" s="524">
        <v>7.73</v>
      </c>
      <c r="J391" s="525">
        <v>0.08</v>
      </c>
      <c r="K391" s="525">
        <f t="shared" si="104"/>
        <v>3864.92</v>
      </c>
      <c r="L391" s="523"/>
      <c r="M391" s="525"/>
    </row>
    <row r="392" spans="1:13" x14ac:dyDescent="0.25">
      <c r="A392" s="523"/>
      <c r="B392" s="574">
        <v>42312</v>
      </c>
      <c r="C392" s="624">
        <v>500</v>
      </c>
      <c r="D392" s="621">
        <v>17.559999999999999</v>
      </c>
      <c r="E392" s="622">
        <v>6.95</v>
      </c>
      <c r="F392" s="622">
        <f t="shared" si="102"/>
        <v>8786.9500000000007</v>
      </c>
      <c r="G392" s="641"/>
      <c r="H392" s="541">
        <v>500</v>
      </c>
      <c r="I392" s="524">
        <v>7.96</v>
      </c>
      <c r="J392" s="525">
        <v>0.09</v>
      </c>
      <c r="K392" s="525">
        <f t="shared" si="104"/>
        <v>3979.91</v>
      </c>
      <c r="L392" s="523"/>
      <c r="M392" s="525"/>
    </row>
    <row r="393" spans="1:13" x14ac:dyDescent="0.25">
      <c r="A393" s="523"/>
      <c r="B393" s="574">
        <v>42313</v>
      </c>
      <c r="C393" s="523">
        <v>3000</v>
      </c>
      <c r="D393" s="524">
        <v>19.05</v>
      </c>
      <c r="E393" s="525">
        <v>0</v>
      </c>
      <c r="F393" s="525">
        <f t="shared" si="102"/>
        <v>57150</v>
      </c>
      <c r="G393" s="641"/>
      <c r="H393" s="541">
        <v>500</v>
      </c>
      <c r="I393" s="524">
        <v>8.0299999999999994</v>
      </c>
      <c r="J393" s="525">
        <v>0.09</v>
      </c>
      <c r="K393" s="525">
        <f t="shared" si="104"/>
        <v>4014.9099999999994</v>
      </c>
      <c r="L393" s="523"/>
      <c r="M393" s="524"/>
    </row>
    <row r="394" spans="1:13" x14ac:dyDescent="0.25">
      <c r="A394" s="523"/>
      <c r="B394" s="574">
        <v>42320</v>
      </c>
      <c r="C394" s="523">
        <v>500</v>
      </c>
      <c r="D394" s="524">
        <v>18.079999999999998</v>
      </c>
      <c r="E394" s="525">
        <v>0</v>
      </c>
      <c r="F394" s="525">
        <f t="shared" si="102"/>
        <v>9040</v>
      </c>
      <c r="G394" s="641"/>
      <c r="H394" s="541">
        <v>1500</v>
      </c>
      <c r="I394" s="524">
        <v>8.1</v>
      </c>
      <c r="J394" s="525">
        <v>0.26</v>
      </c>
      <c r="K394" s="525">
        <f t="shared" si="104"/>
        <v>12149.74</v>
      </c>
      <c r="L394" s="523"/>
      <c r="M394" s="525"/>
    </row>
    <row r="395" spans="1:13" x14ac:dyDescent="0.25">
      <c r="A395" s="523"/>
      <c r="B395" s="574">
        <v>42320</v>
      </c>
      <c r="C395" s="523">
        <v>1000</v>
      </c>
      <c r="D395" s="524">
        <v>18.05</v>
      </c>
      <c r="E395" s="525">
        <v>0</v>
      </c>
      <c r="F395" s="525">
        <f t="shared" si="102"/>
        <v>18050</v>
      </c>
      <c r="G395" s="522">
        <v>42429</v>
      </c>
      <c r="H395" s="541">
        <v>1000</v>
      </c>
      <c r="I395" s="524">
        <v>8.5399999999999991</v>
      </c>
      <c r="J395" s="525">
        <v>0.19</v>
      </c>
      <c r="K395" s="525">
        <f>H395*I395-J395</f>
        <v>8539.81</v>
      </c>
      <c r="L395" s="523"/>
      <c r="M395" s="625"/>
    </row>
    <row r="396" spans="1:13" x14ac:dyDescent="0.25">
      <c r="A396" s="523"/>
      <c r="B396" s="574">
        <v>42320</v>
      </c>
      <c r="C396" s="523">
        <v>1000</v>
      </c>
      <c r="D396" s="524">
        <v>17.82</v>
      </c>
      <c r="E396" s="525">
        <v>0</v>
      </c>
      <c r="F396" s="525">
        <f t="shared" si="102"/>
        <v>17820</v>
      </c>
      <c r="G396" s="522">
        <v>42429</v>
      </c>
      <c r="H396" s="541">
        <v>500</v>
      </c>
      <c r="I396" s="524">
        <v>7.95</v>
      </c>
      <c r="J396" s="525">
        <v>0.09</v>
      </c>
      <c r="K396" s="525">
        <f>H396*I396-J396</f>
        <v>3974.91</v>
      </c>
      <c r="L396" s="523"/>
      <c r="M396" s="525"/>
    </row>
    <row r="397" spans="1:13" ht="15" customHeight="1" x14ac:dyDescent="0.25">
      <c r="A397" s="523"/>
      <c r="B397" s="574">
        <v>42328</v>
      </c>
      <c r="C397" s="523">
        <v>3078</v>
      </c>
      <c r="D397" s="524">
        <v>17.47</v>
      </c>
      <c r="E397" s="525">
        <v>0</v>
      </c>
      <c r="F397" s="525">
        <f t="shared" si="102"/>
        <v>53772.659999999996</v>
      </c>
      <c r="G397" s="522">
        <v>42429</v>
      </c>
      <c r="H397" s="541">
        <v>500</v>
      </c>
      <c r="I397" s="524">
        <v>7.97</v>
      </c>
      <c r="J397" s="525">
        <v>0.09</v>
      </c>
      <c r="K397" s="525">
        <f t="shared" ref="K397:K456" si="105">H397*I397-J397</f>
        <v>3984.91</v>
      </c>
      <c r="L397" s="523"/>
      <c r="M397" s="525"/>
    </row>
    <row r="398" spans="1:13" x14ac:dyDescent="0.25">
      <c r="A398" s="523"/>
      <c r="B398" s="574">
        <v>42340</v>
      </c>
      <c r="C398" s="523">
        <v>3078</v>
      </c>
      <c r="D398" s="524">
        <v>17.739999999999998</v>
      </c>
      <c r="E398" s="525">
        <v>0</v>
      </c>
      <c r="F398" s="525">
        <f t="shared" si="102"/>
        <v>54603.719999999994</v>
      </c>
      <c r="G398" s="522">
        <v>42430</v>
      </c>
      <c r="H398" s="541">
        <v>500</v>
      </c>
      <c r="I398" s="524">
        <v>7.85</v>
      </c>
      <c r="J398" s="525">
        <v>0.09</v>
      </c>
      <c r="K398" s="525">
        <f t="shared" si="105"/>
        <v>3924.91</v>
      </c>
      <c r="L398" s="523"/>
      <c r="M398" s="525"/>
    </row>
    <row r="399" spans="1:13" x14ac:dyDescent="0.25">
      <c r="A399" s="523"/>
      <c r="B399" s="574">
        <v>42340</v>
      </c>
      <c r="C399" s="523">
        <v>500</v>
      </c>
      <c r="D399" s="524">
        <v>17.5</v>
      </c>
      <c r="E399" s="525">
        <v>0</v>
      </c>
      <c r="F399" s="525">
        <f t="shared" si="102"/>
        <v>8750</v>
      </c>
      <c r="G399" s="522">
        <v>42430</v>
      </c>
      <c r="H399" s="541">
        <v>500</v>
      </c>
      <c r="I399" s="524">
        <v>8.0299999999999994</v>
      </c>
      <c r="J399" s="525">
        <v>0.09</v>
      </c>
      <c r="K399" s="525">
        <f t="shared" si="105"/>
        <v>4014.9099999999994</v>
      </c>
      <c r="L399" s="525"/>
      <c r="M399" s="525"/>
    </row>
    <row r="400" spans="1:13" x14ac:dyDescent="0.25">
      <c r="A400" s="523"/>
      <c r="B400" s="574">
        <v>42345</v>
      </c>
      <c r="C400" s="523">
        <v>100</v>
      </c>
      <c r="D400" s="524">
        <v>16.7</v>
      </c>
      <c r="E400" s="525">
        <v>0</v>
      </c>
      <c r="F400" s="525">
        <f t="shared" si="102"/>
        <v>1670</v>
      </c>
      <c r="G400" s="522">
        <v>42431</v>
      </c>
      <c r="H400" s="541">
        <v>500</v>
      </c>
      <c r="I400" s="524">
        <v>8.3800000000000008</v>
      </c>
      <c r="J400" s="525">
        <v>0.09</v>
      </c>
      <c r="K400" s="525">
        <f t="shared" si="105"/>
        <v>4189.91</v>
      </c>
      <c r="L400" s="525"/>
      <c r="M400" s="525"/>
    </row>
    <row r="401" spans="1:13" x14ac:dyDescent="0.25">
      <c r="A401" s="523"/>
      <c r="B401" s="574">
        <v>42345</v>
      </c>
      <c r="C401" s="523">
        <v>500</v>
      </c>
      <c r="D401" s="524">
        <v>16.850000000000001</v>
      </c>
      <c r="E401" s="525">
        <v>0</v>
      </c>
      <c r="F401" s="525">
        <f t="shared" si="102"/>
        <v>8425</v>
      </c>
      <c r="G401" s="522">
        <v>42431</v>
      </c>
      <c r="H401" s="541">
        <v>500</v>
      </c>
      <c r="I401" s="524">
        <v>8.58</v>
      </c>
      <c r="J401" s="525">
        <v>0.09</v>
      </c>
      <c r="K401" s="525">
        <f t="shared" si="105"/>
        <v>4289.91</v>
      </c>
      <c r="L401" s="523"/>
      <c r="M401" s="525"/>
    </row>
    <row r="402" spans="1:13" ht="30" x14ac:dyDescent="0.25">
      <c r="A402" s="523"/>
      <c r="B402" s="574">
        <v>42347</v>
      </c>
      <c r="C402" s="523">
        <v>500</v>
      </c>
      <c r="D402" s="524">
        <v>15.84</v>
      </c>
      <c r="E402" s="525">
        <v>0</v>
      </c>
      <c r="F402" s="525">
        <f t="shared" si="102"/>
        <v>7920</v>
      </c>
      <c r="G402" s="640" t="s">
        <v>185</v>
      </c>
      <c r="H402" s="541">
        <v>400</v>
      </c>
      <c r="I402" s="524">
        <v>9.09</v>
      </c>
      <c r="J402" s="525">
        <v>0.1</v>
      </c>
      <c r="K402" s="525">
        <f t="shared" si="105"/>
        <v>3635.9</v>
      </c>
      <c r="L402" s="523"/>
      <c r="M402" s="525"/>
    </row>
    <row r="403" spans="1:13" x14ac:dyDescent="0.25">
      <c r="A403" s="523"/>
      <c r="B403" s="574">
        <v>42348</v>
      </c>
      <c r="C403" s="523">
        <v>500</v>
      </c>
      <c r="D403" s="524">
        <v>14.78</v>
      </c>
      <c r="E403" s="525">
        <v>0</v>
      </c>
      <c r="F403" s="525">
        <f t="shared" si="102"/>
        <v>7390</v>
      </c>
      <c r="G403" s="640"/>
      <c r="H403" s="541">
        <v>100</v>
      </c>
      <c r="I403" s="524">
        <v>9.09</v>
      </c>
      <c r="J403" s="525">
        <v>0</v>
      </c>
      <c r="K403" s="525">
        <f t="shared" si="105"/>
        <v>909</v>
      </c>
      <c r="L403" s="523"/>
      <c r="M403" s="525"/>
    </row>
    <row r="404" spans="1:13" x14ac:dyDescent="0.25">
      <c r="A404" s="523"/>
      <c r="B404" s="574">
        <v>42352</v>
      </c>
      <c r="C404" s="523">
        <v>100</v>
      </c>
      <c r="D404" s="524">
        <v>14.57</v>
      </c>
      <c r="E404" s="525">
        <v>0</v>
      </c>
      <c r="F404" s="525">
        <f t="shared" si="102"/>
        <v>1457</v>
      </c>
      <c r="G404" s="640"/>
      <c r="H404" s="541">
        <v>500</v>
      </c>
      <c r="I404" s="524">
        <v>8.81</v>
      </c>
      <c r="J404" s="525">
        <v>0.1</v>
      </c>
      <c r="K404" s="525">
        <f t="shared" si="105"/>
        <v>4404.8999999999996</v>
      </c>
      <c r="L404" s="523"/>
      <c r="M404" s="525"/>
    </row>
    <row r="405" spans="1:13" x14ac:dyDescent="0.25">
      <c r="A405" s="523"/>
      <c r="B405" s="574">
        <v>42355</v>
      </c>
      <c r="C405" s="523">
        <v>500</v>
      </c>
      <c r="D405" s="524">
        <v>13.89</v>
      </c>
      <c r="E405" s="525">
        <v>0</v>
      </c>
      <c r="F405" s="525">
        <f t="shared" si="102"/>
        <v>6945</v>
      </c>
      <c r="G405" s="522">
        <v>42432</v>
      </c>
      <c r="H405" s="541">
        <v>600</v>
      </c>
      <c r="I405" s="524">
        <v>9.65</v>
      </c>
      <c r="J405" s="525">
        <v>0.13</v>
      </c>
      <c r="K405" s="525">
        <f t="shared" si="105"/>
        <v>5789.87</v>
      </c>
      <c r="L405" s="523"/>
      <c r="M405" s="525"/>
    </row>
    <row r="406" spans="1:13" x14ac:dyDescent="0.25">
      <c r="A406" s="523"/>
      <c r="B406" s="574">
        <v>42360</v>
      </c>
      <c r="C406" s="523">
        <v>500</v>
      </c>
      <c r="D406" s="524">
        <v>12.95</v>
      </c>
      <c r="E406" s="525">
        <v>0</v>
      </c>
      <c r="F406" s="525">
        <f t="shared" si="102"/>
        <v>6475</v>
      </c>
      <c r="G406" s="522">
        <v>42433</v>
      </c>
      <c r="H406" s="541">
        <v>600</v>
      </c>
      <c r="I406" s="524">
        <v>10.45</v>
      </c>
      <c r="J406" s="525">
        <v>0.14000000000000001</v>
      </c>
      <c r="K406" s="525">
        <f t="shared" si="105"/>
        <v>6269.86</v>
      </c>
      <c r="L406" s="523"/>
      <c r="M406" s="525"/>
    </row>
    <row r="407" spans="1:13" ht="15" customHeight="1" x14ac:dyDescent="0.25">
      <c r="A407" s="523"/>
      <c r="B407" s="574">
        <v>42361</v>
      </c>
      <c r="C407" s="523">
        <v>500</v>
      </c>
      <c r="D407" s="524">
        <v>12.75</v>
      </c>
      <c r="E407" s="525">
        <v>0</v>
      </c>
      <c r="F407" s="525">
        <f t="shared" si="102"/>
        <v>6375</v>
      </c>
      <c r="G407" s="522">
        <v>42440</v>
      </c>
      <c r="H407" s="541">
        <v>400</v>
      </c>
      <c r="I407" s="524">
        <v>11.25</v>
      </c>
      <c r="J407" s="525">
        <v>0.1</v>
      </c>
      <c r="K407" s="525">
        <f t="shared" si="105"/>
        <v>4499.8999999999996</v>
      </c>
      <c r="L407" s="523"/>
      <c r="M407" s="525"/>
    </row>
    <row r="408" spans="1:13" x14ac:dyDescent="0.25">
      <c r="A408" s="523"/>
      <c r="B408" s="574">
        <v>42361</v>
      </c>
      <c r="C408" s="523">
        <v>500</v>
      </c>
      <c r="D408" s="524">
        <v>12.8</v>
      </c>
      <c r="E408" s="525">
        <v>0</v>
      </c>
      <c r="F408" s="525">
        <f t="shared" si="102"/>
        <v>6400</v>
      </c>
      <c r="G408" s="522">
        <v>42446</v>
      </c>
      <c r="H408" s="541">
        <v>1500</v>
      </c>
      <c r="I408" s="524">
        <v>11.49</v>
      </c>
      <c r="J408" s="525">
        <v>0.38</v>
      </c>
      <c r="K408" s="525">
        <f t="shared" si="105"/>
        <v>17234.62</v>
      </c>
      <c r="L408" s="523"/>
      <c r="M408" s="525"/>
    </row>
    <row r="409" spans="1:13" x14ac:dyDescent="0.25">
      <c r="A409" s="523"/>
      <c r="B409" s="574">
        <v>42361</v>
      </c>
      <c r="C409" s="523">
        <v>1000</v>
      </c>
      <c r="D409" s="524">
        <v>12.67</v>
      </c>
      <c r="E409" s="525">
        <v>0</v>
      </c>
      <c r="F409" s="525">
        <f t="shared" si="102"/>
        <v>12670</v>
      </c>
      <c r="G409" s="522">
        <v>42447</v>
      </c>
      <c r="H409" s="541">
        <v>1500</v>
      </c>
      <c r="I409" s="524">
        <v>11.44</v>
      </c>
      <c r="J409" s="525">
        <v>0.37</v>
      </c>
      <c r="K409" s="525">
        <f t="shared" si="105"/>
        <v>17159.63</v>
      </c>
      <c r="L409" s="523"/>
      <c r="M409" s="525"/>
    </row>
    <row r="410" spans="1:13" x14ac:dyDescent="0.25">
      <c r="A410" s="523"/>
      <c r="B410" s="574">
        <v>42361</v>
      </c>
      <c r="C410" s="523">
        <v>222</v>
      </c>
      <c r="D410" s="524">
        <v>12.44</v>
      </c>
      <c r="E410" s="525">
        <v>0</v>
      </c>
      <c r="F410" s="525">
        <f t="shared" si="102"/>
        <v>2761.68</v>
      </c>
      <c r="G410" s="522">
        <v>42447</v>
      </c>
      <c r="H410" s="541">
        <v>500</v>
      </c>
      <c r="I410" s="524">
        <v>11.484999999999999</v>
      </c>
      <c r="J410" s="525">
        <v>0.13</v>
      </c>
      <c r="K410" s="525">
        <f t="shared" si="105"/>
        <v>5742.37</v>
      </c>
      <c r="L410" s="523"/>
      <c r="M410" s="525"/>
    </row>
    <row r="411" spans="1:13" x14ac:dyDescent="0.25">
      <c r="A411" s="523"/>
      <c r="B411" s="574">
        <v>42367</v>
      </c>
      <c r="C411" s="523">
        <v>2178</v>
      </c>
      <c r="D411" s="524">
        <v>13.68</v>
      </c>
      <c r="E411" s="525">
        <v>0</v>
      </c>
      <c r="F411" s="525">
        <f t="shared" si="102"/>
        <v>29795.040000000001</v>
      </c>
      <c r="G411" s="639">
        <v>42447</v>
      </c>
      <c r="H411" s="541">
        <v>650</v>
      </c>
      <c r="I411" s="524">
        <v>11.56</v>
      </c>
      <c r="J411" s="525">
        <v>0.25</v>
      </c>
      <c r="K411" s="525">
        <f t="shared" si="105"/>
        <v>7513.75</v>
      </c>
      <c r="L411" s="523"/>
      <c r="M411" s="525"/>
    </row>
    <row r="412" spans="1:13" x14ac:dyDescent="0.25">
      <c r="A412" s="523"/>
      <c r="B412" s="574">
        <v>42369</v>
      </c>
      <c r="C412" s="523">
        <v>2500</v>
      </c>
      <c r="D412" s="524">
        <v>13.04</v>
      </c>
      <c r="E412" s="525">
        <v>0</v>
      </c>
      <c r="F412" s="525">
        <f t="shared" si="102"/>
        <v>32599.999999999996</v>
      </c>
      <c r="G412" s="639"/>
      <c r="H412" s="541">
        <v>350</v>
      </c>
      <c r="I412" s="524">
        <v>11.56</v>
      </c>
      <c r="J412" s="525">
        <v>0</v>
      </c>
      <c r="K412" s="525">
        <f t="shared" si="105"/>
        <v>4046</v>
      </c>
      <c r="L412" s="523"/>
      <c r="M412" s="525"/>
    </row>
    <row r="413" spans="1:13" x14ac:dyDescent="0.25">
      <c r="A413" s="523"/>
      <c r="B413" s="574">
        <v>42008</v>
      </c>
      <c r="C413" s="523">
        <v>2000</v>
      </c>
      <c r="D413" s="524">
        <v>13.01</v>
      </c>
      <c r="E413" s="525">
        <v>0</v>
      </c>
      <c r="F413" s="525">
        <f t="shared" si="102"/>
        <v>26020</v>
      </c>
      <c r="G413" s="522">
        <v>42447</v>
      </c>
      <c r="H413" s="541">
        <v>1000</v>
      </c>
      <c r="I413" s="524">
        <v>11.62</v>
      </c>
      <c r="J413" s="525">
        <v>0.25</v>
      </c>
      <c r="K413" s="525">
        <f t="shared" si="105"/>
        <v>11619.75</v>
      </c>
      <c r="L413" s="523"/>
      <c r="M413" s="525"/>
    </row>
    <row r="414" spans="1:13" ht="15" customHeight="1" x14ac:dyDescent="0.25">
      <c r="A414" s="523"/>
      <c r="B414" s="574">
        <v>42009</v>
      </c>
      <c r="C414" s="523">
        <v>500</v>
      </c>
      <c r="D414" s="524">
        <v>12.62</v>
      </c>
      <c r="E414" s="525">
        <v>0</v>
      </c>
      <c r="F414" s="525">
        <f t="shared" si="102"/>
        <v>6310</v>
      </c>
      <c r="G414" s="522">
        <v>42451</v>
      </c>
      <c r="H414" s="541">
        <v>1000</v>
      </c>
      <c r="I414" s="524">
        <v>11.45</v>
      </c>
      <c r="J414" s="525">
        <v>0.25</v>
      </c>
      <c r="K414" s="525">
        <f t="shared" si="105"/>
        <v>11449.75</v>
      </c>
      <c r="L414" s="523"/>
      <c r="M414" s="525"/>
    </row>
    <row r="415" spans="1:13" x14ac:dyDescent="0.25">
      <c r="A415" s="523"/>
      <c r="B415" s="574">
        <v>42009</v>
      </c>
      <c r="C415" s="523">
        <v>500</v>
      </c>
      <c r="D415" s="524">
        <v>12.45</v>
      </c>
      <c r="E415" s="525">
        <v>0</v>
      </c>
      <c r="F415" s="525">
        <f t="shared" si="102"/>
        <v>6225</v>
      </c>
      <c r="G415" s="522">
        <v>42451</v>
      </c>
      <c r="H415" s="541">
        <v>50</v>
      </c>
      <c r="I415" s="524">
        <v>11.28</v>
      </c>
      <c r="J415" s="525">
        <v>0.01</v>
      </c>
      <c r="K415" s="525">
        <f t="shared" si="105"/>
        <v>563.99</v>
      </c>
      <c r="L415" s="523"/>
      <c r="M415" s="525"/>
    </row>
    <row r="416" spans="1:13" x14ac:dyDescent="0.25">
      <c r="A416" s="523"/>
      <c r="B416" s="626">
        <v>42374</v>
      </c>
      <c r="C416" s="523">
        <v>2000</v>
      </c>
      <c r="D416" s="524">
        <v>12.73</v>
      </c>
      <c r="E416" s="525">
        <v>0</v>
      </c>
      <c r="F416" s="525">
        <f t="shared" ref="F416:F479" si="106">C416*D416+E416</f>
        <v>25460</v>
      </c>
      <c r="G416" s="522">
        <v>42459</v>
      </c>
      <c r="H416" s="541">
        <v>2000</v>
      </c>
      <c r="I416" s="524">
        <v>10.75</v>
      </c>
      <c r="J416" s="525">
        <v>0.47</v>
      </c>
      <c r="K416" s="525">
        <f t="shared" si="105"/>
        <v>21499.53</v>
      </c>
      <c r="L416" s="523"/>
      <c r="M416" s="525"/>
    </row>
    <row r="417" spans="1:13" x14ac:dyDescent="0.25">
      <c r="A417" s="523"/>
      <c r="B417" s="574">
        <v>42375</v>
      </c>
      <c r="C417" s="523">
        <v>1000</v>
      </c>
      <c r="D417" s="524">
        <v>12.5</v>
      </c>
      <c r="E417" s="525">
        <v>0</v>
      </c>
      <c r="F417" s="525">
        <f t="shared" si="106"/>
        <v>12500</v>
      </c>
      <c r="G417" s="522">
        <v>42460</v>
      </c>
      <c r="H417" s="541">
        <v>1600</v>
      </c>
      <c r="I417" s="524">
        <v>10.95</v>
      </c>
      <c r="J417" s="525">
        <v>2.88</v>
      </c>
      <c r="K417" s="525">
        <f t="shared" si="105"/>
        <v>17517.12</v>
      </c>
      <c r="L417" s="523"/>
      <c r="M417" s="525"/>
    </row>
    <row r="418" spans="1:13" x14ac:dyDescent="0.25">
      <c r="A418" s="523"/>
      <c r="B418" s="574">
        <v>42375</v>
      </c>
      <c r="C418" s="523">
        <v>1000</v>
      </c>
      <c r="D418" s="524">
        <v>11.7</v>
      </c>
      <c r="E418" s="525">
        <v>0</v>
      </c>
      <c r="F418" s="525">
        <f t="shared" si="106"/>
        <v>11700</v>
      </c>
      <c r="G418" s="522">
        <v>42461</v>
      </c>
      <c r="H418" s="541">
        <v>2000</v>
      </c>
      <c r="I418" s="524">
        <v>10.52</v>
      </c>
      <c r="J418" s="525">
        <v>0.46</v>
      </c>
      <c r="K418" s="525">
        <f t="shared" si="105"/>
        <v>21039.54</v>
      </c>
      <c r="L418" s="523"/>
      <c r="M418" s="525"/>
    </row>
    <row r="419" spans="1:13" x14ac:dyDescent="0.25">
      <c r="A419" s="523"/>
      <c r="B419" s="574">
        <v>42402</v>
      </c>
      <c r="C419" s="523">
        <v>400</v>
      </c>
      <c r="D419" s="524">
        <v>9.1</v>
      </c>
      <c r="E419" s="525">
        <v>0</v>
      </c>
      <c r="F419" s="525">
        <f t="shared" si="106"/>
        <v>3640</v>
      </c>
      <c r="G419" s="522">
        <v>42461</v>
      </c>
      <c r="H419" s="541">
        <v>2000</v>
      </c>
      <c r="I419" s="524">
        <v>10.55</v>
      </c>
      <c r="J419" s="525">
        <v>0.46</v>
      </c>
      <c r="K419" s="525">
        <f t="shared" si="105"/>
        <v>21099.54</v>
      </c>
      <c r="L419" s="523"/>
      <c r="M419" s="525"/>
    </row>
    <row r="420" spans="1:13" ht="15" customHeight="1" x14ac:dyDescent="0.25">
      <c r="A420" s="523"/>
      <c r="B420" s="574">
        <v>42411</v>
      </c>
      <c r="C420" s="523">
        <v>500</v>
      </c>
      <c r="D420" s="524">
        <v>6.835</v>
      </c>
      <c r="E420" s="525">
        <v>0</v>
      </c>
      <c r="F420" s="525">
        <f t="shared" si="106"/>
        <v>3417.5</v>
      </c>
      <c r="G420" s="522">
        <v>42465</v>
      </c>
      <c r="H420" s="541">
        <v>100</v>
      </c>
      <c r="I420" s="524">
        <v>10.75</v>
      </c>
      <c r="J420" s="525">
        <v>0.02</v>
      </c>
      <c r="K420" s="525">
        <f t="shared" si="105"/>
        <v>1074.98</v>
      </c>
      <c r="L420" s="523"/>
      <c r="M420" s="525"/>
    </row>
    <row r="421" spans="1:13" x14ac:dyDescent="0.25">
      <c r="A421" s="523"/>
      <c r="B421" s="574">
        <v>42412</v>
      </c>
      <c r="C421" s="523">
        <v>200</v>
      </c>
      <c r="D421" s="524">
        <v>7.23</v>
      </c>
      <c r="E421" s="525">
        <v>0</v>
      </c>
      <c r="F421" s="525">
        <f t="shared" si="106"/>
        <v>1446</v>
      </c>
      <c r="G421" s="522">
        <v>42468</v>
      </c>
      <c r="H421" s="541">
        <v>1000</v>
      </c>
      <c r="I421" s="524">
        <v>11.77</v>
      </c>
      <c r="J421" s="525">
        <v>0.26</v>
      </c>
      <c r="K421" s="525">
        <f t="shared" si="105"/>
        <v>11769.74</v>
      </c>
      <c r="L421" s="523"/>
      <c r="M421" s="525"/>
    </row>
    <row r="422" spans="1:13" x14ac:dyDescent="0.25">
      <c r="A422" s="523"/>
      <c r="B422" s="574">
        <v>42416</v>
      </c>
      <c r="C422" s="523">
        <v>500</v>
      </c>
      <c r="D422" s="524">
        <v>7.5</v>
      </c>
      <c r="E422" s="525">
        <v>0</v>
      </c>
      <c r="F422" s="525">
        <f t="shared" si="106"/>
        <v>3750</v>
      </c>
      <c r="G422" s="639">
        <v>42472</v>
      </c>
      <c r="H422" s="541">
        <v>420</v>
      </c>
      <c r="I422" s="524">
        <v>13.35</v>
      </c>
      <c r="J422" s="525">
        <v>0.15</v>
      </c>
      <c r="K422" s="525">
        <f t="shared" si="105"/>
        <v>5606.85</v>
      </c>
      <c r="L422" s="523"/>
      <c r="M422" s="525"/>
    </row>
    <row r="423" spans="1:13" ht="30" x14ac:dyDescent="0.25">
      <c r="A423" s="523"/>
      <c r="B423" s="642" t="s">
        <v>181</v>
      </c>
      <c r="C423" s="523">
        <v>3000</v>
      </c>
      <c r="D423" s="524">
        <v>7.55</v>
      </c>
      <c r="E423" s="525">
        <v>0</v>
      </c>
      <c r="F423" s="525">
        <f t="shared" si="106"/>
        <v>22650</v>
      </c>
      <c r="G423" s="639"/>
      <c r="H423" s="541">
        <v>80</v>
      </c>
      <c r="I423" s="524">
        <v>13.35</v>
      </c>
      <c r="J423" s="525">
        <v>0</v>
      </c>
      <c r="K423" s="525">
        <f t="shared" si="105"/>
        <v>1068</v>
      </c>
      <c r="L423" s="523"/>
      <c r="M423" s="525"/>
    </row>
    <row r="424" spans="1:13" x14ac:dyDescent="0.25">
      <c r="A424" s="523"/>
      <c r="B424" s="642"/>
      <c r="C424" s="523">
        <v>500</v>
      </c>
      <c r="D424" s="524">
        <v>6.75</v>
      </c>
      <c r="E424" s="525">
        <v>0</v>
      </c>
      <c r="F424" s="525">
        <f t="shared" si="106"/>
        <v>3375</v>
      </c>
      <c r="G424" s="522">
        <v>42472</v>
      </c>
      <c r="H424" s="541">
        <v>500</v>
      </c>
      <c r="I424" s="524">
        <v>13.15</v>
      </c>
      <c r="J424" s="525">
        <v>0.14000000000000001</v>
      </c>
      <c r="K424" s="525">
        <f t="shared" si="105"/>
        <v>6574.86</v>
      </c>
      <c r="L424" s="523"/>
      <c r="M424" s="525"/>
    </row>
    <row r="425" spans="1:13" x14ac:dyDescent="0.25">
      <c r="A425" s="523"/>
      <c r="B425" s="642"/>
      <c r="C425" s="523">
        <v>300</v>
      </c>
      <c r="D425" s="524">
        <v>6.75</v>
      </c>
      <c r="E425" s="525">
        <v>0</v>
      </c>
      <c r="F425" s="525">
        <f t="shared" si="106"/>
        <v>2025</v>
      </c>
      <c r="G425" s="522">
        <v>42472</v>
      </c>
      <c r="H425" s="541">
        <v>500</v>
      </c>
      <c r="I425" s="524">
        <v>12.92</v>
      </c>
      <c r="J425" s="525">
        <v>0.14000000000000001</v>
      </c>
      <c r="K425" s="525">
        <f t="shared" si="105"/>
        <v>6459.86</v>
      </c>
      <c r="L425" s="523"/>
      <c r="M425" s="525"/>
    </row>
    <row r="426" spans="1:13" x14ac:dyDescent="0.25">
      <c r="A426" s="523"/>
      <c r="B426" s="574">
        <v>42426</v>
      </c>
      <c r="C426" s="523">
        <v>600</v>
      </c>
      <c r="D426" s="524">
        <v>7.63</v>
      </c>
      <c r="E426" s="525">
        <v>0</v>
      </c>
      <c r="F426" s="525">
        <f t="shared" si="106"/>
        <v>4578</v>
      </c>
      <c r="G426" s="522">
        <v>42472</v>
      </c>
      <c r="H426" s="541">
        <v>500</v>
      </c>
      <c r="I426" s="524">
        <v>12.59</v>
      </c>
      <c r="J426" s="525">
        <v>0.14000000000000001</v>
      </c>
      <c r="K426" s="525">
        <f t="shared" si="105"/>
        <v>6294.86</v>
      </c>
      <c r="L426" s="523"/>
      <c r="M426" s="525"/>
    </row>
    <row r="427" spans="1:13" x14ac:dyDescent="0.25">
      <c r="A427" s="523"/>
      <c r="B427" s="574">
        <v>42426</v>
      </c>
      <c r="C427" s="523">
        <v>2000</v>
      </c>
      <c r="D427" s="524">
        <v>7.95</v>
      </c>
      <c r="E427" s="525">
        <v>0</v>
      </c>
      <c r="F427" s="525">
        <f t="shared" si="106"/>
        <v>15900</v>
      </c>
      <c r="G427" s="522">
        <v>42474</v>
      </c>
      <c r="H427" s="541">
        <v>500</v>
      </c>
      <c r="I427" s="524">
        <v>13.18</v>
      </c>
      <c r="J427" s="525">
        <v>0.14000000000000001</v>
      </c>
      <c r="K427" s="525">
        <f t="shared" si="105"/>
        <v>6589.86</v>
      </c>
      <c r="L427" s="523"/>
      <c r="M427" s="525"/>
    </row>
    <row r="428" spans="1:13" x14ac:dyDescent="0.25">
      <c r="A428" s="523"/>
      <c r="B428" s="574">
        <v>42429</v>
      </c>
      <c r="C428" s="523">
        <v>2000</v>
      </c>
      <c r="D428" s="524">
        <v>8.1999999999999993</v>
      </c>
      <c r="E428" s="525">
        <v>0</v>
      </c>
      <c r="F428" s="525">
        <f t="shared" si="106"/>
        <v>16400</v>
      </c>
      <c r="G428" s="522">
        <v>42478</v>
      </c>
      <c r="H428" s="541">
        <v>500</v>
      </c>
      <c r="I428" s="524">
        <v>13.4</v>
      </c>
      <c r="J428" s="525">
        <v>0.15</v>
      </c>
      <c r="K428" s="525">
        <f t="shared" si="105"/>
        <v>6699.85</v>
      </c>
      <c r="L428" s="523"/>
      <c r="M428" s="525"/>
    </row>
    <row r="429" spans="1:13" x14ac:dyDescent="0.25">
      <c r="A429" s="525"/>
      <c r="B429" s="574">
        <v>42429</v>
      </c>
      <c r="C429" s="523">
        <v>500</v>
      </c>
      <c r="D429" s="524">
        <v>7.88</v>
      </c>
      <c r="E429" s="525">
        <v>0</v>
      </c>
      <c r="F429" s="525">
        <f t="shared" si="106"/>
        <v>3940</v>
      </c>
      <c r="G429" s="522">
        <v>42486</v>
      </c>
      <c r="H429" s="541">
        <v>500</v>
      </c>
      <c r="I429" s="524">
        <v>14.35</v>
      </c>
      <c r="J429" s="525">
        <v>0.16</v>
      </c>
      <c r="K429" s="525">
        <f t="shared" si="105"/>
        <v>7174.84</v>
      </c>
      <c r="L429" s="523"/>
      <c r="M429" s="525"/>
    </row>
    <row r="430" spans="1:13" x14ac:dyDescent="0.25">
      <c r="A430" s="523"/>
      <c r="B430" s="574">
        <v>42430</v>
      </c>
      <c r="C430" s="523">
        <v>1000</v>
      </c>
      <c r="D430" s="524">
        <v>7.77</v>
      </c>
      <c r="E430" s="525">
        <v>0</v>
      </c>
      <c r="F430" s="525">
        <f t="shared" si="106"/>
        <v>7770</v>
      </c>
      <c r="G430" s="522">
        <v>42487</v>
      </c>
      <c r="H430" s="541">
        <v>600</v>
      </c>
      <c r="I430" s="524">
        <v>14.85</v>
      </c>
      <c r="J430" s="525">
        <v>0.19</v>
      </c>
      <c r="K430" s="525">
        <f t="shared" si="105"/>
        <v>8909.81</v>
      </c>
      <c r="L430" s="523"/>
      <c r="M430" s="525"/>
    </row>
    <row r="431" spans="1:13" x14ac:dyDescent="0.25">
      <c r="A431" s="523"/>
      <c r="B431" s="574">
        <v>42430</v>
      </c>
      <c r="C431" s="523">
        <v>500</v>
      </c>
      <c r="D431" s="524">
        <v>7.94</v>
      </c>
      <c r="E431" s="525">
        <v>0</v>
      </c>
      <c r="F431" s="525">
        <f t="shared" si="106"/>
        <v>3970</v>
      </c>
      <c r="G431" s="522">
        <v>42489</v>
      </c>
      <c r="H431" s="541">
        <v>3000</v>
      </c>
      <c r="I431" s="524">
        <v>14.15</v>
      </c>
      <c r="J431" s="525">
        <v>0.93</v>
      </c>
      <c r="K431" s="525">
        <f t="shared" si="105"/>
        <v>42449.07</v>
      </c>
      <c r="L431" s="523"/>
      <c r="M431" s="525"/>
    </row>
    <row r="432" spans="1:13" x14ac:dyDescent="0.25">
      <c r="A432" s="523"/>
      <c r="B432" s="574">
        <v>42431</v>
      </c>
      <c r="C432" s="523">
        <v>1000</v>
      </c>
      <c r="D432" s="524">
        <v>8.3699999999999992</v>
      </c>
      <c r="E432" s="525">
        <v>0</v>
      </c>
      <c r="F432" s="525">
        <f t="shared" si="106"/>
        <v>8370</v>
      </c>
      <c r="G432" s="522">
        <v>42492</v>
      </c>
      <c r="H432" s="541">
        <v>1000</v>
      </c>
      <c r="I432" s="524">
        <v>13.48</v>
      </c>
      <c r="J432" s="525">
        <v>0.28999999999999998</v>
      </c>
      <c r="K432" s="525">
        <f t="shared" si="105"/>
        <v>13479.71</v>
      </c>
      <c r="L432" s="523"/>
      <c r="M432" s="525"/>
    </row>
    <row r="433" spans="1:13" x14ac:dyDescent="0.25">
      <c r="A433" s="523"/>
      <c r="B433" s="574">
        <v>42432</v>
      </c>
      <c r="C433" s="523">
        <v>600</v>
      </c>
      <c r="D433" s="524">
        <v>9.3699999999999992</v>
      </c>
      <c r="E433" s="525">
        <v>0</v>
      </c>
      <c r="F433" s="525">
        <f t="shared" si="106"/>
        <v>5621.9999999999991</v>
      </c>
      <c r="G433" s="522">
        <v>42492</v>
      </c>
      <c r="H433" s="541">
        <v>1000</v>
      </c>
      <c r="I433" s="524">
        <v>13.61</v>
      </c>
      <c r="J433" s="525">
        <v>0.3</v>
      </c>
      <c r="K433" s="525">
        <f t="shared" si="105"/>
        <v>13609.7</v>
      </c>
      <c r="L433" s="523"/>
      <c r="M433" s="525"/>
    </row>
    <row r="434" spans="1:13" x14ac:dyDescent="0.25">
      <c r="A434" s="523"/>
      <c r="B434" s="574">
        <v>42432</v>
      </c>
      <c r="C434" s="523">
        <v>600</v>
      </c>
      <c r="D434" s="524">
        <v>8.8800000000000008</v>
      </c>
      <c r="E434" s="525">
        <v>0</v>
      </c>
      <c r="F434" s="525">
        <f t="shared" si="106"/>
        <v>5328.0000000000009</v>
      </c>
      <c r="G434" s="522">
        <v>42493</v>
      </c>
      <c r="H434" s="541">
        <v>322</v>
      </c>
      <c r="I434" s="524">
        <v>13.28</v>
      </c>
      <c r="J434" s="525">
        <v>0.09</v>
      </c>
      <c r="K434" s="525">
        <f t="shared" si="105"/>
        <v>4276.07</v>
      </c>
      <c r="L434" s="523"/>
      <c r="M434" s="525"/>
    </row>
    <row r="435" spans="1:13" x14ac:dyDescent="0.25">
      <c r="A435" s="523"/>
      <c r="B435" s="574">
        <v>42433</v>
      </c>
      <c r="C435" s="523">
        <v>600</v>
      </c>
      <c r="D435" s="524">
        <v>10.42</v>
      </c>
      <c r="E435" s="525">
        <v>0</v>
      </c>
      <c r="F435" s="525">
        <f t="shared" si="106"/>
        <v>6252</v>
      </c>
      <c r="G435" s="522">
        <v>42495</v>
      </c>
      <c r="H435" s="541">
        <v>1000</v>
      </c>
      <c r="I435" s="524">
        <v>12.05</v>
      </c>
      <c r="J435" s="525">
        <v>0.26</v>
      </c>
      <c r="K435" s="525">
        <f t="shared" si="105"/>
        <v>12049.74</v>
      </c>
      <c r="L435" s="523"/>
      <c r="M435" s="525"/>
    </row>
    <row r="436" spans="1:13" x14ac:dyDescent="0.25">
      <c r="A436" s="523"/>
      <c r="B436" s="574">
        <v>42440</v>
      </c>
      <c r="C436" s="523">
        <v>400</v>
      </c>
      <c r="D436" s="524">
        <v>11.12</v>
      </c>
      <c r="E436" s="525">
        <v>0</v>
      </c>
      <c r="F436" s="525">
        <f t="shared" si="106"/>
        <v>4448</v>
      </c>
      <c r="G436" s="522">
        <v>42495</v>
      </c>
      <c r="H436" s="541">
        <v>2000</v>
      </c>
      <c r="I436" s="524">
        <v>12.63</v>
      </c>
      <c r="J436" s="525">
        <v>0.55000000000000004</v>
      </c>
      <c r="K436" s="525">
        <f t="shared" si="105"/>
        <v>25259.45</v>
      </c>
      <c r="L436" s="523"/>
      <c r="M436" s="525"/>
    </row>
    <row r="437" spans="1:13" x14ac:dyDescent="0.25">
      <c r="A437" s="523"/>
      <c r="B437" s="574">
        <v>42446</v>
      </c>
      <c r="C437" s="523">
        <v>1500</v>
      </c>
      <c r="D437" s="524">
        <v>11.445</v>
      </c>
      <c r="E437" s="525">
        <v>0</v>
      </c>
      <c r="F437" s="525">
        <f t="shared" si="106"/>
        <v>17167.5</v>
      </c>
      <c r="G437" s="522">
        <v>42500</v>
      </c>
      <c r="H437" s="541">
        <v>1000</v>
      </c>
      <c r="I437" s="524">
        <v>11.66</v>
      </c>
      <c r="J437" s="525">
        <v>5.25</v>
      </c>
      <c r="K437" s="525">
        <f t="shared" si="105"/>
        <v>11654.75</v>
      </c>
      <c r="L437" s="523"/>
      <c r="M437" s="525"/>
    </row>
    <row r="438" spans="1:13" x14ac:dyDescent="0.25">
      <c r="A438" s="523"/>
      <c r="B438" s="638">
        <v>42447</v>
      </c>
      <c r="C438" s="523">
        <v>1500</v>
      </c>
      <c r="D438" s="524">
        <v>11.42</v>
      </c>
      <c r="E438" s="525">
        <v>0</v>
      </c>
      <c r="F438" s="525">
        <f t="shared" si="106"/>
        <v>17130</v>
      </c>
      <c r="G438" s="522">
        <v>42502</v>
      </c>
      <c r="H438" s="541">
        <v>1500</v>
      </c>
      <c r="I438" s="524">
        <v>12.36</v>
      </c>
      <c r="J438" s="525">
        <v>0.4</v>
      </c>
      <c r="K438" s="525">
        <f t="shared" si="105"/>
        <v>18539.599999999999</v>
      </c>
      <c r="L438" s="523"/>
      <c r="M438" s="525"/>
    </row>
    <row r="439" spans="1:13" x14ac:dyDescent="0.25">
      <c r="A439" s="523"/>
      <c r="B439" s="643"/>
      <c r="C439" s="523">
        <v>500</v>
      </c>
      <c r="D439" s="524">
        <v>11.42</v>
      </c>
      <c r="E439" s="525">
        <v>0</v>
      </c>
      <c r="F439" s="525">
        <f t="shared" si="106"/>
        <v>5710</v>
      </c>
      <c r="G439" s="522">
        <v>42503</v>
      </c>
      <c r="H439" s="541">
        <v>500</v>
      </c>
      <c r="I439" s="524">
        <v>12.49</v>
      </c>
      <c r="J439" s="525">
        <v>0.14000000000000001</v>
      </c>
      <c r="K439" s="525">
        <f t="shared" si="105"/>
        <v>6244.86</v>
      </c>
      <c r="L439" s="523"/>
      <c r="M439" s="525"/>
    </row>
    <row r="440" spans="1:13" x14ac:dyDescent="0.25">
      <c r="A440" s="523"/>
      <c r="B440" s="574">
        <v>42447</v>
      </c>
      <c r="C440" s="523">
        <v>650</v>
      </c>
      <c r="D440" s="524">
        <v>11.545</v>
      </c>
      <c r="E440" s="525">
        <v>0.75</v>
      </c>
      <c r="F440" s="525">
        <f t="shared" si="106"/>
        <v>7505</v>
      </c>
      <c r="G440" s="522">
        <v>42506</v>
      </c>
      <c r="H440" s="541">
        <v>300</v>
      </c>
      <c r="I440" s="524">
        <v>12.85</v>
      </c>
      <c r="J440" s="525">
        <v>0.08</v>
      </c>
      <c r="K440" s="525">
        <f t="shared" si="105"/>
        <v>3854.92</v>
      </c>
      <c r="L440" s="523"/>
      <c r="M440" s="525"/>
    </row>
    <row r="441" spans="1:13" ht="15" customHeight="1" x14ac:dyDescent="0.25">
      <c r="A441" s="523"/>
      <c r="B441" s="574">
        <v>42450</v>
      </c>
      <c r="C441" s="523">
        <v>1350</v>
      </c>
      <c r="D441" s="524">
        <v>11.42</v>
      </c>
      <c r="E441" s="525">
        <v>0</v>
      </c>
      <c r="F441" s="525">
        <f t="shared" si="106"/>
        <v>15417</v>
      </c>
      <c r="G441" s="522">
        <v>42513</v>
      </c>
      <c r="H441" s="541">
        <v>500</v>
      </c>
      <c r="I441" s="524">
        <v>13.05</v>
      </c>
      <c r="J441" s="525">
        <v>0.14000000000000001</v>
      </c>
      <c r="K441" s="525">
        <f t="shared" si="105"/>
        <v>6524.86</v>
      </c>
      <c r="L441" s="523"/>
      <c r="M441" s="525"/>
    </row>
    <row r="442" spans="1:13" x14ac:dyDescent="0.25">
      <c r="A442" s="523"/>
      <c r="B442" s="574">
        <v>42451</v>
      </c>
      <c r="C442" s="523">
        <v>1000</v>
      </c>
      <c r="D442" s="524">
        <v>11.38</v>
      </c>
      <c r="E442" s="525">
        <v>0</v>
      </c>
      <c r="F442" s="525">
        <f t="shared" si="106"/>
        <v>11380</v>
      </c>
      <c r="G442" s="522">
        <v>42515</v>
      </c>
      <c r="H442" s="541">
        <v>500</v>
      </c>
      <c r="I442" s="524">
        <v>13.59</v>
      </c>
      <c r="J442" s="525">
        <v>0.15</v>
      </c>
      <c r="K442" s="525">
        <f t="shared" si="105"/>
        <v>6794.85</v>
      </c>
      <c r="L442" s="523"/>
      <c r="M442" s="525"/>
    </row>
    <row r="443" spans="1:13" x14ac:dyDescent="0.25">
      <c r="A443" s="523"/>
      <c r="B443" s="638">
        <v>42451</v>
      </c>
      <c r="C443" s="523">
        <v>50</v>
      </c>
      <c r="D443" s="524">
        <v>11.22</v>
      </c>
      <c r="E443" s="525">
        <v>0</v>
      </c>
      <c r="F443" s="525">
        <f t="shared" si="106"/>
        <v>561</v>
      </c>
      <c r="G443" s="522">
        <v>42515</v>
      </c>
      <c r="H443" s="541">
        <v>500</v>
      </c>
      <c r="I443" s="524">
        <v>13.57</v>
      </c>
      <c r="J443" s="525">
        <v>0.15</v>
      </c>
      <c r="K443" s="525">
        <f t="shared" si="105"/>
        <v>6784.85</v>
      </c>
      <c r="L443" s="523"/>
      <c r="M443" s="525"/>
    </row>
    <row r="444" spans="1:13" x14ac:dyDescent="0.25">
      <c r="A444" s="523"/>
      <c r="B444" s="638"/>
      <c r="C444" s="523">
        <v>350</v>
      </c>
      <c r="D444" s="524">
        <v>11.22</v>
      </c>
      <c r="E444" s="525">
        <v>0</v>
      </c>
      <c r="F444" s="525">
        <f t="shared" si="106"/>
        <v>3927</v>
      </c>
      <c r="G444" s="522">
        <v>42517</v>
      </c>
      <c r="H444" s="541">
        <v>500</v>
      </c>
      <c r="I444" s="524">
        <v>12.87</v>
      </c>
      <c r="J444" s="525">
        <v>0.14000000000000001</v>
      </c>
      <c r="K444" s="525">
        <f t="shared" si="105"/>
        <v>6434.86</v>
      </c>
      <c r="L444" s="523"/>
      <c r="M444" s="525"/>
    </row>
    <row r="445" spans="1:13" ht="45" x14ac:dyDescent="0.25">
      <c r="A445" s="523"/>
      <c r="B445" s="642" t="s">
        <v>195</v>
      </c>
      <c r="C445" s="523">
        <v>650</v>
      </c>
      <c r="D445" s="524">
        <v>11.22</v>
      </c>
      <c r="E445" s="525">
        <v>0</v>
      </c>
      <c r="F445" s="525">
        <f t="shared" si="106"/>
        <v>7293</v>
      </c>
      <c r="G445" s="522">
        <v>42524</v>
      </c>
      <c r="H445" s="541">
        <v>400</v>
      </c>
      <c r="I445" s="524">
        <v>13.38</v>
      </c>
      <c r="J445" s="525">
        <v>0.12</v>
      </c>
      <c r="K445" s="525">
        <f t="shared" si="105"/>
        <v>5351.88</v>
      </c>
      <c r="L445" s="523"/>
      <c r="M445" s="525"/>
    </row>
    <row r="446" spans="1:13" x14ac:dyDescent="0.25">
      <c r="A446" s="523"/>
      <c r="B446" s="642"/>
      <c r="C446" s="523">
        <v>500</v>
      </c>
      <c r="D446" s="524">
        <v>11.01</v>
      </c>
      <c r="E446" s="525">
        <v>0</v>
      </c>
      <c r="F446" s="525">
        <f t="shared" si="106"/>
        <v>5505</v>
      </c>
      <c r="G446" s="522">
        <v>42527</v>
      </c>
      <c r="H446" s="541">
        <v>1000</v>
      </c>
      <c r="I446" s="524">
        <v>13.82</v>
      </c>
      <c r="J446" s="525">
        <v>0.3</v>
      </c>
      <c r="K446" s="525">
        <f t="shared" si="105"/>
        <v>13819.7</v>
      </c>
      <c r="L446" s="523"/>
      <c r="M446" s="525"/>
    </row>
    <row r="447" spans="1:13" x14ac:dyDescent="0.25">
      <c r="A447" s="523"/>
      <c r="B447" s="642"/>
      <c r="C447" s="523">
        <v>500</v>
      </c>
      <c r="D447" s="524">
        <v>10.75</v>
      </c>
      <c r="E447" s="525">
        <v>0</v>
      </c>
      <c r="F447" s="525">
        <f t="shared" si="106"/>
        <v>5375</v>
      </c>
      <c r="G447" s="522">
        <v>42527</v>
      </c>
      <c r="H447" s="541">
        <v>500</v>
      </c>
      <c r="I447" s="524">
        <v>13.97</v>
      </c>
      <c r="J447" s="525">
        <v>1.1499999999999999</v>
      </c>
      <c r="K447" s="525">
        <f t="shared" si="105"/>
        <v>6983.85</v>
      </c>
      <c r="L447" s="523"/>
      <c r="M447" s="525"/>
    </row>
    <row r="448" spans="1:13" x14ac:dyDescent="0.25">
      <c r="A448" s="523"/>
      <c r="B448" s="642"/>
      <c r="C448" s="523">
        <v>1000</v>
      </c>
      <c r="D448" s="524">
        <v>10.4</v>
      </c>
      <c r="E448" s="525">
        <v>0</v>
      </c>
      <c r="F448" s="525">
        <f t="shared" si="106"/>
        <v>10400</v>
      </c>
      <c r="G448" s="522">
        <v>42528</v>
      </c>
      <c r="H448" s="541">
        <v>500</v>
      </c>
      <c r="I448" s="524">
        <v>14.65</v>
      </c>
      <c r="J448" s="525">
        <v>0.16</v>
      </c>
      <c r="K448" s="525">
        <f t="shared" si="105"/>
        <v>7324.84</v>
      </c>
      <c r="L448" s="523"/>
      <c r="M448" s="525"/>
    </row>
    <row r="449" spans="1:13" x14ac:dyDescent="0.25">
      <c r="A449" s="523"/>
      <c r="B449" s="642"/>
      <c r="C449" s="523">
        <v>1000</v>
      </c>
      <c r="D449" s="524">
        <v>10.185</v>
      </c>
      <c r="E449" s="525">
        <v>0</v>
      </c>
      <c r="F449" s="525">
        <f t="shared" si="106"/>
        <v>10185</v>
      </c>
      <c r="G449" s="522">
        <v>42536</v>
      </c>
      <c r="H449" s="541">
        <v>400</v>
      </c>
      <c r="I449" s="524">
        <v>13.43</v>
      </c>
      <c r="J449" s="525">
        <v>0.12</v>
      </c>
      <c r="K449" s="525">
        <f t="shared" si="105"/>
        <v>5371.88</v>
      </c>
      <c r="L449" s="523"/>
      <c r="M449" s="525"/>
    </row>
    <row r="450" spans="1:13" x14ac:dyDescent="0.25">
      <c r="A450" s="523"/>
      <c r="B450" s="574">
        <v>42461</v>
      </c>
      <c r="C450" s="523">
        <v>2000</v>
      </c>
      <c r="D450" s="524">
        <v>10.43</v>
      </c>
      <c r="E450" s="525">
        <v>0</v>
      </c>
      <c r="F450" s="525">
        <f t="shared" si="106"/>
        <v>20860</v>
      </c>
      <c r="G450" s="522">
        <v>42537</v>
      </c>
      <c r="H450" s="541">
        <v>400</v>
      </c>
      <c r="I450" s="524">
        <v>12.69</v>
      </c>
      <c r="J450" s="525">
        <v>0.11</v>
      </c>
      <c r="K450" s="525">
        <f t="shared" si="105"/>
        <v>5075.8900000000003</v>
      </c>
      <c r="L450" s="523"/>
      <c r="M450" s="525"/>
    </row>
    <row r="451" spans="1:13" x14ac:dyDescent="0.25">
      <c r="A451" s="523"/>
      <c r="B451" s="574">
        <v>42461</v>
      </c>
      <c r="C451" s="523">
        <v>2000</v>
      </c>
      <c r="D451" s="524">
        <v>10.42</v>
      </c>
      <c r="E451" s="525">
        <v>0</v>
      </c>
      <c r="F451" s="525">
        <f t="shared" si="106"/>
        <v>20840</v>
      </c>
      <c r="G451" s="522">
        <v>42538</v>
      </c>
      <c r="H451" s="541">
        <v>500</v>
      </c>
      <c r="I451" s="524">
        <v>13.34</v>
      </c>
      <c r="J451" s="525">
        <v>0.15</v>
      </c>
      <c r="K451" s="525">
        <f t="shared" si="105"/>
        <v>6669.85</v>
      </c>
      <c r="L451" s="523"/>
      <c r="M451" s="525"/>
    </row>
    <row r="452" spans="1:13" ht="45" x14ac:dyDescent="0.25">
      <c r="A452" s="523"/>
      <c r="B452" s="574">
        <v>42465</v>
      </c>
      <c r="C452" s="523">
        <v>100</v>
      </c>
      <c r="D452" s="524">
        <v>10.4</v>
      </c>
      <c r="E452" s="525">
        <v>0</v>
      </c>
      <c r="F452" s="525">
        <f t="shared" si="106"/>
        <v>1040</v>
      </c>
      <c r="G452" s="644" t="s">
        <v>222</v>
      </c>
      <c r="H452" s="541">
        <v>500</v>
      </c>
      <c r="I452" s="524">
        <v>13.91</v>
      </c>
      <c r="J452" s="525">
        <v>0.15</v>
      </c>
      <c r="K452" s="525">
        <f t="shared" si="105"/>
        <v>6954.85</v>
      </c>
      <c r="L452" s="523"/>
      <c r="M452" s="525"/>
    </row>
    <row r="453" spans="1:13" x14ac:dyDescent="0.25">
      <c r="A453" s="523"/>
      <c r="B453" s="574">
        <v>42471</v>
      </c>
      <c r="C453" s="523">
        <v>500</v>
      </c>
      <c r="D453" s="524">
        <v>11.77</v>
      </c>
      <c r="E453" s="525">
        <v>0</v>
      </c>
      <c r="F453" s="525">
        <f t="shared" si="106"/>
        <v>5885</v>
      </c>
      <c r="G453" s="644"/>
      <c r="H453" s="541">
        <v>600</v>
      </c>
      <c r="I453" s="524">
        <v>14.36</v>
      </c>
      <c r="J453" s="525">
        <v>0.19</v>
      </c>
      <c r="K453" s="525">
        <f t="shared" si="105"/>
        <v>8615.81</v>
      </c>
      <c r="L453" s="523"/>
      <c r="M453" s="525"/>
    </row>
    <row r="454" spans="1:13" x14ac:dyDescent="0.25">
      <c r="A454" s="523"/>
      <c r="B454" s="574">
        <v>42471</v>
      </c>
      <c r="C454" s="523">
        <v>500</v>
      </c>
      <c r="D454" s="524">
        <v>11.55</v>
      </c>
      <c r="E454" s="525">
        <v>0</v>
      </c>
      <c r="F454" s="525">
        <f t="shared" si="106"/>
        <v>5775</v>
      </c>
      <c r="G454" s="644"/>
      <c r="H454" s="541">
        <v>500</v>
      </c>
      <c r="I454" s="524">
        <v>14.65</v>
      </c>
      <c r="J454" s="525">
        <v>0.16</v>
      </c>
      <c r="K454" s="525">
        <f t="shared" si="105"/>
        <v>7324.84</v>
      </c>
      <c r="L454" s="523"/>
      <c r="M454" s="525"/>
    </row>
    <row r="455" spans="1:13" x14ac:dyDescent="0.25">
      <c r="A455" s="523"/>
      <c r="B455" s="574">
        <v>42472</v>
      </c>
      <c r="C455" s="523">
        <v>610</v>
      </c>
      <c r="D455" s="524">
        <v>12.95</v>
      </c>
      <c r="E455" s="525">
        <v>0</v>
      </c>
      <c r="F455" s="525">
        <f t="shared" si="106"/>
        <v>7899.5</v>
      </c>
      <c r="G455" s="522">
        <v>42542</v>
      </c>
      <c r="H455" s="541">
        <v>500</v>
      </c>
      <c r="I455" s="524">
        <v>14.95</v>
      </c>
      <c r="J455" s="525">
        <v>0.16</v>
      </c>
      <c r="K455" s="525">
        <f t="shared" si="105"/>
        <v>7474.84</v>
      </c>
      <c r="L455" s="523"/>
      <c r="M455" s="525"/>
    </row>
    <row r="456" spans="1:13" x14ac:dyDescent="0.25">
      <c r="A456" s="523"/>
      <c r="B456" s="574">
        <v>42473</v>
      </c>
      <c r="C456" s="523">
        <v>970</v>
      </c>
      <c r="D456" s="524">
        <v>12.76</v>
      </c>
      <c r="E456" s="525">
        <v>4.0999999999999996</v>
      </c>
      <c r="F456" s="525">
        <f t="shared" si="106"/>
        <v>12381.3</v>
      </c>
      <c r="G456" s="522">
        <v>42542</v>
      </c>
      <c r="H456" s="541">
        <v>378</v>
      </c>
      <c r="I456" s="524">
        <v>15.2</v>
      </c>
      <c r="J456" s="525">
        <v>0.13</v>
      </c>
      <c r="K456" s="525">
        <f t="shared" si="105"/>
        <v>5745.4699999999993</v>
      </c>
      <c r="L456" s="523"/>
      <c r="M456" s="525"/>
    </row>
    <row r="457" spans="1:13" x14ac:dyDescent="0.25">
      <c r="A457" s="523"/>
      <c r="B457" s="574">
        <v>42474</v>
      </c>
      <c r="C457" s="523">
        <v>420</v>
      </c>
      <c r="D457" s="524">
        <v>12.755000000000001</v>
      </c>
      <c r="E457" s="525">
        <v>0.34</v>
      </c>
      <c r="F457" s="525">
        <f t="shared" si="106"/>
        <v>5357.4400000000005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523"/>
      <c r="B458" s="574">
        <v>42475</v>
      </c>
      <c r="C458" s="523">
        <v>500</v>
      </c>
      <c r="D458" s="524">
        <v>13.02</v>
      </c>
      <c r="E458" s="525">
        <v>-1.75</v>
      </c>
      <c r="F458" s="525">
        <f t="shared" si="106"/>
        <v>6508.25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523"/>
      <c r="B459" s="574">
        <v>42485</v>
      </c>
      <c r="C459" s="523">
        <v>500</v>
      </c>
      <c r="D459" s="524">
        <v>13.95</v>
      </c>
      <c r="E459" s="525">
        <v>0</v>
      </c>
      <c r="F459" s="525">
        <f t="shared" si="106"/>
        <v>6975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42487</v>
      </c>
      <c r="C460" s="523">
        <v>600</v>
      </c>
      <c r="D460" s="524">
        <v>14.63</v>
      </c>
      <c r="E460" s="525">
        <v>0</v>
      </c>
      <c r="F460" s="525">
        <f t="shared" si="106"/>
        <v>8778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42488</v>
      </c>
      <c r="C461" s="523">
        <v>500</v>
      </c>
      <c r="D461" s="524">
        <v>14.52</v>
      </c>
      <c r="E461" s="525">
        <v>0</v>
      </c>
      <c r="F461" s="525">
        <f t="shared" si="106"/>
        <v>7260</v>
      </c>
      <c r="G461" s="523"/>
      <c r="H461" s="541"/>
      <c r="I461" s="524"/>
      <c r="J461" s="525"/>
      <c r="K461" s="525"/>
      <c r="L461" s="523"/>
      <c r="M461" s="525"/>
    </row>
    <row r="462" spans="1:13" ht="30" x14ac:dyDescent="0.25">
      <c r="A462" s="645" t="s">
        <v>200</v>
      </c>
      <c r="B462" s="574">
        <v>42489</v>
      </c>
      <c r="C462" s="523">
        <v>500</v>
      </c>
      <c r="D462" s="524">
        <v>14.35</v>
      </c>
      <c r="E462" s="525">
        <v>0</v>
      </c>
      <c r="F462" s="525">
        <f t="shared" si="106"/>
        <v>7175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645"/>
      <c r="B463" s="574">
        <v>42489</v>
      </c>
      <c r="C463" s="523">
        <v>500</v>
      </c>
      <c r="D463" s="524">
        <v>14.15</v>
      </c>
      <c r="E463" s="525">
        <v>0</v>
      </c>
      <c r="F463" s="525">
        <f t="shared" si="106"/>
        <v>7075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645"/>
      <c r="B464" s="574">
        <v>42489</v>
      </c>
      <c r="C464" s="523">
        <v>1000</v>
      </c>
      <c r="D464" s="524">
        <v>13.92</v>
      </c>
      <c r="E464" s="525">
        <v>0</v>
      </c>
      <c r="F464" s="525">
        <f t="shared" si="106"/>
        <v>13920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645"/>
      <c r="B465" s="574">
        <v>42489</v>
      </c>
      <c r="C465" s="523">
        <v>1000</v>
      </c>
      <c r="D465" s="524">
        <v>13.8</v>
      </c>
      <c r="E465" s="525">
        <v>0</v>
      </c>
      <c r="F465" s="525">
        <f t="shared" si="106"/>
        <v>13800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42492</v>
      </c>
      <c r="C466" s="523">
        <v>1500</v>
      </c>
      <c r="D466" s="524">
        <v>13.25</v>
      </c>
      <c r="E466" s="525">
        <v>0</v>
      </c>
      <c r="F466" s="525">
        <f t="shared" si="106"/>
        <v>19875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42492</v>
      </c>
      <c r="C467" s="523">
        <v>500</v>
      </c>
      <c r="D467" s="524">
        <v>13.6</v>
      </c>
      <c r="E467" s="525">
        <v>0</v>
      </c>
      <c r="F467" s="525">
        <f t="shared" si="106"/>
        <v>6800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42493</v>
      </c>
      <c r="C468" s="523">
        <v>322</v>
      </c>
      <c r="D468" s="524">
        <v>12.85</v>
      </c>
      <c r="E468" s="525">
        <v>0</v>
      </c>
      <c r="F468" s="525">
        <f t="shared" si="106"/>
        <v>4137.7</v>
      </c>
      <c r="G468" s="523"/>
      <c r="H468" s="541"/>
      <c r="I468" s="524"/>
      <c r="J468" s="525"/>
      <c r="K468" s="525"/>
      <c r="L468" s="523"/>
      <c r="M468" s="525"/>
    </row>
    <row r="469" spans="1:13" ht="30" x14ac:dyDescent="0.25">
      <c r="A469" s="629" t="s">
        <v>204</v>
      </c>
      <c r="B469" s="574">
        <v>42494</v>
      </c>
      <c r="C469" s="523">
        <v>1000</v>
      </c>
      <c r="D469" s="524">
        <v>12.25</v>
      </c>
      <c r="E469" s="525">
        <v>0</v>
      </c>
      <c r="F469" s="525">
        <f t="shared" si="106"/>
        <v>12250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629"/>
      <c r="B470" s="574">
        <v>42494</v>
      </c>
      <c r="C470" s="523">
        <v>500</v>
      </c>
      <c r="D470" s="524">
        <v>12.53</v>
      </c>
      <c r="E470" s="525">
        <v>0</v>
      </c>
      <c r="F470" s="525">
        <f t="shared" si="106"/>
        <v>6265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629"/>
      <c r="B471" s="574">
        <v>42494</v>
      </c>
      <c r="C471" s="523">
        <v>500</v>
      </c>
      <c r="D471" s="524">
        <v>12.65</v>
      </c>
      <c r="E471" s="525">
        <v>0</v>
      </c>
      <c r="F471" s="525">
        <f t="shared" si="106"/>
        <v>6325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42495</v>
      </c>
      <c r="C472" s="523">
        <v>1000</v>
      </c>
      <c r="D472" s="524">
        <v>11.95</v>
      </c>
      <c r="E472" s="525">
        <v>0</v>
      </c>
      <c r="F472" s="525">
        <f t="shared" si="106"/>
        <v>11950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42499</v>
      </c>
      <c r="C473" s="523">
        <v>500</v>
      </c>
      <c r="D473" s="524">
        <v>11.48</v>
      </c>
      <c r="E473" s="525">
        <v>0</v>
      </c>
      <c r="F473" s="525">
        <f t="shared" si="106"/>
        <v>5740</v>
      </c>
      <c r="G473" s="523"/>
      <c r="H473" s="541"/>
      <c r="I473" s="524"/>
      <c r="J473" s="525"/>
      <c r="K473" s="525"/>
      <c r="L473" s="523"/>
      <c r="M473" s="525"/>
    </row>
    <row r="474" spans="1:13" x14ac:dyDescent="0.25">
      <c r="A474" s="523"/>
      <c r="B474" s="574">
        <v>42499</v>
      </c>
      <c r="C474" s="523">
        <v>500</v>
      </c>
      <c r="D474" s="524">
        <v>11.32</v>
      </c>
      <c r="E474" s="525">
        <v>0</v>
      </c>
      <c r="F474" s="525">
        <f t="shared" si="106"/>
        <v>5660</v>
      </c>
      <c r="G474" s="523"/>
      <c r="H474" s="541"/>
      <c r="I474" s="524"/>
      <c r="J474" s="525"/>
      <c r="K474" s="525"/>
      <c r="L474" s="523"/>
      <c r="M474" s="525"/>
    </row>
    <row r="475" spans="1:13" ht="30" x14ac:dyDescent="0.25">
      <c r="A475" s="645" t="s">
        <v>207</v>
      </c>
      <c r="B475" s="574">
        <v>42502</v>
      </c>
      <c r="C475" s="523">
        <v>500</v>
      </c>
      <c r="D475" s="524">
        <v>12.38</v>
      </c>
      <c r="E475" s="525">
        <v>0</v>
      </c>
      <c r="F475" s="525">
        <f t="shared" si="106"/>
        <v>6190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645"/>
      <c r="B476" s="574">
        <v>42502</v>
      </c>
      <c r="C476" s="523">
        <v>500</v>
      </c>
      <c r="D476" s="524">
        <v>12.3</v>
      </c>
      <c r="E476" s="525">
        <v>0</v>
      </c>
      <c r="F476" s="525">
        <f t="shared" si="106"/>
        <v>6150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645"/>
      <c r="B477" s="574">
        <v>42502</v>
      </c>
      <c r="C477" s="523">
        <v>500</v>
      </c>
      <c r="D477" s="524">
        <v>12.23</v>
      </c>
      <c r="E477" s="525">
        <v>0</v>
      </c>
      <c r="F477" s="525">
        <f t="shared" si="106"/>
        <v>6115</v>
      </c>
      <c r="G477" s="523"/>
      <c r="H477" s="541"/>
      <c r="I477" s="524"/>
      <c r="J477" s="525"/>
      <c r="K477" s="525"/>
      <c r="L477" s="523"/>
      <c r="M477" s="525"/>
    </row>
    <row r="478" spans="1:13" x14ac:dyDescent="0.25">
      <c r="A478" s="523"/>
      <c r="B478" s="574">
        <v>42503</v>
      </c>
      <c r="C478" s="523">
        <v>500</v>
      </c>
      <c r="D478" s="524">
        <v>12.41</v>
      </c>
      <c r="E478" s="525">
        <v>0</v>
      </c>
      <c r="F478" s="525">
        <f t="shared" si="106"/>
        <v>6205</v>
      </c>
      <c r="G478" s="523"/>
      <c r="H478" s="541"/>
      <c r="I478" s="524"/>
      <c r="J478" s="525"/>
      <c r="K478" s="525"/>
      <c r="L478" s="523"/>
      <c r="M478" s="525"/>
    </row>
    <row r="479" spans="1:13" x14ac:dyDescent="0.25">
      <c r="A479" s="523"/>
      <c r="B479" s="574">
        <v>42506</v>
      </c>
      <c r="C479" s="523">
        <v>300</v>
      </c>
      <c r="D479" s="524">
        <v>12.8</v>
      </c>
      <c r="E479" s="525">
        <v>0</v>
      </c>
      <c r="F479" s="525">
        <f t="shared" si="106"/>
        <v>3840</v>
      </c>
      <c r="G479" s="523"/>
      <c r="H479" s="541"/>
      <c r="I479" s="524"/>
      <c r="J479" s="525"/>
      <c r="K479" s="525"/>
      <c r="L479" s="523"/>
      <c r="M479" s="525"/>
    </row>
    <row r="480" spans="1:13" x14ac:dyDescent="0.25">
      <c r="A480" s="523"/>
      <c r="B480" s="574">
        <v>42514</v>
      </c>
      <c r="C480" s="523">
        <v>500</v>
      </c>
      <c r="D480" s="524">
        <v>13.02</v>
      </c>
      <c r="E480" s="525">
        <v>-1.65</v>
      </c>
      <c r="F480" s="525">
        <f t="shared" ref="F480:F543" si="107">C480*D480+E480</f>
        <v>6508.35</v>
      </c>
      <c r="G480" s="523"/>
      <c r="H480" s="541"/>
      <c r="I480" s="524"/>
      <c r="J480" s="525"/>
      <c r="K480" s="525"/>
      <c r="L480" s="523"/>
      <c r="M480" s="525"/>
    </row>
    <row r="481" spans="1:13" x14ac:dyDescent="0.25">
      <c r="A481" s="523"/>
      <c r="B481" s="574">
        <v>42515</v>
      </c>
      <c r="C481" s="523">
        <v>500</v>
      </c>
      <c r="D481" s="524">
        <v>13.45</v>
      </c>
      <c r="E481" s="525">
        <v>1</v>
      </c>
      <c r="F481" s="525">
        <f t="shared" si="107"/>
        <v>6726</v>
      </c>
      <c r="G481" s="523"/>
      <c r="H481" s="541"/>
      <c r="I481" s="524"/>
      <c r="J481" s="525"/>
      <c r="K481" s="525"/>
      <c r="L481" s="523"/>
      <c r="M481" s="525"/>
    </row>
    <row r="482" spans="1:13" x14ac:dyDescent="0.25">
      <c r="A482" s="523"/>
      <c r="B482" s="574">
        <v>42516</v>
      </c>
      <c r="C482" s="523">
        <v>500</v>
      </c>
      <c r="D482" s="524">
        <v>13.28</v>
      </c>
      <c r="E482" s="525">
        <v>-1.04</v>
      </c>
      <c r="F482" s="525">
        <f t="shared" si="107"/>
        <v>6638.96</v>
      </c>
      <c r="G482" s="523"/>
      <c r="H482" s="541"/>
      <c r="I482" s="524"/>
      <c r="J482" s="525"/>
      <c r="K482" s="525"/>
      <c r="L482" s="523"/>
      <c r="M482" s="525"/>
    </row>
    <row r="483" spans="1:13" x14ac:dyDescent="0.25">
      <c r="A483" s="523"/>
      <c r="B483" s="574">
        <v>42517</v>
      </c>
      <c r="C483" s="523">
        <v>500</v>
      </c>
      <c r="D483" s="524">
        <v>12.79</v>
      </c>
      <c r="E483" s="525">
        <v>0</v>
      </c>
      <c r="F483" s="525">
        <f t="shared" si="107"/>
        <v>6395</v>
      </c>
      <c r="G483" s="523"/>
      <c r="H483" s="541"/>
      <c r="I483" s="524"/>
      <c r="J483" s="525"/>
      <c r="K483" s="525"/>
      <c r="L483" s="523"/>
      <c r="M483" s="525"/>
    </row>
    <row r="484" spans="1:13" x14ac:dyDescent="0.25">
      <c r="A484" s="523"/>
      <c r="B484" s="574">
        <v>42524</v>
      </c>
      <c r="C484" s="523">
        <v>400</v>
      </c>
      <c r="D484" s="524">
        <v>13.28</v>
      </c>
      <c r="E484" s="525">
        <v>0</v>
      </c>
      <c r="F484" s="525">
        <f t="shared" si="107"/>
        <v>5312</v>
      </c>
      <c r="G484" s="523"/>
      <c r="H484" s="541"/>
      <c r="I484" s="524"/>
      <c r="J484" s="525"/>
      <c r="K484" s="525"/>
      <c r="L484" s="523"/>
      <c r="M484" s="525"/>
    </row>
    <row r="485" spans="1:13" x14ac:dyDescent="0.25">
      <c r="A485" s="523"/>
      <c r="B485" s="574">
        <v>42529</v>
      </c>
      <c r="C485" s="523">
        <v>500</v>
      </c>
      <c r="D485" s="524">
        <v>14.59</v>
      </c>
      <c r="E485" s="525">
        <v>0</v>
      </c>
      <c r="F485" s="525">
        <f t="shared" si="107"/>
        <v>7295</v>
      </c>
      <c r="G485" s="523"/>
      <c r="H485" s="541"/>
      <c r="I485" s="524"/>
      <c r="J485" s="525"/>
      <c r="K485" s="525"/>
      <c r="L485" s="523"/>
      <c r="M485" s="525"/>
    </row>
    <row r="486" spans="1:13" x14ac:dyDescent="0.25">
      <c r="A486" s="523"/>
      <c r="B486" s="574">
        <v>42531</v>
      </c>
      <c r="C486" s="523">
        <v>800</v>
      </c>
      <c r="D486" s="524">
        <v>13.79</v>
      </c>
      <c r="E486" s="525">
        <v>0</v>
      </c>
      <c r="F486" s="525">
        <f t="shared" si="107"/>
        <v>11032</v>
      </c>
      <c r="G486" s="523"/>
      <c r="H486" s="541"/>
      <c r="I486" s="524"/>
      <c r="J486" s="525"/>
      <c r="K486" s="525"/>
      <c r="L486" s="523"/>
      <c r="M486" s="525"/>
    </row>
    <row r="487" spans="1:13" x14ac:dyDescent="0.25">
      <c r="A487" s="523"/>
      <c r="B487" s="574">
        <v>42531</v>
      </c>
      <c r="C487" s="523">
        <v>300</v>
      </c>
      <c r="D487" s="524">
        <v>13.4</v>
      </c>
      <c r="E487" s="525">
        <v>0</v>
      </c>
      <c r="F487" s="525">
        <f t="shared" si="107"/>
        <v>4020</v>
      </c>
      <c r="G487" s="523"/>
      <c r="H487" s="541"/>
      <c r="I487" s="524"/>
      <c r="J487" s="525"/>
      <c r="K487" s="525"/>
      <c r="L487" s="523"/>
      <c r="M487" s="525"/>
    </row>
    <row r="488" spans="1:13" x14ac:dyDescent="0.25">
      <c r="A488" s="523"/>
      <c r="B488" s="574">
        <v>42535</v>
      </c>
      <c r="C488" s="523">
        <v>400</v>
      </c>
      <c r="D488" s="524">
        <v>12.85</v>
      </c>
      <c r="E488" s="525">
        <v>0</v>
      </c>
      <c r="F488" s="525">
        <f t="shared" si="107"/>
        <v>5140</v>
      </c>
      <c r="G488" s="523"/>
      <c r="H488" s="541"/>
      <c r="I488" s="524"/>
      <c r="J488" s="525"/>
      <c r="K488" s="525"/>
      <c r="L488" s="523"/>
      <c r="M488" s="525"/>
    </row>
    <row r="489" spans="1:13" x14ac:dyDescent="0.25">
      <c r="A489" s="523"/>
      <c r="B489" s="574">
        <v>42537</v>
      </c>
      <c r="C489" s="523">
        <v>400</v>
      </c>
      <c r="D489" s="524">
        <v>12.43</v>
      </c>
      <c r="E489" s="525">
        <v>-0.04</v>
      </c>
      <c r="F489" s="525">
        <f t="shared" si="107"/>
        <v>4971.96</v>
      </c>
      <c r="G489" s="523"/>
      <c r="H489" s="541"/>
      <c r="I489" s="524"/>
      <c r="J489" s="525"/>
      <c r="K489" s="525"/>
      <c r="L489" s="523"/>
      <c r="M489" s="525"/>
    </row>
    <row r="490" spans="1:13" x14ac:dyDescent="0.25">
      <c r="A490" s="523"/>
      <c r="B490" s="574">
        <v>42538</v>
      </c>
      <c r="C490" s="523">
        <v>500</v>
      </c>
      <c r="D490" s="524">
        <v>13.14</v>
      </c>
      <c r="E490" s="525">
        <v>0</v>
      </c>
      <c r="F490" s="525">
        <f t="shared" si="107"/>
        <v>6570</v>
      </c>
      <c r="G490" s="523"/>
      <c r="H490" s="541"/>
      <c r="I490" s="524"/>
      <c r="J490" s="525"/>
      <c r="K490" s="525"/>
      <c r="L490" s="523"/>
      <c r="M490" s="525"/>
    </row>
    <row r="491" spans="1:13" x14ac:dyDescent="0.25">
      <c r="A491" s="523"/>
      <c r="B491" s="574">
        <v>42543</v>
      </c>
      <c r="C491" s="523">
        <v>500</v>
      </c>
      <c r="D491" s="524">
        <v>14.75</v>
      </c>
      <c r="E491" s="525">
        <v>0</v>
      </c>
      <c r="F491" s="525">
        <f t="shared" si="107"/>
        <v>7375</v>
      </c>
      <c r="G491" s="522">
        <v>42544</v>
      </c>
      <c r="H491" s="541">
        <v>500</v>
      </c>
      <c r="I491" s="524">
        <v>15.24</v>
      </c>
      <c r="J491" s="525">
        <v>0.17</v>
      </c>
      <c r="K491" s="525">
        <f>H491*I491-J491</f>
        <v>7619.83</v>
      </c>
      <c r="L491" s="523"/>
      <c r="M491" s="525"/>
    </row>
    <row r="492" spans="1:13" x14ac:dyDescent="0.25">
      <c r="A492" s="523"/>
      <c r="B492" s="574">
        <v>42545</v>
      </c>
      <c r="C492" s="523">
        <v>878</v>
      </c>
      <c r="D492" s="524">
        <v>14.41</v>
      </c>
      <c r="E492" s="525">
        <v>0</v>
      </c>
      <c r="F492" s="525">
        <f t="shared" si="107"/>
        <v>12651.98</v>
      </c>
      <c r="G492" s="523"/>
      <c r="H492" s="541"/>
      <c r="I492" s="524"/>
      <c r="J492" s="525"/>
      <c r="K492" s="525"/>
      <c r="L492" s="523"/>
      <c r="M492" s="525"/>
    </row>
    <row r="493" spans="1:13" x14ac:dyDescent="0.25">
      <c r="A493" s="523"/>
      <c r="B493" s="574">
        <v>42545</v>
      </c>
      <c r="C493" s="523">
        <v>335</v>
      </c>
      <c r="D493" s="524">
        <v>14.08</v>
      </c>
      <c r="E493" s="525">
        <v>0</v>
      </c>
      <c r="F493" s="525">
        <f t="shared" si="107"/>
        <v>4716.8</v>
      </c>
      <c r="G493" s="523"/>
      <c r="H493" s="541"/>
      <c r="I493" s="524"/>
      <c r="J493" s="525"/>
      <c r="K493" s="525"/>
      <c r="L493" s="523"/>
      <c r="M493" s="525"/>
    </row>
    <row r="494" spans="1:13" x14ac:dyDescent="0.25">
      <c r="A494" s="523"/>
      <c r="B494" s="574">
        <v>42548</v>
      </c>
      <c r="C494" s="523">
        <v>965</v>
      </c>
      <c r="D494" s="524">
        <v>13.81</v>
      </c>
      <c r="E494" s="525">
        <v>0</v>
      </c>
      <c r="F494" s="525">
        <f t="shared" si="107"/>
        <v>13326.65</v>
      </c>
      <c r="G494" s="523"/>
      <c r="H494" s="541"/>
      <c r="I494" s="524"/>
      <c r="J494" s="525"/>
      <c r="K494" s="525"/>
      <c r="L494" s="523"/>
      <c r="M494" s="525"/>
    </row>
    <row r="495" spans="1:13" ht="15" customHeight="1" x14ac:dyDescent="0.25">
      <c r="A495" s="523"/>
      <c r="B495" s="574">
        <v>42548</v>
      </c>
      <c r="C495" s="523">
        <v>300</v>
      </c>
      <c r="D495" s="524">
        <v>13.58</v>
      </c>
      <c r="E495" s="525">
        <v>0</v>
      </c>
      <c r="F495" s="525">
        <f t="shared" si="107"/>
        <v>4074</v>
      </c>
      <c r="G495" s="522">
        <v>42549</v>
      </c>
      <c r="H495" s="541">
        <v>1100</v>
      </c>
      <c r="I495" s="524">
        <v>14.68</v>
      </c>
      <c r="J495" s="525">
        <v>0.35</v>
      </c>
      <c r="K495" s="525">
        <f t="shared" ref="K495:K580" si="108">H495*I495-J495</f>
        <v>16147.65</v>
      </c>
      <c r="L495" s="523"/>
      <c r="M495" s="525"/>
    </row>
    <row r="496" spans="1:13" ht="45" x14ac:dyDescent="0.25">
      <c r="A496" s="523"/>
      <c r="B496" s="574">
        <v>42556</v>
      </c>
      <c r="C496" s="523">
        <v>2178</v>
      </c>
      <c r="D496" s="524">
        <v>15.08</v>
      </c>
      <c r="E496" s="525">
        <v>0</v>
      </c>
      <c r="F496" s="525">
        <f t="shared" si="107"/>
        <v>32844.239999999998</v>
      </c>
      <c r="G496" s="641" t="s">
        <v>231</v>
      </c>
      <c r="H496" s="541">
        <v>500</v>
      </c>
      <c r="I496" s="524">
        <v>15.48</v>
      </c>
      <c r="J496" s="525">
        <v>0.17</v>
      </c>
      <c r="K496" s="525">
        <f t="shared" si="108"/>
        <v>7739.83</v>
      </c>
      <c r="L496" s="523"/>
      <c r="M496" s="525"/>
    </row>
    <row r="497" spans="1:13" x14ac:dyDescent="0.25">
      <c r="A497" s="523"/>
      <c r="B497" s="574">
        <v>42556</v>
      </c>
      <c r="C497" s="523">
        <v>500</v>
      </c>
      <c r="D497" s="524">
        <v>14.62</v>
      </c>
      <c r="E497" s="525">
        <v>0</v>
      </c>
      <c r="F497" s="525">
        <f t="shared" si="107"/>
        <v>7310</v>
      </c>
      <c r="G497" s="641"/>
      <c r="H497" s="541">
        <v>378</v>
      </c>
      <c r="I497" s="524">
        <v>15.65</v>
      </c>
      <c r="J497" s="525">
        <v>0.13</v>
      </c>
      <c r="K497" s="525">
        <f t="shared" si="108"/>
        <v>5915.57</v>
      </c>
      <c r="L497" s="523"/>
      <c r="M497" s="525"/>
    </row>
    <row r="498" spans="1:13" x14ac:dyDescent="0.25">
      <c r="A498" s="523"/>
      <c r="B498" s="574">
        <v>42557</v>
      </c>
      <c r="C498" s="523">
        <v>500</v>
      </c>
      <c r="D498" s="524">
        <v>14.78</v>
      </c>
      <c r="E498" s="525">
        <v>0</v>
      </c>
      <c r="F498" s="525">
        <f t="shared" si="107"/>
        <v>7390</v>
      </c>
      <c r="G498" s="641"/>
      <c r="H498" s="541">
        <v>500</v>
      </c>
      <c r="I498" s="524">
        <v>15.51</v>
      </c>
      <c r="J498" s="525">
        <v>0.17</v>
      </c>
      <c r="K498" s="525">
        <f t="shared" si="108"/>
        <v>7754.83</v>
      </c>
      <c r="L498" s="523"/>
      <c r="M498" s="525"/>
    </row>
    <row r="499" spans="1:13" x14ac:dyDescent="0.25">
      <c r="A499" s="523"/>
      <c r="B499" s="627">
        <v>42564</v>
      </c>
      <c r="C499" s="523">
        <v>320</v>
      </c>
      <c r="D499" s="524">
        <v>15.48</v>
      </c>
      <c r="E499" s="525">
        <v>0</v>
      </c>
      <c r="F499" s="525">
        <f t="shared" si="107"/>
        <v>4953.6000000000004</v>
      </c>
      <c r="G499" s="641"/>
      <c r="H499" s="541">
        <v>800</v>
      </c>
      <c r="I499" s="524">
        <v>15.78</v>
      </c>
      <c r="J499" s="525">
        <v>0.28000000000000003</v>
      </c>
      <c r="K499" s="525">
        <f t="shared" si="108"/>
        <v>12623.72</v>
      </c>
      <c r="L499" s="523"/>
      <c r="M499" s="525"/>
    </row>
    <row r="500" spans="1:13" x14ac:dyDescent="0.25">
      <c r="A500" s="628"/>
      <c r="B500" s="627">
        <v>42564</v>
      </c>
      <c r="C500" s="523">
        <v>160</v>
      </c>
      <c r="D500" s="524">
        <v>15.48</v>
      </c>
      <c r="E500" s="525">
        <v>0</v>
      </c>
      <c r="F500" s="525">
        <f t="shared" si="107"/>
        <v>2476.8000000000002</v>
      </c>
      <c r="G500" s="522">
        <v>42557</v>
      </c>
      <c r="H500" s="541">
        <v>500</v>
      </c>
      <c r="I500" s="524">
        <v>14.92</v>
      </c>
      <c r="J500" s="525">
        <v>0.16</v>
      </c>
      <c r="K500" s="525">
        <f t="shared" si="108"/>
        <v>7459.84</v>
      </c>
      <c r="L500" s="523"/>
      <c r="M500" s="525"/>
    </row>
    <row r="501" spans="1:13" x14ac:dyDescent="0.25">
      <c r="A501" s="628"/>
      <c r="B501" s="574">
        <v>42570</v>
      </c>
      <c r="C501" s="523">
        <v>200</v>
      </c>
      <c r="D501" s="524">
        <v>15.18</v>
      </c>
      <c r="E501" s="525">
        <v>0</v>
      </c>
      <c r="F501" s="525">
        <f t="shared" si="107"/>
        <v>3036</v>
      </c>
      <c r="G501" s="522">
        <v>42564</v>
      </c>
      <c r="H501" s="541">
        <v>420</v>
      </c>
      <c r="I501" s="524">
        <v>15.68</v>
      </c>
      <c r="J501" s="525">
        <v>0.14000000000000001</v>
      </c>
      <c r="K501" s="525">
        <f t="shared" si="108"/>
        <v>6585.4599999999991</v>
      </c>
      <c r="L501" s="523"/>
      <c r="M501" s="525"/>
    </row>
    <row r="502" spans="1:13" x14ac:dyDescent="0.25">
      <c r="A502" s="628"/>
      <c r="B502" s="574">
        <v>42570</v>
      </c>
      <c r="C502" s="523">
        <v>200</v>
      </c>
      <c r="D502" s="524">
        <v>14.68</v>
      </c>
      <c r="E502" s="525">
        <v>0</v>
      </c>
      <c r="F502" s="525">
        <f t="shared" si="107"/>
        <v>2936</v>
      </c>
      <c r="G502" s="522">
        <v>42571</v>
      </c>
      <c r="H502" s="541">
        <v>200</v>
      </c>
      <c r="I502" s="524">
        <v>14.82</v>
      </c>
      <c r="J502" s="525">
        <v>0.06</v>
      </c>
      <c r="K502" s="525">
        <f t="shared" si="108"/>
        <v>2963.94</v>
      </c>
      <c r="L502" s="523"/>
      <c r="M502" s="525"/>
    </row>
    <row r="503" spans="1:13" x14ac:dyDescent="0.25">
      <c r="A503" s="523"/>
      <c r="B503" s="574">
        <v>42571</v>
      </c>
      <c r="C503" s="523">
        <v>200</v>
      </c>
      <c r="D503" s="524">
        <v>14.33</v>
      </c>
      <c r="E503" s="525">
        <v>-1</v>
      </c>
      <c r="F503" s="525">
        <f t="shared" si="107"/>
        <v>2865</v>
      </c>
      <c r="G503" s="522">
        <v>42572</v>
      </c>
      <c r="H503" s="541">
        <v>200</v>
      </c>
      <c r="I503" s="524">
        <v>14.8</v>
      </c>
      <c r="J503" s="525">
        <v>0.06</v>
      </c>
      <c r="K503" s="525">
        <f t="shared" si="108"/>
        <v>2959.94</v>
      </c>
      <c r="L503" s="523"/>
      <c r="M503" s="525"/>
    </row>
    <row r="504" spans="1:13" x14ac:dyDescent="0.25">
      <c r="A504" s="523"/>
      <c r="B504" s="574">
        <v>42572</v>
      </c>
      <c r="C504" s="523">
        <v>60</v>
      </c>
      <c r="D504" s="524">
        <v>14.58</v>
      </c>
      <c r="E504" s="525">
        <v>0</v>
      </c>
      <c r="F504" s="525">
        <f t="shared" si="107"/>
        <v>874.8</v>
      </c>
      <c r="G504" s="522">
        <v>42577</v>
      </c>
      <c r="H504" s="541">
        <v>200</v>
      </c>
      <c r="I504" s="524">
        <v>13.78</v>
      </c>
      <c r="J504" s="525">
        <v>0.06</v>
      </c>
      <c r="K504" s="525">
        <f t="shared" si="108"/>
        <v>2755.94</v>
      </c>
      <c r="L504" s="523"/>
      <c r="M504" s="525"/>
    </row>
    <row r="505" spans="1:13" x14ac:dyDescent="0.25">
      <c r="A505" s="523"/>
      <c r="B505" s="574">
        <v>42572</v>
      </c>
      <c r="C505" s="523">
        <v>140</v>
      </c>
      <c r="D505" s="524">
        <v>14.65</v>
      </c>
      <c r="E505" s="525">
        <v>0</v>
      </c>
      <c r="F505" s="525">
        <f t="shared" si="107"/>
        <v>2051</v>
      </c>
      <c r="G505" s="522">
        <v>42580</v>
      </c>
      <c r="H505" s="541">
        <v>200</v>
      </c>
      <c r="I505" s="524">
        <v>13.224</v>
      </c>
      <c r="J505" s="525">
        <v>0.08</v>
      </c>
      <c r="K505" s="525">
        <f t="shared" si="108"/>
        <v>2644.7200000000003</v>
      </c>
      <c r="L505" s="523"/>
      <c r="M505" s="525"/>
    </row>
    <row r="506" spans="1:13" x14ac:dyDescent="0.25">
      <c r="A506" s="523"/>
      <c r="B506" s="574">
        <v>42573</v>
      </c>
      <c r="C506" s="523">
        <v>140</v>
      </c>
      <c r="D506" s="524">
        <v>14.08</v>
      </c>
      <c r="E506" s="525">
        <v>0</v>
      </c>
      <c r="F506" s="525">
        <f t="shared" si="107"/>
        <v>1971.2</v>
      </c>
      <c r="G506" s="522">
        <v>42580</v>
      </c>
      <c r="H506" s="541">
        <v>200</v>
      </c>
      <c r="I506" s="524">
        <v>13.58</v>
      </c>
      <c r="J506" s="525">
        <v>0.06</v>
      </c>
      <c r="K506" s="525">
        <f t="shared" si="108"/>
        <v>2715.94</v>
      </c>
      <c r="L506" s="523"/>
      <c r="M506" s="525"/>
    </row>
    <row r="507" spans="1:13" x14ac:dyDescent="0.25">
      <c r="A507" s="523"/>
      <c r="B507" s="574">
        <v>42576</v>
      </c>
      <c r="C507" s="523">
        <v>200</v>
      </c>
      <c r="D507" s="524">
        <v>13.55</v>
      </c>
      <c r="E507" s="525">
        <v>0</v>
      </c>
      <c r="F507" s="525">
        <f t="shared" si="107"/>
        <v>2710</v>
      </c>
      <c r="G507" s="522">
        <v>42586</v>
      </c>
      <c r="H507" s="541">
        <v>400</v>
      </c>
      <c r="I507" s="524">
        <v>13.78</v>
      </c>
      <c r="J507" s="525">
        <v>0.12</v>
      </c>
      <c r="K507" s="525">
        <f t="shared" si="108"/>
        <v>5511.88</v>
      </c>
      <c r="L507" s="523"/>
      <c r="M507" s="525"/>
    </row>
    <row r="508" spans="1:13" x14ac:dyDescent="0.25">
      <c r="A508" s="523"/>
      <c r="B508" s="574">
        <v>42578</v>
      </c>
      <c r="C508" s="523">
        <v>200</v>
      </c>
      <c r="D508" s="524">
        <v>13.18</v>
      </c>
      <c r="E508" s="525">
        <v>0</v>
      </c>
      <c r="F508" s="525">
        <f t="shared" si="107"/>
        <v>2636</v>
      </c>
      <c r="G508" s="522">
        <v>42586</v>
      </c>
      <c r="H508" s="541">
        <v>400</v>
      </c>
      <c r="I508" s="524">
        <v>13.72</v>
      </c>
      <c r="J508" s="525">
        <v>0.12</v>
      </c>
      <c r="K508" s="525">
        <f t="shared" si="108"/>
        <v>5487.88</v>
      </c>
      <c r="L508" s="523"/>
      <c r="M508" s="525"/>
    </row>
    <row r="509" spans="1:13" x14ac:dyDescent="0.25">
      <c r="A509" s="523"/>
      <c r="B509" s="574">
        <v>42580</v>
      </c>
      <c r="C509" s="523">
        <v>200</v>
      </c>
      <c r="D509" s="524">
        <v>13.15</v>
      </c>
      <c r="E509" s="525">
        <v>0</v>
      </c>
      <c r="F509" s="525">
        <f t="shared" si="107"/>
        <v>2630</v>
      </c>
      <c r="G509" s="522">
        <v>42586</v>
      </c>
      <c r="H509" s="541">
        <v>140</v>
      </c>
      <c r="I509" s="524">
        <v>13.88</v>
      </c>
      <c r="J509" s="525">
        <v>0.04</v>
      </c>
      <c r="K509" s="525">
        <f t="shared" si="108"/>
        <v>1943.16</v>
      </c>
      <c r="L509" s="523"/>
      <c r="M509" s="525"/>
    </row>
    <row r="510" spans="1:13" x14ac:dyDescent="0.25">
      <c r="A510" s="523"/>
      <c r="B510" s="574">
        <v>42583</v>
      </c>
      <c r="C510" s="624">
        <v>20</v>
      </c>
      <c r="D510" s="524">
        <v>13.02</v>
      </c>
      <c r="E510" s="525">
        <v>0</v>
      </c>
      <c r="F510" s="525">
        <f t="shared" si="107"/>
        <v>260.39999999999998</v>
      </c>
      <c r="G510" s="522">
        <v>42593</v>
      </c>
      <c r="H510" s="541">
        <v>460</v>
      </c>
      <c r="I510" s="524">
        <v>14.59</v>
      </c>
      <c r="J510" s="525">
        <v>0.15</v>
      </c>
      <c r="K510" s="525">
        <f t="shared" si="108"/>
        <v>6711.25</v>
      </c>
      <c r="L510" s="523"/>
      <c r="M510" s="525"/>
    </row>
    <row r="511" spans="1:13" x14ac:dyDescent="0.25">
      <c r="A511" s="523"/>
      <c r="B511" s="574">
        <v>42583</v>
      </c>
      <c r="C511" s="523">
        <v>180</v>
      </c>
      <c r="D511" s="524">
        <v>13.02</v>
      </c>
      <c r="E511" s="525">
        <v>0</v>
      </c>
      <c r="F511" s="525">
        <f t="shared" si="107"/>
        <v>2343.6</v>
      </c>
      <c r="G511" s="522">
        <v>42594</v>
      </c>
      <c r="H511" s="541">
        <v>500</v>
      </c>
      <c r="I511" s="524">
        <v>14.88</v>
      </c>
      <c r="J511" s="525">
        <v>0.16</v>
      </c>
      <c r="K511" s="525">
        <f t="shared" si="108"/>
        <v>7439.84</v>
      </c>
      <c r="L511" s="523"/>
      <c r="M511" s="525"/>
    </row>
    <row r="512" spans="1:13" x14ac:dyDescent="0.25">
      <c r="A512" s="523"/>
      <c r="B512" s="574">
        <v>42584</v>
      </c>
      <c r="C512" s="523">
        <v>120</v>
      </c>
      <c r="D512" s="524">
        <v>12.68</v>
      </c>
      <c r="E512" s="525">
        <v>0</v>
      </c>
      <c r="F512" s="525">
        <f t="shared" si="107"/>
        <v>1521.6</v>
      </c>
      <c r="G512" s="522">
        <v>42598</v>
      </c>
      <c r="H512" s="541">
        <v>500</v>
      </c>
      <c r="I512" s="524">
        <v>15.18</v>
      </c>
      <c r="J512" s="525">
        <v>0.17</v>
      </c>
      <c r="K512" s="525">
        <f t="shared" si="108"/>
        <v>7589.83</v>
      </c>
      <c r="L512" s="523"/>
      <c r="M512" s="525"/>
    </row>
    <row r="513" spans="1:13" x14ac:dyDescent="0.25">
      <c r="A513" s="523"/>
      <c r="B513" s="574">
        <v>42584</v>
      </c>
      <c r="C513" s="523">
        <v>80</v>
      </c>
      <c r="D513" s="524">
        <v>12.68</v>
      </c>
      <c r="E513" s="525">
        <v>0</v>
      </c>
      <c r="F513" s="525">
        <f t="shared" si="107"/>
        <v>1014.4</v>
      </c>
      <c r="G513" s="522">
        <v>42599</v>
      </c>
      <c r="H513" s="541">
        <v>500</v>
      </c>
      <c r="I513" s="524">
        <v>15.18</v>
      </c>
      <c r="J513" s="525">
        <v>0.17</v>
      </c>
      <c r="K513" s="525">
        <f t="shared" si="108"/>
        <v>7589.83</v>
      </c>
      <c r="L513" s="523"/>
      <c r="M513" s="525"/>
    </row>
    <row r="514" spans="1:13" x14ac:dyDescent="0.25">
      <c r="A514" s="523"/>
      <c r="B514" s="574">
        <v>42585</v>
      </c>
      <c r="C514" s="523">
        <v>242</v>
      </c>
      <c r="D514" s="524">
        <v>13.38</v>
      </c>
      <c r="E514" s="525">
        <v>0</v>
      </c>
      <c r="F514" s="525">
        <f t="shared" si="107"/>
        <v>3237.96</v>
      </c>
      <c r="G514" s="522">
        <v>42599</v>
      </c>
      <c r="H514" s="541">
        <v>500</v>
      </c>
      <c r="I514" s="524">
        <v>15.41</v>
      </c>
      <c r="J514" s="525">
        <v>0.17</v>
      </c>
      <c r="K514" s="525">
        <f t="shared" si="108"/>
        <v>7704.83</v>
      </c>
      <c r="L514" s="523"/>
      <c r="M514" s="525"/>
    </row>
    <row r="515" spans="1:13" x14ac:dyDescent="0.25">
      <c r="A515" s="523"/>
      <c r="B515" s="574">
        <v>42585</v>
      </c>
      <c r="C515" s="523">
        <v>158</v>
      </c>
      <c r="D515" s="524">
        <v>13.38</v>
      </c>
      <c r="E515" s="525">
        <v>0</v>
      </c>
      <c r="F515" s="525">
        <f t="shared" si="107"/>
        <v>2114.04</v>
      </c>
      <c r="G515" s="522">
        <v>42599</v>
      </c>
      <c r="H515" s="541">
        <v>500</v>
      </c>
      <c r="I515" s="524">
        <v>15.65</v>
      </c>
      <c r="J515" s="525">
        <v>0.17</v>
      </c>
      <c r="K515" s="525">
        <f t="shared" si="108"/>
        <v>7824.83</v>
      </c>
      <c r="L515" s="523"/>
      <c r="M515" s="525"/>
    </row>
    <row r="516" spans="1:13" ht="45" x14ac:dyDescent="0.25">
      <c r="A516" s="523"/>
      <c r="B516" s="574">
        <v>42594</v>
      </c>
      <c r="C516" s="523">
        <v>500</v>
      </c>
      <c r="D516" s="524">
        <v>14.65</v>
      </c>
      <c r="E516" s="525">
        <v>0</v>
      </c>
      <c r="F516" s="525">
        <f t="shared" si="107"/>
        <v>7325</v>
      </c>
      <c r="G516" s="646" t="s">
        <v>264</v>
      </c>
      <c r="H516" s="541">
        <v>500</v>
      </c>
      <c r="I516" s="524">
        <v>16.18</v>
      </c>
      <c r="J516" s="525">
        <v>0.18</v>
      </c>
      <c r="K516" s="525">
        <f t="shared" si="108"/>
        <v>8089.82</v>
      </c>
      <c r="L516" s="523"/>
      <c r="M516" s="525"/>
    </row>
    <row r="517" spans="1:13" x14ac:dyDescent="0.25">
      <c r="A517" s="523"/>
      <c r="B517" s="574">
        <v>42599</v>
      </c>
      <c r="C517" s="523">
        <v>242</v>
      </c>
      <c r="D517" s="524">
        <v>14.95</v>
      </c>
      <c r="E517" s="525">
        <v>0</v>
      </c>
      <c r="F517" s="525">
        <f t="shared" si="107"/>
        <v>3617.8999999999996</v>
      </c>
      <c r="G517" s="646"/>
      <c r="H517" s="541">
        <v>500</v>
      </c>
      <c r="I517" s="524">
        <v>16.38</v>
      </c>
      <c r="J517" s="525">
        <v>0.18</v>
      </c>
      <c r="K517" s="525">
        <f t="shared" si="108"/>
        <v>8189.8199999999988</v>
      </c>
      <c r="L517" s="523"/>
      <c r="M517" s="525"/>
    </row>
    <row r="518" spans="1:13" x14ac:dyDescent="0.25">
      <c r="A518" s="523"/>
      <c r="B518" s="574">
        <v>42599</v>
      </c>
      <c r="C518" s="523">
        <v>200</v>
      </c>
      <c r="D518" s="524">
        <v>14.95</v>
      </c>
      <c r="E518" s="525">
        <v>0</v>
      </c>
      <c r="F518" s="525">
        <f t="shared" si="107"/>
        <v>2990</v>
      </c>
      <c r="G518" s="646"/>
      <c r="H518" s="541">
        <v>178</v>
      </c>
      <c r="I518" s="524">
        <v>16.5</v>
      </c>
      <c r="J518" s="525">
        <v>0.06</v>
      </c>
      <c r="K518" s="525">
        <f t="shared" si="108"/>
        <v>2936.94</v>
      </c>
      <c r="L518" s="523"/>
      <c r="M518" s="525"/>
    </row>
    <row r="519" spans="1:13" x14ac:dyDescent="0.25">
      <c r="A519" s="523"/>
      <c r="B519" s="574">
        <v>42599</v>
      </c>
      <c r="C519" s="523">
        <v>36</v>
      </c>
      <c r="D519" s="524">
        <v>14.95</v>
      </c>
      <c r="E519" s="525">
        <v>0</v>
      </c>
      <c r="F519" s="525">
        <f t="shared" si="107"/>
        <v>538.19999999999993</v>
      </c>
      <c r="G519" s="646"/>
      <c r="H519" s="541">
        <v>500</v>
      </c>
      <c r="I519" s="524">
        <v>16.72</v>
      </c>
      <c r="J519" s="525">
        <v>0.18</v>
      </c>
      <c r="K519" s="525">
        <f t="shared" si="108"/>
        <v>8359.82</v>
      </c>
      <c r="L519" s="523"/>
      <c r="M519" s="525"/>
    </row>
    <row r="520" spans="1:13" x14ac:dyDescent="0.25">
      <c r="A520" s="523"/>
      <c r="B520" s="574">
        <v>42599</v>
      </c>
      <c r="C520" s="523">
        <v>22</v>
      </c>
      <c r="D520" s="524">
        <v>14.95</v>
      </c>
      <c r="E520" s="525">
        <v>0</v>
      </c>
      <c r="F520" s="525">
        <f t="shared" si="107"/>
        <v>328.9</v>
      </c>
      <c r="G520" s="522">
        <v>42601</v>
      </c>
      <c r="H520" s="541">
        <v>500</v>
      </c>
      <c r="I520" s="524">
        <v>16.82</v>
      </c>
      <c r="J520" s="525">
        <v>0.18</v>
      </c>
      <c r="K520" s="525">
        <f t="shared" si="108"/>
        <v>8409.82</v>
      </c>
      <c r="L520" s="523"/>
      <c r="M520" s="525"/>
    </row>
    <row r="521" spans="1:13" x14ac:dyDescent="0.25">
      <c r="A521" s="523"/>
      <c r="B521" s="574">
        <v>42604</v>
      </c>
      <c r="C521" s="523">
        <v>1000</v>
      </c>
      <c r="D521" s="524">
        <v>15.68</v>
      </c>
      <c r="E521" s="525">
        <v>0</v>
      </c>
      <c r="F521" s="525">
        <f t="shared" si="107"/>
        <v>15680</v>
      </c>
      <c r="G521" s="522">
        <v>42605</v>
      </c>
      <c r="H521" s="541">
        <v>500</v>
      </c>
      <c r="I521" s="524">
        <v>15.98</v>
      </c>
      <c r="J521" s="525">
        <v>0.17</v>
      </c>
      <c r="K521" s="525">
        <f t="shared" si="108"/>
        <v>7989.83</v>
      </c>
      <c r="L521" s="523"/>
      <c r="M521" s="525"/>
    </row>
    <row r="522" spans="1:13" x14ac:dyDescent="0.25">
      <c r="A522" s="523"/>
      <c r="B522" s="574">
        <v>42604</v>
      </c>
      <c r="C522" s="523">
        <v>500</v>
      </c>
      <c r="D522" s="524">
        <v>15.48</v>
      </c>
      <c r="E522" s="525">
        <v>0</v>
      </c>
      <c r="F522" s="525">
        <f t="shared" si="107"/>
        <v>7740</v>
      </c>
      <c r="G522" s="522">
        <v>42605</v>
      </c>
      <c r="H522" s="541">
        <v>500</v>
      </c>
      <c r="I522" s="524">
        <v>16.25</v>
      </c>
      <c r="J522" s="525">
        <v>0.18</v>
      </c>
      <c r="K522" s="525">
        <f t="shared" si="108"/>
        <v>8124.82</v>
      </c>
      <c r="L522" s="523"/>
      <c r="M522" s="525"/>
    </row>
    <row r="523" spans="1:13" x14ac:dyDescent="0.25">
      <c r="A523" s="523"/>
      <c r="B523" s="574">
        <v>42606</v>
      </c>
      <c r="C523" s="523">
        <v>178</v>
      </c>
      <c r="D523" s="524">
        <v>16.059999999999999</v>
      </c>
      <c r="E523" s="525">
        <v>0</v>
      </c>
      <c r="F523" s="525">
        <f t="shared" si="107"/>
        <v>2858.68</v>
      </c>
      <c r="G523" s="522">
        <v>42605</v>
      </c>
      <c r="H523" s="541">
        <v>500</v>
      </c>
      <c r="I523" s="524">
        <v>16.48</v>
      </c>
      <c r="J523" s="525">
        <v>0.18</v>
      </c>
      <c r="K523" s="525">
        <f t="shared" si="108"/>
        <v>8239.82</v>
      </c>
      <c r="L523" s="523"/>
      <c r="M523" s="525"/>
    </row>
    <row r="524" spans="1:13" x14ac:dyDescent="0.25">
      <c r="A524" s="523"/>
      <c r="B524" s="574">
        <v>42608</v>
      </c>
      <c r="C524" s="523">
        <v>500</v>
      </c>
      <c r="D524" s="524">
        <v>15.98</v>
      </c>
      <c r="E524" s="525">
        <v>0</v>
      </c>
      <c r="F524" s="525">
        <f t="shared" si="107"/>
        <v>7990</v>
      </c>
      <c r="G524" s="522">
        <v>42615</v>
      </c>
      <c r="H524" s="541">
        <v>500</v>
      </c>
      <c r="I524" s="524">
        <v>15.65</v>
      </c>
      <c r="J524" s="525">
        <v>0.17</v>
      </c>
      <c r="K524" s="525">
        <f t="shared" si="108"/>
        <v>7824.83</v>
      </c>
      <c r="L524" s="523"/>
      <c r="M524" s="525"/>
    </row>
    <row r="525" spans="1:13" ht="30" x14ac:dyDescent="0.25">
      <c r="A525" s="523"/>
      <c r="B525" s="574">
        <v>42608</v>
      </c>
      <c r="C525" s="523">
        <v>500</v>
      </c>
      <c r="D525" s="524">
        <v>15.85</v>
      </c>
      <c r="E525" s="525">
        <v>0</v>
      </c>
      <c r="F525" s="525">
        <f t="shared" si="107"/>
        <v>7925</v>
      </c>
      <c r="G525" s="522">
        <v>42621</v>
      </c>
      <c r="H525" s="541">
        <v>500</v>
      </c>
      <c r="I525" s="524">
        <v>16.72</v>
      </c>
      <c r="J525" s="525">
        <v>0.18</v>
      </c>
      <c r="K525" s="525">
        <f t="shared" si="108"/>
        <v>8359.82</v>
      </c>
      <c r="L525" s="647" t="s">
        <v>277</v>
      </c>
      <c r="M525" s="525"/>
    </row>
    <row r="526" spans="1:13" x14ac:dyDescent="0.25">
      <c r="A526" s="523"/>
      <c r="B526" s="574">
        <v>42612</v>
      </c>
      <c r="C526" s="523">
        <v>500</v>
      </c>
      <c r="D526" s="524">
        <v>15.68</v>
      </c>
      <c r="E526" s="525">
        <v>0</v>
      </c>
      <c r="F526" s="525">
        <f t="shared" si="107"/>
        <v>7840</v>
      </c>
      <c r="G526" s="522">
        <v>42621</v>
      </c>
      <c r="H526" s="541">
        <v>500</v>
      </c>
      <c r="I526" s="524">
        <v>16.28</v>
      </c>
      <c r="J526" s="525">
        <v>0.18</v>
      </c>
      <c r="K526" s="525">
        <f t="shared" si="108"/>
        <v>8139.8200000000006</v>
      </c>
      <c r="L526" s="647"/>
      <c r="M526" s="525"/>
    </row>
    <row r="527" spans="1:13" x14ac:dyDescent="0.25">
      <c r="A527" s="523"/>
      <c r="B527" s="574">
        <v>42612</v>
      </c>
      <c r="C527" s="523">
        <v>500</v>
      </c>
      <c r="D527" s="524">
        <v>15.55</v>
      </c>
      <c r="E527" s="525">
        <v>0</v>
      </c>
      <c r="F527" s="525">
        <f t="shared" si="107"/>
        <v>7775</v>
      </c>
      <c r="G527" s="522">
        <v>42621</v>
      </c>
      <c r="H527" s="541">
        <v>220</v>
      </c>
      <c r="I527" s="524">
        <v>16.77</v>
      </c>
      <c r="J527" s="525">
        <v>0.08</v>
      </c>
      <c r="K527" s="525">
        <f t="shared" si="108"/>
        <v>3689.32</v>
      </c>
      <c r="L527" s="647"/>
      <c r="M527" s="525"/>
    </row>
    <row r="528" spans="1:13" x14ac:dyDescent="0.25">
      <c r="A528" s="523"/>
      <c r="B528" s="574">
        <v>42613</v>
      </c>
      <c r="C528" s="523">
        <v>500</v>
      </c>
      <c r="D528" s="524">
        <v>15.244999999999999</v>
      </c>
      <c r="E528" s="525">
        <v>0</v>
      </c>
      <c r="F528" s="525">
        <f t="shared" si="107"/>
        <v>7622.5</v>
      </c>
      <c r="G528" s="522">
        <v>42625</v>
      </c>
      <c r="H528" s="541">
        <v>500</v>
      </c>
      <c r="I528" s="524">
        <v>15.5</v>
      </c>
      <c r="J528" s="525">
        <v>0.17</v>
      </c>
      <c r="K528" s="525">
        <f t="shared" si="108"/>
        <v>7749.83</v>
      </c>
      <c r="L528" s="523"/>
      <c r="M528" s="525"/>
    </row>
    <row r="529" spans="1:13" x14ac:dyDescent="0.25">
      <c r="A529" s="523"/>
      <c r="B529" s="574">
        <v>42613</v>
      </c>
      <c r="C529" s="523">
        <v>500</v>
      </c>
      <c r="D529" s="524">
        <v>15.08</v>
      </c>
      <c r="E529" s="525">
        <v>0</v>
      </c>
      <c r="F529" s="525">
        <f t="shared" si="107"/>
        <v>7540</v>
      </c>
      <c r="G529" s="522">
        <v>42628</v>
      </c>
      <c r="H529" s="541">
        <v>300</v>
      </c>
      <c r="I529" s="524">
        <v>14.46</v>
      </c>
      <c r="J529" s="525">
        <v>0.09</v>
      </c>
      <c r="K529" s="525">
        <f t="shared" si="108"/>
        <v>4337.91</v>
      </c>
      <c r="L529" s="523"/>
      <c r="M529" s="525"/>
    </row>
    <row r="530" spans="1:13" x14ac:dyDescent="0.25">
      <c r="A530" s="523"/>
      <c r="B530" s="574">
        <v>42622</v>
      </c>
      <c r="C530" s="523">
        <v>220</v>
      </c>
      <c r="D530" s="524">
        <v>16.25</v>
      </c>
      <c r="E530" s="525">
        <v>0</v>
      </c>
      <c r="F530" s="525">
        <f t="shared" si="107"/>
        <v>3575</v>
      </c>
      <c r="G530" s="522">
        <v>42634</v>
      </c>
      <c r="H530" s="541">
        <v>322</v>
      </c>
      <c r="I530" s="524">
        <v>14.28</v>
      </c>
      <c r="J530" s="525">
        <v>0.1</v>
      </c>
      <c r="K530" s="525">
        <f t="shared" si="108"/>
        <v>4598.0599999999995</v>
      </c>
      <c r="L530" s="523"/>
      <c r="M530" s="525"/>
    </row>
    <row r="531" spans="1:13" x14ac:dyDescent="0.25">
      <c r="A531" s="523"/>
      <c r="B531" s="574">
        <v>42622</v>
      </c>
      <c r="C531" s="523">
        <v>500</v>
      </c>
      <c r="D531" s="524">
        <v>15.98</v>
      </c>
      <c r="E531" s="525">
        <v>0</v>
      </c>
      <c r="F531" s="525">
        <f t="shared" si="107"/>
        <v>7990</v>
      </c>
      <c r="G531" s="522">
        <v>42634</v>
      </c>
      <c r="H531" s="541">
        <v>400</v>
      </c>
      <c r="I531" s="524">
        <v>14.64</v>
      </c>
      <c r="J531" s="525">
        <v>0.13</v>
      </c>
      <c r="K531" s="525">
        <f t="shared" si="108"/>
        <v>5855.87</v>
      </c>
      <c r="L531" s="523"/>
      <c r="M531" s="525"/>
    </row>
    <row r="532" spans="1:13" x14ac:dyDescent="0.25">
      <c r="A532" s="523"/>
      <c r="B532" s="574">
        <v>42622</v>
      </c>
      <c r="C532" s="523">
        <v>500</v>
      </c>
      <c r="D532" s="524">
        <v>15.75</v>
      </c>
      <c r="E532" s="525">
        <v>0</v>
      </c>
      <c r="F532" s="525">
        <f t="shared" si="107"/>
        <v>7875</v>
      </c>
      <c r="G532" s="522">
        <v>42639</v>
      </c>
      <c r="H532" s="541">
        <v>200</v>
      </c>
      <c r="I532" s="524">
        <v>14.72</v>
      </c>
      <c r="J532" s="525">
        <v>0.06</v>
      </c>
      <c r="K532" s="525">
        <f t="shared" si="108"/>
        <v>2943.94</v>
      </c>
      <c r="L532" s="523"/>
      <c r="M532" s="525"/>
    </row>
    <row r="533" spans="1:13" x14ac:dyDescent="0.25">
      <c r="A533" s="523"/>
      <c r="B533" s="574">
        <v>42625</v>
      </c>
      <c r="C533" s="523">
        <v>500</v>
      </c>
      <c r="D533" s="524">
        <v>15.22</v>
      </c>
      <c r="E533" s="525">
        <v>0</v>
      </c>
      <c r="F533" s="525">
        <f t="shared" si="107"/>
        <v>7610</v>
      </c>
      <c r="G533" s="522">
        <v>42641</v>
      </c>
      <c r="H533" s="541">
        <v>300</v>
      </c>
      <c r="I533" s="524">
        <v>15.28</v>
      </c>
      <c r="J533" s="525">
        <v>0.1</v>
      </c>
      <c r="K533" s="525">
        <f t="shared" si="108"/>
        <v>4583.8999999999996</v>
      </c>
      <c r="L533" s="523"/>
      <c r="M533" s="525"/>
    </row>
    <row r="534" spans="1:13" ht="30" x14ac:dyDescent="0.25">
      <c r="A534" s="629" t="s">
        <v>287</v>
      </c>
      <c r="B534" s="574">
        <v>42626</v>
      </c>
      <c r="C534" s="523">
        <v>600</v>
      </c>
      <c r="D534" s="524">
        <v>14.91</v>
      </c>
      <c r="E534" s="525">
        <v>-3</v>
      </c>
      <c r="F534" s="525">
        <f t="shared" si="107"/>
        <v>8943</v>
      </c>
      <c r="G534" s="522">
        <v>42641</v>
      </c>
      <c r="H534" s="541">
        <v>400</v>
      </c>
      <c r="I534" s="524">
        <v>15.06</v>
      </c>
      <c r="J534" s="525">
        <v>0.13</v>
      </c>
      <c r="K534" s="525">
        <f t="shared" si="108"/>
        <v>6023.87</v>
      </c>
      <c r="L534" s="523"/>
      <c r="M534" s="525"/>
    </row>
    <row r="535" spans="1:13" x14ac:dyDescent="0.25">
      <c r="A535" s="629"/>
      <c r="B535" s="574">
        <v>42626</v>
      </c>
      <c r="C535" s="523">
        <v>400</v>
      </c>
      <c r="D535" s="524">
        <v>14.75</v>
      </c>
      <c r="E535" s="525">
        <v>0</v>
      </c>
      <c r="F535" s="525">
        <f t="shared" si="107"/>
        <v>5900</v>
      </c>
      <c r="G535" s="522">
        <v>42641</v>
      </c>
      <c r="H535" s="541">
        <v>322</v>
      </c>
      <c r="I535" s="524">
        <v>14.39</v>
      </c>
      <c r="J535" s="525">
        <v>0.1</v>
      </c>
      <c r="K535" s="525">
        <f t="shared" si="108"/>
        <v>4633.4799999999996</v>
      </c>
      <c r="L535" s="523"/>
      <c r="M535" s="525"/>
    </row>
    <row r="536" spans="1:13" x14ac:dyDescent="0.25">
      <c r="A536" s="629"/>
      <c r="B536" s="574">
        <v>42626</v>
      </c>
      <c r="C536" s="523">
        <v>300</v>
      </c>
      <c r="D536" s="524">
        <v>14.48</v>
      </c>
      <c r="E536" s="525">
        <v>0</v>
      </c>
      <c r="F536" s="525">
        <f t="shared" si="107"/>
        <v>4344</v>
      </c>
      <c r="G536" s="522">
        <v>42641</v>
      </c>
      <c r="H536" s="541">
        <v>500</v>
      </c>
      <c r="I536" s="524">
        <v>14.26</v>
      </c>
      <c r="J536" s="525">
        <v>0.16</v>
      </c>
      <c r="K536" s="525">
        <f t="shared" si="108"/>
        <v>7129.84</v>
      </c>
      <c r="L536" s="523"/>
      <c r="M536" s="525"/>
    </row>
    <row r="537" spans="1:13" x14ac:dyDescent="0.25">
      <c r="A537" s="629"/>
      <c r="B537" s="574">
        <v>42626</v>
      </c>
      <c r="C537" s="523">
        <v>300</v>
      </c>
      <c r="D537" s="524">
        <v>14.25</v>
      </c>
      <c r="E537" s="525">
        <v>0</v>
      </c>
      <c r="F537" s="525">
        <f t="shared" si="107"/>
        <v>4275</v>
      </c>
      <c r="G537" s="522">
        <v>42642</v>
      </c>
      <c r="H537" s="541">
        <v>300</v>
      </c>
      <c r="I537" s="524">
        <v>15.28</v>
      </c>
      <c r="J537" s="525">
        <v>0.1</v>
      </c>
      <c r="K537" s="525">
        <f t="shared" si="108"/>
        <v>4583.8999999999996</v>
      </c>
      <c r="L537" s="523"/>
      <c r="M537" s="525"/>
    </row>
    <row r="538" spans="1:13" x14ac:dyDescent="0.25">
      <c r="A538" s="629"/>
      <c r="B538" s="574">
        <v>42627</v>
      </c>
      <c r="C538" s="523">
        <v>200</v>
      </c>
      <c r="D538" s="524">
        <v>14.02</v>
      </c>
      <c r="E538" s="525">
        <v>-1</v>
      </c>
      <c r="F538" s="525">
        <f t="shared" si="107"/>
        <v>2803</v>
      </c>
      <c r="G538" s="522">
        <v>42642</v>
      </c>
      <c r="H538" s="541">
        <v>700</v>
      </c>
      <c r="I538" s="524">
        <v>15.78</v>
      </c>
      <c r="J538" s="525">
        <v>0.24</v>
      </c>
      <c r="K538" s="525">
        <f t="shared" si="108"/>
        <v>11045.76</v>
      </c>
      <c r="L538" s="523"/>
      <c r="M538" s="525"/>
    </row>
    <row r="539" spans="1:13" x14ac:dyDescent="0.25">
      <c r="A539" s="523"/>
      <c r="B539" s="574">
        <v>42628</v>
      </c>
      <c r="C539" s="523">
        <v>300</v>
      </c>
      <c r="D539" s="524">
        <v>14.3</v>
      </c>
      <c r="E539" s="525">
        <v>0</v>
      </c>
      <c r="F539" s="525">
        <f t="shared" si="107"/>
        <v>4290</v>
      </c>
      <c r="G539" s="522">
        <v>42642</v>
      </c>
      <c r="H539" s="541">
        <v>214</v>
      </c>
      <c r="I539" s="524">
        <v>15.98</v>
      </c>
      <c r="J539" s="525">
        <v>7.0000000000000007E-2</v>
      </c>
      <c r="K539" s="525">
        <f t="shared" si="108"/>
        <v>3419.65</v>
      </c>
      <c r="L539" s="523"/>
      <c r="M539" s="525"/>
    </row>
    <row r="540" spans="1:13" x14ac:dyDescent="0.25">
      <c r="A540" s="523"/>
      <c r="B540" s="574">
        <v>42632</v>
      </c>
      <c r="C540" s="523">
        <v>200</v>
      </c>
      <c r="D540" s="524">
        <v>14.06</v>
      </c>
      <c r="E540" s="525">
        <v>0</v>
      </c>
      <c r="F540" s="525">
        <f t="shared" si="107"/>
        <v>2812</v>
      </c>
      <c r="G540" s="522">
        <v>42648</v>
      </c>
      <c r="H540" s="541">
        <v>1000</v>
      </c>
      <c r="I540" s="524">
        <v>16.079999999999998</v>
      </c>
      <c r="J540" s="525">
        <v>0.35</v>
      </c>
      <c r="K540" s="525">
        <f t="shared" si="108"/>
        <v>16079.649999999998</v>
      </c>
      <c r="L540" s="523"/>
      <c r="M540" s="525"/>
    </row>
    <row r="541" spans="1:13" x14ac:dyDescent="0.25">
      <c r="A541" s="523"/>
      <c r="B541" s="574">
        <v>42633</v>
      </c>
      <c r="C541" s="523">
        <v>200</v>
      </c>
      <c r="D541" s="524">
        <v>14.11</v>
      </c>
      <c r="E541" s="525">
        <v>0</v>
      </c>
      <c r="F541" s="525">
        <f t="shared" si="107"/>
        <v>2822</v>
      </c>
      <c r="G541" s="522">
        <v>42648</v>
      </c>
      <c r="H541" s="541">
        <v>500</v>
      </c>
      <c r="I541" s="524">
        <v>16.38</v>
      </c>
      <c r="J541" s="525">
        <v>0.18</v>
      </c>
      <c r="K541" s="525">
        <f t="shared" si="108"/>
        <v>8189.8199999999988</v>
      </c>
      <c r="L541" s="523"/>
      <c r="M541" s="525"/>
    </row>
    <row r="542" spans="1:13" x14ac:dyDescent="0.25">
      <c r="A542" s="523"/>
      <c r="B542" s="574">
        <v>42633</v>
      </c>
      <c r="C542" s="523">
        <v>122</v>
      </c>
      <c r="D542" s="524">
        <v>14.1</v>
      </c>
      <c r="E542" s="525">
        <v>0</v>
      </c>
      <c r="F542" s="525">
        <f t="shared" si="107"/>
        <v>1720.2</v>
      </c>
      <c r="G542" s="522">
        <v>42649</v>
      </c>
      <c r="H542" s="541">
        <v>500</v>
      </c>
      <c r="I542" s="524">
        <v>16.16</v>
      </c>
      <c r="J542" s="525">
        <v>0.18</v>
      </c>
      <c r="K542" s="525">
        <f t="shared" si="108"/>
        <v>8079.82</v>
      </c>
      <c r="L542" s="523"/>
      <c r="M542" s="525"/>
    </row>
    <row r="543" spans="1:13" x14ac:dyDescent="0.25">
      <c r="A543" s="523"/>
      <c r="B543" s="574">
        <v>42636</v>
      </c>
      <c r="C543" s="523">
        <v>200</v>
      </c>
      <c r="D543" s="524">
        <v>14.38</v>
      </c>
      <c r="E543" s="525">
        <v>0</v>
      </c>
      <c r="F543" s="525">
        <f t="shared" si="107"/>
        <v>2876</v>
      </c>
      <c r="G543" s="522">
        <v>42671</v>
      </c>
      <c r="H543" s="541">
        <v>1000</v>
      </c>
      <c r="I543" s="524">
        <v>14.22</v>
      </c>
      <c r="J543" s="525">
        <v>0.31</v>
      </c>
      <c r="K543" s="525">
        <f t="shared" si="108"/>
        <v>14219.69</v>
      </c>
      <c r="L543" s="523"/>
      <c r="M543" s="525"/>
    </row>
    <row r="544" spans="1:13" x14ac:dyDescent="0.25">
      <c r="A544" s="523"/>
      <c r="B544" s="574">
        <v>42639</v>
      </c>
      <c r="C544" s="523">
        <v>200</v>
      </c>
      <c r="D544" s="524">
        <v>14.5</v>
      </c>
      <c r="E544" s="525">
        <v>0</v>
      </c>
      <c r="F544" s="525">
        <f t="shared" ref="F544:F558" si="109">C544*D544+E544</f>
        <v>2900</v>
      </c>
      <c r="G544" s="522">
        <v>42674</v>
      </c>
      <c r="H544" s="541">
        <v>300</v>
      </c>
      <c r="I544" s="524">
        <v>13.42</v>
      </c>
      <c r="J544" s="525">
        <v>0.09</v>
      </c>
      <c r="K544" s="525">
        <f t="shared" si="108"/>
        <v>4025.91</v>
      </c>
      <c r="L544" s="523"/>
      <c r="M544" s="525"/>
    </row>
    <row r="545" spans="1:13" x14ac:dyDescent="0.25">
      <c r="A545" s="523"/>
      <c r="B545" s="574">
        <v>42639</v>
      </c>
      <c r="C545" s="523">
        <v>200</v>
      </c>
      <c r="D545" s="524">
        <v>14.38</v>
      </c>
      <c r="E545" s="525">
        <v>0</v>
      </c>
      <c r="F545" s="525">
        <f t="shared" si="109"/>
        <v>2876</v>
      </c>
      <c r="G545" s="522">
        <v>42674</v>
      </c>
      <c r="H545" s="541">
        <v>200</v>
      </c>
      <c r="I545" s="524">
        <v>13.25</v>
      </c>
      <c r="J545" s="525">
        <v>-0.74</v>
      </c>
      <c r="K545" s="525">
        <f t="shared" si="108"/>
        <v>2650.74</v>
      </c>
      <c r="L545" s="523"/>
      <c r="M545" s="525"/>
    </row>
    <row r="546" spans="1:13" x14ac:dyDescent="0.25">
      <c r="A546" s="523"/>
      <c r="B546" s="574">
        <v>42640</v>
      </c>
      <c r="C546" s="523">
        <v>322</v>
      </c>
      <c r="D546" s="524">
        <v>13.97</v>
      </c>
      <c r="E546" s="525">
        <v>0</v>
      </c>
      <c r="F546" s="525">
        <f t="shared" si="109"/>
        <v>4498.34</v>
      </c>
      <c r="G546" s="522">
        <v>42676</v>
      </c>
      <c r="H546" s="541">
        <v>200</v>
      </c>
      <c r="I546" s="524">
        <v>13.05</v>
      </c>
      <c r="J546" s="525">
        <v>0.06</v>
      </c>
      <c r="K546" s="525">
        <f t="shared" si="108"/>
        <v>2609.94</v>
      </c>
      <c r="L546" s="523"/>
      <c r="M546" s="525"/>
    </row>
    <row r="547" spans="1:13" x14ac:dyDescent="0.25">
      <c r="A547" s="523"/>
      <c r="B547" s="574">
        <v>42641</v>
      </c>
      <c r="C547" s="523">
        <v>300</v>
      </c>
      <c r="D547" s="524">
        <v>14.02</v>
      </c>
      <c r="E547" s="525">
        <v>-1.26</v>
      </c>
      <c r="F547" s="525">
        <f t="shared" si="109"/>
        <v>4204.74</v>
      </c>
      <c r="G547" s="522">
        <v>42677</v>
      </c>
      <c r="H547" s="541">
        <v>500</v>
      </c>
      <c r="I547" s="524">
        <v>13.96</v>
      </c>
      <c r="J547" s="525">
        <v>0.15</v>
      </c>
      <c r="K547" s="525">
        <f t="shared" si="108"/>
        <v>6979.85</v>
      </c>
      <c r="L547" s="523"/>
      <c r="M547" s="525"/>
    </row>
    <row r="548" spans="1:13" x14ac:dyDescent="0.25">
      <c r="A548" s="523"/>
      <c r="B548" s="574">
        <v>42641</v>
      </c>
      <c r="C548" s="523">
        <v>200</v>
      </c>
      <c r="D548" s="524">
        <v>14.17</v>
      </c>
      <c r="E548" s="525">
        <v>0</v>
      </c>
      <c r="F548" s="525">
        <f t="shared" si="109"/>
        <v>2834</v>
      </c>
      <c r="G548" s="522">
        <v>42677</v>
      </c>
      <c r="H548" s="541">
        <v>2000</v>
      </c>
      <c r="I548" s="524">
        <v>14.5</v>
      </c>
      <c r="J548" s="525">
        <v>0.63</v>
      </c>
      <c r="K548" s="525">
        <f t="shared" si="108"/>
        <v>28999.37</v>
      </c>
      <c r="L548" s="523"/>
      <c r="M548" s="525"/>
    </row>
    <row r="549" spans="1:13" x14ac:dyDescent="0.25">
      <c r="A549" s="523"/>
      <c r="B549" s="574">
        <v>42642</v>
      </c>
      <c r="C549" s="523">
        <v>414</v>
      </c>
      <c r="D549" s="524">
        <v>15.66</v>
      </c>
      <c r="E549" s="525">
        <v>0</v>
      </c>
      <c r="F549" s="525">
        <f t="shared" si="109"/>
        <v>6483.24</v>
      </c>
      <c r="G549" s="522">
        <v>42682</v>
      </c>
      <c r="H549" s="541">
        <v>1000</v>
      </c>
      <c r="I549" s="524">
        <v>14.28</v>
      </c>
      <c r="J549" s="525">
        <v>0.31</v>
      </c>
      <c r="K549" s="525">
        <f t="shared" si="108"/>
        <v>14279.69</v>
      </c>
      <c r="L549" s="523"/>
      <c r="M549" s="525"/>
    </row>
    <row r="550" spans="1:13" ht="30" x14ac:dyDescent="0.25">
      <c r="A550" s="629" t="s">
        <v>303</v>
      </c>
      <c r="B550" s="574">
        <v>42647</v>
      </c>
      <c r="C550" s="523">
        <v>500</v>
      </c>
      <c r="D550" s="524">
        <v>15.86</v>
      </c>
      <c r="E550" s="525">
        <v>0</v>
      </c>
      <c r="F550" s="525">
        <f t="shared" si="109"/>
        <v>7930</v>
      </c>
      <c r="G550" s="522">
        <v>42685</v>
      </c>
      <c r="H550" s="541">
        <v>500</v>
      </c>
      <c r="I550" s="524">
        <v>15.88</v>
      </c>
      <c r="J550" s="525">
        <v>0.17</v>
      </c>
      <c r="K550" s="525">
        <f t="shared" si="108"/>
        <v>7939.83</v>
      </c>
      <c r="L550" s="523"/>
      <c r="M550" s="525"/>
    </row>
    <row r="551" spans="1:13" x14ac:dyDescent="0.25">
      <c r="A551" s="629"/>
      <c r="B551" s="574">
        <v>42647</v>
      </c>
      <c r="C551" s="523">
        <v>500</v>
      </c>
      <c r="D551" s="524">
        <v>15.62</v>
      </c>
      <c r="E551" s="525">
        <v>0</v>
      </c>
      <c r="F551" s="525">
        <f t="shared" si="109"/>
        <v>7810</v>
      </c>
      <c r="G551" s="522">
        <v>42695</v>
      </c>
      <c r="H551" s="541">
        <v>2272</v>
      </c>
      <c r="I551" s="524">
        <v>16.28</v>
      </c>
      <c r="J551" s="525">
        <v>0.81</v>
      </c>
      <c r="K551" s="525">
        <f t="shared" si="108"/>
        <v>36987.350000000006</v>
      </c>
      <c r="L551" s="523"/>
      <c r="M551" s="525"/>
    </row>
    <row r="552" spans="1:13" x14ac:dyDescent="0.25">
      <c r="A552" s="629"/>
      <c r="B552" s="574">
        <v>42649</v>
      </c>
      <c r="C552" s="523">
        <v>500</v>
      </c>
      <c r="D552" s="524">
        <v>15.97</v>
      </c>
      <c r="E552" s="525">
        <v>0</v>
      </c>
      <c r="F552" s="525">
        <f t="shared" si="109"/>
        <v>7985</v>
      </c>
      <c r="G552" s="522">
        <v>42695</v>
      </c>
      <c r="H552" s="541">
        <v>500</v>
      </c>
      <c r="I552" s="524">
        <v>16.45</v>
      </c>
      <c r="J552" s="525">
        <v>0.18</v>
      </c>
      <c r="K552" s="525">
        <f t="shared" si="108"/>
        <v>8224.82</v>
      </c>
      <c r="L552" s="523"/>
      <c r="M552" s="525"/>
    </row>
    <row r="553" spans="1:13" x14ac:dyDescent="0.25">
      <c r="A553" s="629"/>
      <c r="B553" s="574">
        <v>42649</v>
      </c>
      <c r="C553" s="523">
        <v>500</v>
      </c>
      <c r="D553" s="524">
        <v>15.84</v>
      </c>
      <c r="E553" s="525">
        <v>0</v>
      </c>
      <c r="F553" s="525">
        <f t="shared" si="109"/>
        <v>7920</v>
      </c>
      <c r="G553" s="522">
        <v>42696</v>
      </c>
      <c r="H553" s="541">
        <v>500</v>
      </c>
      <c r="I553" s="524">
        <v>16.54</v>
      </c>
      <c r="J553" s="525">
        <v>0.18</v>
      </c>
      <c r="K553" s="525">
        <f t="shared" si="108"/>
        <v>8269.82</v>
      </c>
      <c r="L553" s="523"/>
      <c r="M553" s="525"/>
    </row>
    <row r="554" spans="1:13" x14ac:dyDescent="0.25">
      <c r="A554" s="523"/>
      <c r="B554" s="574">
        <v>42649</v>
      </c>
      <c r="C554" s="523">
        <v>500</v>
      </c>
      <c r="D554" s="524">
        <v>16.079999999999998</v>
      </c>
      <c r="E554" s="525">
        <v>0</v>
      </c>
      <c r="F554" s="525">
        <f t="shared" si="109"/>
        <v>8039.9999999999991</v>
      </c>
      <c r="G554" s="522">
        <v>42697</v>
      </c>
      <c r="H554" s="541">
        <v>200</v>
      </c>
      <c r="I554" s="524">
        <v>16.79</v>
      </c>
      <c r="J554" s="525">
        <v>7.0000000000000007E-2</v>
      </c>
      <c r="K554" s="525">
        <f t="shared" si="108"/>
        <v>3357.93</v>
      </c>
      <c r="L554" s="523"/>
      <c r="M554" s="525"/>
    </row>
    <row r="555" spans="1:13" x14ac:dyDescent="0.25">
      <c r="A555" s="523"/>
      <c r="B555" s="574">
        <v>42650</v>
      </c>
      <c r="C555" s="523">
        <v>300</v>
      </c>
      <c r="D555" s="524">
        <v>15.75</v>
      </c>
      <c r="E555" s="525">
        <v>0</v>
      </c>
      <c r="F555" s="525">
        <f t="shared" si="109"/>
        <v>4725</v>
      </c>
      <c r="G555" s="522">
        <v>42697</v>
      </c>
      <c r="H555" s="541">
        <v>500</v>
      </c>
      <c r="I555" s="524">
        <v>16.59</v>
      </c>
      <c r="J555" s="525">
        <v>0.18</v>
      </c>
      <c r="K555" s="525">
        <f t="shared" si="108"/>
        <v>8294.82</v>
      </c>
      <c r="L555" s="523"/>
      <c r="M555" s="525"/>
    </row>
    <row r="556" spans="1:13" x14ac:dyDescent="0.25">
      <c r="A556" s="523"/>
      <c r="B556" s="574">
        <v>42650</v>
      </c>
      <c r="C556" s="523">
        <v>300</v>
      </c>
      <c r="D556" s="524">
        <v>15.58</v>
      </c>
      <c r="E556" s="525">
        <v>0</v>
      </c>
      <c r="F556" s="525">
        <f t="shared" si="109"/>
        <v>4674</v>
      </c>
      <c r="G556" s="522">
        <v>42704</v>
      </c>
      <c r="H556" s="541">
        <v>1000</v>
      </c>
      <c r="I556" s="524">
        <v>16.420000000000002</v>
      </c>
      <c r="J556" s="525">
        <v>0.36</v>
      </c>
      <c r="K556" s="525">
        <f t="shared" si="108"/>
        <v>16419.64</v>
      </c>
      <c r="L556" s="523"/>
      <c r="M556" s="525"/>
    </row>
    <row r="557" spans="1:13" x14ac:dyDescent="0.25">
      <c r="A557" s="523"/>
      <c r="B557" s="574">
        <v>42653</v>
      </c>
      <c r="C557" s="523">
        <v>394</v>
      </c>
      <c r="D557" s="524">
        <v>15.72</v>
      </c>
      <c r="E557" s="525">
        <v>0</v>
      </c>
      <c r="F557" s="525">
        <f t="shared" si="109"/>
        <v>6193.68</v>
      </c>
      <c r="G557" s="522">
        <v>42704</v>
      </c>
      <c r="H557" s="541">
        <v>300</v>
      </c>
      <c r="I557" s="524">
        <v>16.78</v>
      </c>
      <c r="J557" s="525">
        <v>1.61</v>
      </c>
      <c r="K557" s="525">
        <f t="shared" si="108"/>
        <v>5032.3900000000003</v>
      </c>
      <c r="L557" s="523"/>
      <c r="M557" s="525"/>
    </row>
    <row r="558" spans="1:13" x14ac:dyDescent="0.25">
      <c r="A558" s="523"/>
      <c r="B558" s="574">
        <v>42653</v>
      </c>
      <c r="C558" s="523">
        <v>6</v>
      </c>
      <c r="D558" s="524">
        <v>15.72</v>
      </c>
      <c r="E558" s="525">
        <v>0</v>
      </c>
      <c r="F558" s="525">
        <f t="shared" si="109"/>
        <v>94.320000000000007</v>
      </c>
      <c r="G558" s="522">
        <v>42704</v>
      </c>
      <c r="H558" s="541">
        <v>1000</v>
      </c>
      <c r="I558" s="524">
        <v>17.079999999999998</v>
      </c>
      <c r="J558" s="525">
        <v>0.37</v>
      </c>
      <c r="K558" s="525">
        <f t="shared" si="108"/>
        <v>17079.63</v>
      </c>
      <c r="L558" s="523"/>
      <c r="M558" s="525"/>
    </row>
    <row r="559" spans="1:13" x14ac:dyDescent="0.25">
      <c r="A559" s="523"/>
      <c r="B559" s="574">
        <v>42655</v>
      </c>
      <c r="C559" s="523">
        <v>22</v>
      </c>
      <c r="D559" s="524">
        <v>15.48</v>
      </c>
      <c r="E559" s="525">
        <v>0</v>
      </c>
      <c r="F559" s="525">
        <f>C559*D559+E559</f>
        <v>340.56</v>
      </c>
      <c r="G559" s="522">
        <v>42704</v>
      </c>
      <c r="H559" s="541">
        <v>1000</v>
      </c>
      <c r="I559" s="524">
        <v>17.32</v>
      </c>
      <c r="J559" s="525">
        <v>0.38</v>
      </c>
      <c r="K559" s="525">
        <f t="shared" si="108"/>
        <v>17319.62</v>
      </c>
      <c r="L559" s="523"/>
      <c r="M559" s="525"/>
    </row>
    <row r="560" spans="1:13" x14ac:dyDescent="0.25">
      <c r="A560" s="523"/>
      <c r="B560" s="574">
        <v>42655</v>
      </c>
      <c r="C560" s="523">
        <v>300</v>
      </c>
      <c r="D560" s="524">
        <v>15.48</v>
      </c>
      <c r="E560" s="525">
        <v>0</v>
      </c>
      <c r="F560" s="525">
        <f>C560*D560+E560</f>
        <v>4644</v>
      </c>
      <c r="G560" s="522">
        <v>42704</v>
      </c>
      <c r="H560" s="541">
        <v>500</v>
      </c>
      <c r="I560" s="524">
        <v>17.64</v>
      </c>
      <c r="J560" s="525">
        <v>0.19</v>
      </c>
      <c r="K560" s="525">
        <f t="shared" si="108"/>
        <v>8819.81</v>
      </c>
      <c r="L560" s="523"/>
      <c r="M560" s="525"/>
    </row>
    <row r="561" spans="1:13" x14ac:dyDescent="0.25">
      <c r="A561" s="630"/>
      <c r="B561" s="574">
        <v>42668</v>
      </c>
      <c r="C561" s="523">
        <v>500</v>
      </c>
      <c r="D561" s="524">
        <v>14.26</v>
      </c>
      <c r="E561" s="525">
        <v>-2.5</v>
      </c>
      <c r="F561" s="525">
        <f t="shared" ref="F561:F570" si="110">C561*D561+E561</f>
        <v>7127.5</v>
      </c>
      <c r="G561" s="522">
        <v>42705</v>
      </c>
      <c r="H561" s="541">
        <v>528</v>
      </c>
      <c r="I561" s="524">
        <v>18.7</v>
      </c>
      <c r="J561" s="525">
        <v>0.22</v>
      </c>
      <c r="K561" s="525">
        <f t="shared" si="108"/>
        <v>9873.380000000001</v>
      </c>
      <c r="L561" s="523"/>
      <c r="M561" s="525"/>
    </row>
    <row r="562" spans="1:13" x14ac:dyDescent="0.25">
      <c r="A562" s="630"/>
      <c r="B562" s="574">
        <v>42668</v>
      </c>
      <c r="C562" s="523">
        <v>500</v>
      </c>
      <c r="D562" s="524">
        <v>14.16</v>
      </c>
      <c r="E562" s="525">
        <v>0</v>
      </c>
      <c r="F562" s="525">
        <f t="shared" si="110"/>
        <v>7080</v>
      </c>
      <c r="G562" s="522">
        <v>42711</v>
      </c>
      <c r="H562" s="541">
        <v>500</v>
      </c>
      <c r="I562" s="524">
        <v>18.329999999999998</v>
      </c>
      <c r="J562" s="525">
        <v>0.2</v>
      </c>
      <c r="K562" s="525">
        <f t="shared" si="108"/>
        <v>9164.7999999999993</v>
      </c>
      <c r="L562" s="523"/>
      <c r="M562" s="525"/>
    </row>
    <row r="563" spans="1:13" x14ac:dyDescent="0.25">
      <c r="A563" s="630"/>
      <c r="B563" s="574">
        <v>42670</v>
      </c>
      <c r="C563" s="523">
        <v>500</v>
      </c>
      <c r="D563" s="524">
        <v>14.18</v>
      </c>
      <c r="E563" s="525">
        <v>0</v>
      </c>
      <c r="F563" s="525">
        <f t="shared" si="110"/>
        <v>7090</v>
      </c>
      <c r="G563" s="522">
        <v>42713</v>
      </c>
      <c r="H563" s="541">
        <v>500</v>
      </c>
      <c r="I563" s="524">
        <v>18.28</v>
      </c>
      <c r="J563" s="525">
        <v>0.2</v>
      </c>
      <c r="K563" s="525">
        <f t="shared" si="108"/>
        <v>9139.7999999999993</v>
      </c>
      <c r="L563" s="523"/>
      <c r="M563" s="525"/>
    </row>
    <row r="564" spans="1:13" x14ac:dyDescent="0.25">
      <c r="A564" s="630"/>
      <c r="B564" s="574">
        <v>42670</v>
      </c>
      <c r="C564" s="523">
        <v>500</v>
      </c>
      <c r="D564" s="524">
        <v>14.05</v>
      </c>
      <c r="E564" s="525">
        <v>0</v>
      </c>
      <c r="F564" s="525">
        <f t="shared" si="110"/>
        <v>7025</v>
      </c>
      <c r="G564" s="522">
        <v>42718</v>
      </c>
      <c r="H564" s="541">
        <v>200</v>
      </c>
      <c r="I564" s="524">
        <v>18.78</v>
      </c>
      <c r="J564" s="525">
        <v>0.08</v>
      </c>
      <c r="K564" s="525">
        <f t="shared" si="108"/>
        <v>3755.92</v>
      </c>
      <c r="L564" s="523"/>
      <c r="M564" s="525"/>
    </row>
    <row r="565" spans="1:13" x14ac:dyDescent="0.25">
      <c r="A565" s="630"/>
      <c r="B565" s="574">
        <v>42670</v>
      </c>
      <c r="C565" s="523">
        <v>500</v>
      </c>
      <c r="D565" s="524">
        <v>13.88</v>
      </c>
      <c r="E565" s="525">
        <v>0</v>
      </c>
      <c r="F565" s="525">
        <f t="shared" si="110"/>
        <v>6940</v>
      </c>
      <c r="G565" s="522">
        <v>42734</v>
      </c>
      <c r="H565" s="541">
        <v>1000</v>
      </c>
      <c r="I565" s="524">
        <v>17.72</v>
      </c>
      <c r="J565" s="525">
        <v>0.39</v>
      </c>
      <c r="K565" s="525">
        <f t="shared" si="108"/>
        <v>17719.61</v>
      </c>
      <c r="L565" s="523"/>
      <c r="M565" s="525"/>
    </row>
    <row r="566" spans="1:13" x14ac:dyDescent="0.25">
      <c r="A566" s="523"/>
      <c r="B566" s="574">
        <v>42671</v>
      </c>
      <c r="C566" s="523">
        <v>1000</v>
      </c>
      <c r="D566" s="524">
        <v>14.15</v>
      </c>
      <c r="E566" s="525">
        <v>0</v>
      </c>
      <c r="F566" s="525">
        <f t="shared" si="110"/>
        <v>14150</v>
      </c>
      <c r="G566" s="522">
        <v>42739</v>
      </c>
      <c r="H566" s="541">
        <v>500</v>
      </c>
      <c r="I566" s="524">
        <v>18.079999999999998</v>
      </c>
      <c r="J566" s="525">
        <v>0.2</v>
      </c>
      <c r="K566" s="525">
        <f t="shared" si="108"/>
        <v>9039.7999999999993</v>
      </c>
      <c r="L566" s="523"/>
      <c r="M566" s="525"/>
    </row>
    <row r="567" spans="1:13" x14ac:dyDescent="0.25">
      <c r="A567" s="523"/>
      <c r="B567" s="574">
        <v>42674</v>
      </c>
      <c r="C567" s="523">
        <v>300</v>
      </c>
      <c r="D567" s="524">
        <v>13.28</v>
      </c>
      <c r="E567" s="525">
        <v>-1.5</v>
      </c>
      <c r="F567" s="525">
        <f t="shared" si="110"/>
        <v>3982.5</v>
      </c>
      <c r="G567" s="522">
        <v>42748</v>
      </c>
      <c r="H567" s="541">
        <v>500</v>
      </c>
      <c r="I567" s="524">
        <v>17.48</v>
      </c>
      <c r="J567" s="525">
        <v>0.19</v>
      </c>
      <c r="K567" s="525">
        <f t="shared" si="108"/>
        <v>8739.81</v>
      </c>
      <c r="L567" s="523"/>
      <c r="M567" s="525"/>
    </row>
    <row r="568" spans="1:13" x14ac:dyDescent="0.25">
      <c r="A568" s="523"/>
      <c r="B568" s="574">
        <v>42674</v>
      </c>
      <c r="C568" s="523">
        <v>200</v>
      </c>
      <c r="D568" s="524">
        <v>13.15</v>
      </c>
      <c r="E568" s="525">
        <v>0.02</v>
      </c>
      <c r="F568" s="525">
        <f t="shared" si="110"/>
        <v>2630.02</v>
      </c>
      <c r="G568" s="522">
        <v>42761</v>
      </c>
      <c r="H568" s="541">
        <v>1000</v>
      </c>
      <c r="I568" s="524">
        <v>17.899999999999999</v>
      </c>
      <c r="J568" s="525">
        <v>0.39</v>
      </c>
      <c r="K568" s="525">
        <f t="shared" si="108"/>
        <v>17899.61</v>
      </c>
      <c r="L568" s="523"/>
      <c r="M568" s="525"/>
    </row>
    <row r="569" spans="1:13" x14ac:dyDescent="0.25">
      <c r="A569" s="523"/>
      <c r="B569" s="574">
        <v>42676</v>
      </c>
      <c r="C569" s="523">
        <v>200</v>
      </c>
      <c r="D569" s="524">
        <v>12.89</v>
      </c>
      <c r="E569" s="525">
        <v>0</v>
      </c>
      <c r="F569" s="525">
        <f t="shared" si="110"/>
        <v>2578</v>
      </c>
      <c r="G569" s="522">
        <v>42766</v>
      </c>
      <c r="H569" s="541">
        <v>300</v>
      </c>
      <c r="I569" s="524">
        <v>16.649999999999999</v>
      </c>
      <c r="J569" s="525">
        <v>0.11</v>
      </c>
      <c r="K569" s="525">
        <f t="shared" si="108"/>
        <v>4994.8900000000003</v>
      </c>
      <c r="L569" s="523"/>
      <c r="M569" s="525"/>
    </row>
    <row r="570" spans="1:13" x14ac:dyDescent="0.25">
      <c r="A570" s="523"/>
      <c r="B570" s="574">
        <v>42678</v>
      </c>
      <c r="C570" s="523">
        <v>500</v>
      </c>
      <c r="D570" s="524">
        <v>13.69</v>
      </c>
      <c r="E570" s="525">
        <v>0</v>
      </c>
      <c r="F570" s="525">
        <f t="shared" si="110"/>
        <v>6845</v>
      </c>
      <c r="G570" s="522">
        <v>42767</v>
      </c>
      <c r="H570" s="541">
        <v>612</v>
      </c>
      <c r="I570" s="524">
        <v>17.03</v>
      </c>
      <c r="J570" s="525">
        <v>0.23</v>
      </c>
      <c r="K570" s="525">
        <f t="shared" si="108"/>
        <v>10422.130000000001</v>
      </c>
      <c r="L570" s="523"/>
      <c r="M570" s="525"/>
    </row>
    <row r="571" spans="1:13" x14ac:dyDescent="0.25">
      <c r="A571" s="523"/>
      <c r="B571" s="574">
        <v>42678</v>
      </c>
      <c r="C571" s="523">
        <v>500</v>
      </c>
      <c r="D571" s="524">
        <v>13.69</v>
      </c>
      <c r="E571" s="525">
        <v>0</v>
      </c>
      <c r="F571" s="525">
        <f>C571*D571+E571</f>
        <v>6845</v>
      </c>
      <c r="G571" s="522">
        <v>42767</v>
      </c>
      <c r="H571" s="541">
        <v>288</v>
      </c>
      <c r="I571" s="524">
        <v>17.12</v>
      </c>
      <c r="J571" s="525">
        <v>0.11</v>
      </c>
      <c r="K571" s="525">
        <f t="shared" si="108"/>
        <v>4930.4500000000007</v>
      </c>
      <c r="L571" s="523"/>
      <c r="M571" s="525"/>
    </row>
    <row r="572" spans="1:13" x14ac:dyDescent="0.25">
      <c r="A572" s="523"/>
      <c r="B572" s="574">
        <v>42691</v>
      </c>
      <c r="C572" s="523">
        <v>150</v>
      </c>
      <c r="D572" s="524">
        <v>15.48</v>
      </c>
      <c r="E572" s="525">
        <v>0</v>
      </c>
      <c r="F572" s="525">
        <f t="shared" ref="F572:F588" si="111">C572*D572+E572</f>
        <v>2322</v>
      </c>
      <c r="G572" s="522">
        <v>42767</v>
      </c>
      <c r="H572" s="541">
        <v>700</v>
      </c>
      <c r="I572" s="524">
        <v>16.57</v>
      </c>
      <c r="J572" s="525">
        <v>0.25</v>
      </c>
      <c r="K572" s="525">
        <f t="shared" si="108"/>
        <v>11598.75</v>
      </c>
      <c r="L572" s="523"/>
      <c r="M572" s="525"/>
    </row>
    <row r="573" spans="1:13" x14ac:dyDescent="0.25">
      <c r="A573" s="523"/>
      <c r="B573" s="574">
        <v>42691</v>
      </c>
      <c r="C573" s="523">
        <v>300</v>
      </c>
      <c r="D573" s="524">
        <v>15.48</v>
      </c>
      <c r="E573" s="525">
        <v>0</v>
      </c>
      <c r="F573" s="525">
        <f t="shared" si="111"/>
        <v>4644</v>
      </c>
      <c r="G573" s="522">
        <v>42768</v>
      </c>
      <c r="H573" s="541">
        <v>200</v>
      </c>
      <c r="I573" s="524">
        <v>16.7</v>
      </c>
      <c r="J573" s="525">
        <v>7.0000000000000007E-2</v>
      </c>
      <c r="K573" s="525">
        <f t="shared" si="108"/>
        <v>3339.93</v>
      </c>
      <c r="L573" s="523"/>
      <c r="M573" s="525"/>
    </row>
    <row r="574" spans="1:13" x14ac:dyDescent="0.25">
      <c r="A574" s="523"/>
      <c r="B574" s="574">
        <v>42696</v>
      </c>
      <c r="C574" s="523">
        <v>1000</v>
      </c>
      <c r="D574" s="524">
        <v>16.12</v>
      </c>
      <c r="E574" s="525">
        <v>0</v>
      </c>
      <c r="F574" s="525">
        <f t="shared" si="111"/>
        <v>16120.000000000002</v>
      </c>
      <c r="G574" s="522">
        <v>42768</v>
      </c>
      <c r="H574" s="541">
        <v>500</v>
      </c>
      <c r="I574" s="524">
        <v>16.600000000000001</v>
      </c>
      <c r="J574" s="525">
        <v>-1.82</v>
      </c>
      <c r="K574" s="525">
        <f t="shared" si="108"/>
        <v>8301.82</v>
      </c>
      <c r="L574" s="523"/>
      <c r="M574" s="525"/>
    </row>
    <row r="575" spans="1:13" x14ac:dyDescent="0.25">
      <c r="A575" s="523"/>
      <c r="B575" s="574">
        <v>42699</v>
      </c>
      <c r="C575" s="523">
        <v>200</v>
      </c>
      <c r="D575" s="524">
        <v>16.28</v>
      </c>
      <c r="E575" s="525">
        <v>0</v>
      </c>
      <c r="F575" s="525">
        <f t="shared" si="111"/>
        <v>3256</v>
      </c>
      <c r="G575" s="522">
        <v>42768</v>
      </c>
      <c r="H575" s="541">
        <v>500</v>
      </c>
      <c r="I575" s="524">
        <v>16.75</v>
      </c>
      <c r="J575" s="525">
        <v>0.18</v>
      </c>
      <c r="K575" s="525">
        <f t="shared" si="108"/>
        <v>8374.82</v>
      </c>
      <c r="L575" s="523"/>
      <c r="M575" s="525"/>
    </row>
    <row r="576" spans="1:13" x14ac:dyDescent="0.25">
      <c r="A576" s="630"/>
      <c r="B576" s="574">
        <v>42699</v>
      </c>
      <c r="C576" s="523">
        <v>500</v>
      </c>
      <c r="D576" s="524">
        <v>16.16</v>
      </c>
      <c r="E576" s="525">
        <v>0</v>
      </c>
      <c r="F576" s="525">
        <f t="shared" si="111"/>
        <v>8080</v>
      </c>
      <c r="G576" s="522">
        <v>42769</v>
      </c>
      <c r="H576" s="631">
        <v>400</v>
      </c>
      <c r="I576" s="632">
        <v>16.95</v>
      </c>
      <c r="J576" s="633">
        <v>0.15</v>
      </c>
      <c r="K576" s="633">
        <f t="shared" si="108"/>
        <v>6779.85</v>
      </c>
      <c r="L576" s="523"/>
      <c r="M576" s="525"/>
    </row>
    <row r="577" spans="1:13" x14ac:dyDescent="0.25">
      <c r="A577" s="630"/>
      <c r="B577" s="574">
        <v>42702</v>
      </c>
      <c r="C577" s="523">
        <v>500</v>
      </c>
      <c r="D577" s="524">
        <v>16.059999999999999</v>
      </c>
      <c r="E577" s="525">
        <v>0</v>
      </c>
      <c r="F577" s="525">
        <f t="shared" si="111"/>
        <v>8029.9999999999991</v>
      </c>
      <c r="G577" s="522">
        <v>42769</v>
      </c>
      <c r="H577" s="631">
        <v>300</v>
      </c>
      <c r="I577" s="632">
        <v>17.32</v>
      </c>
      <c r="J577" s="633">
        <v>0.11</v>
      </c>
      <c r="K577" s="633">
        <f t="shared" si="108"/>
        <v>5195.8900000000003</v>
      </c>
      <c r="L577" s="523"/>
      <c r="M577" s="525"/>
    </row>
    <row r="578" spans="1:13" x14ac:dyDescent="0.25">
      <c r="A578" s="630"/>
      <c r="B578" s="574">
        <v>42702</v>
      </c>
      <c r="C578" s="523">
        <v>200</v>
      </c>
      <c r="D578" s="524">
        <v>15.8</v>
      </c>
      <c r="E578" s="525">
        <v>0</v>
      </c>
      <c r="F578" s="525">
        <f t="shared" si="111"/>
        <v>3160</v>
      </c>
      <c r="G578" s="522">
        <v>42781</v>
      </c>
      <c r="H578" s="541">
        <v>600</v>
      </c>
      <c r="I578" s="524">
        <v>16.52</v>
      </c>
      <c r="J578" s="525">
        <v>0.22</v>
      </c>
      <c r="K578" s="525">
        <f t="shared" si="108"/>
        <v>9911.7800000000007</v>
      </c>
      <c r="L578" s="523"/>
      <c r="M578" s="525"/>
    </row>
    <row r="579" spans="1:13" x14ac:dyDescent="0.25">
      <c r="A579" s="630"/>
      <c r="B579" s="574">
        <v>42702</v>
      </c>
      <c r="C579" s="523">
        <v>300</v>
      </c>
      <c r="D579" s="524">
        <v>15.65</v>
      </c>
      <c r="E579" s="525">
        <v>0</v>
      </c>
      <c r="F579" s="525">
        <f t="shared" si="111"/>
        <v>4695</v>
      </c>
      <c r="G579" s="522">
        <v>42781</v>
      </c>
      <c r="H579" s="541">
        <v>300</v>
      </c>
      <c r="I579" s="524">
        <v>16.440000000000001</v>
      </c>
      <c r="J579" s="525">
        <v>0.11</v>
      </c>
      <c r="K579" s="525">
        <f t="shared" si="108"/>
        <v>4931.8900000000003</v>
      </c>
      <c r="L579" s="523"/>
      <c r="M579" s="525"/>
    </row>
    <row r="580" spans="1:13" x14ac:dyDescent="0.25">
      <c r="A580" s="523"/>
      <c r="B580" s="574">
        <v>42703</v>
      </c>
      <c r="C580" s="523">
        <v>300</v>
      </c>
      <c r="D580" s="524">
        <v>14.78</v>
      </c>
      <c r="E580" s="525">
        <v>0</v>
      </c>
      <c r="F580" s="525">
        <f t="shared" si="111"/>
        <v>4434</v>
      </c>
      <c r="G580" s="522">
        <v>42782</v>
      </c>
      <c r="H580" s="541">
        <v>300</v>
      </c>
      <c r="I580" s="524">
        <v>17</v>
      </c>
      <c r="J580" s="525">
        <v>0.11</v>
      </c>
      <c r="K580" s="525">
        <f t="shared" si="108"/>
        <v>5099.8900000000003</v>
      </c>
      <c r="L580" s="523"/>
      <c r="M580" s="525"/>
    </row>
    <row r="581" spans="1:13" x14ac:dyDescent="0.25">
      <c r="A581" s="523"/>
      <c r="B581" s="574">
        <v>42705</v>
      </c>
      <c r="C581" s="523">
        <v>350</v>
      </c>
      <c r="D581" s="524">
        <v>17.600000000000001</v>
      </c>
      <c r="E581" s="525">
        <v>0</v>
      </c>
      <c r="F581" s="525">
        <f t="shared" si="111"/>
        <v>6160.0000000000009</v>
      </c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>
        <v>42711</v>
      </c>
      <c r="C582" s="523">
        <v>500</v>
      </c>
      <c r="D582" s="524">
        <v>18.12</v>
      </c>
      <c r="E582" s="525">
        <v>0</v>
      </c>
      <c r="F582" s="525">
        <f t="shared" si="111"/>
        <v>9060</v>
      </c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>
        <v>42713</v>
      </c>
      <c r="C583" s="523">
        <v>500</v>
      </c>
      <c r="D583" s="524">
        <v>18.12</v>
      </c>
      <c r="E583" s="525">
        <v>0</v>
      </c>
      <c r="F583" s="525">
        <f t="shared" si="111"/>
        <v>9060</v>
      </c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>
        <v>42718</v>
      </c>
      <c r="C584" s="523">
        <v>200</v>
      </c>
      <c r="D584" s="524">
        <v>18.73</v>
      </c>
      <c r="E584" s="525">
        <v>-1</v>
      </c>
      <c r="F584" s="525">
        <f t="shared" si="111"/>
        <v>3745</v>
      </c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>
        <v>42733</v>
      </c>
      <c r="C585" s="523">
        <v>1000</v>
      </c>
      <c r="D585" s="524">
        <v>17.64</v>
      </c>
      <c r="E585" s="525">
        <v>-1.5</v>
      </c>
      <c r="F585" s="525">
        <f t="shared" si="111"/>
        <v>17638.5</v>
      </c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>
        <v>42734</v>
      </c>
      <c r="C586" s="523">
        <v>1000</v>
      </c>
      <c r="D586" s="524">
        <v>17.329999999999998</v>
      </c>
      <c r="E586" s="525">
        <v>0</v>
      </c>
      <c r="F586" s="525">
        <f t="shared" si="111"/>
        <v>17330</v>
      </c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>
        <v>42741</v>
      </c>
      <c r="C587" s="523">
        <v>500</v>
      </c>
      <c r="D587" s="524">
        <v>17.88</v>
      </c>
      <c r="E587" s="525">
        <v>0</v>
      </c>
      <c r="F587" s="525">
        <f t="shared" si="111"/>
        <v>8940</v>
      </c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>
        <v>42748</v>
      </c>
      <c r="C588" s="523">
        <v>500</v>
      </c>
      <c r="D588" s="524">
        <v>17.260000000000002</v>
      </c>
      <c r="E588" s="525">
        <v>0</v>
      </c>
      <c r="F588" s="525">
        <f t="shared" si="111"/>
        <v>8630</v>
      </c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629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629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629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629"/>
      <c r="B594" s="574"/>
      <c r="C594" s="523"/>
      <c r="D594" s="524"/>
      <c r="E594" s="525"/>
      <c r="F594" s="525"/>
      <c r="G594" s="523"/>
      <c r="H594" s="541"/>
      <c r="I594" s="524"/>
      <c r="J594" s="525"/>
      <c r="K594" s="525"/>
      <c r="L594" s="523"/>
      <c r="M594" s="525"/>
    </row>
    <row r="595" spans="1:13" x14ac:dyDescent="0.25">
      <c r="A595" s="523"/>
      <c r="B595" s="574"/>
      <c r="C595" s="523"/>
      <c r="D595" s="524"/>
      <c r="E595" s="525"/>
      <c r="F595" s="525"/>
      <c r="G595" s="523"/>
      <c r="H595" s="541"/>
      <c r="I595" s="524"/>
      <c r="J595" s="525"/>
      <c r="K595" s="525"/>
      <c r="L595" s="523"/>
      <c r="M595" s="525"/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  <row r="597" spans="1:13" x14ac:dyDescent="0.25">
      <c r="A597" s="523"/>
      <c r="B597" s="574"/>
      <c r="C597" s="523"/>
      <c r="D597" s="524"/>
      <c r="E597" s="525"/>
      <c r="F597" s="525"/>
      <c r="G597" s="523"/>
      <c r="H597" s="541"/>
      <c r="I597" s="524"/>
      <c r="J597" s="525"/>
      <c r="K597" s="525"/>
      <c r="L597" s="523"/>
      <c r="M597" s="525"/>
    </row>
    <row r="598" spans="1:13" x14ac:dyDescent="0.25">
      <c r="A598" s="523"/>
      <c r="B598" s="574"/>
      <c r="C598" s="523"/>
      <c r="D598" s="524"/>
      <c r="E598" s="525"/>
      <c r="F598" s="525"/>
      <c r="G598" s="523"/>
      <c r="H598" s="541"/>
      <c r="I598" s="524"/>
      <c r="J598" s="525"/>
      <c r="K598" s="525"/>
      <c r="L598" s="523"/>
      <c r="M598" s="525"/>
    </row>
    <row r="599" spans="1:13" x14ac:dyDescent="0.25">
      <c r="A599" s="523"/>
      <c r="B599" s="574"/>
      <c r="C599" s="523"/>
      <c r="D599" s="524"/>
      <c r="E599" s="525"/>
      <c r="F599" s="525"/>
      <c r="G599" s="523"/>
      <c r="H599" s="541"/>
      <c r="I599" s="524"/>
      <c r="J599" s="525"/>
      <c r="K599" s="525"/>
      <c r="L599" s="523"/>
      <c r="M599" s="525"/>
    </row>
    <row r="600" spans="1:13" x14ac:dyDescent="0.25">
      <c r="A600" s="523"/>
      <c r="B600" s="574"/>
      <c r="C600" s="523"/>
      <c r="D600" s="524"/>
      <c r="E600" s="525"/>
      <c r="F600" s="525"/>
      <c r="G600" s="523"/>
      <c r="H600" s="541"/>
      <c r="I600" s="524"/>
      <c r="J600" s="525"/>
      <c r="K600" s="525"/>
      <c r="L600" s="523"/>
      <c r="M600" s="525"/>
    </row>
    <row r="601" spans="1:13" x14ac:dyDescent="0.25">
      <c r="A601" s="523"/>
      <c r="B601" s="574"/>
      <c r="C601" s="523"/>
      <c r="D601" s="524"/>
      <c r="E601" s="525"/>
      <c r="F601" s="525"/>
      <c r="G601" s="523"/>
      <c r="H601" s="541"/>
      <c r="I601" s="524"/>
      <c r="J601" s="525"/>
      <c r="K601" s="525"/>
      <c r="L601" s="523"/>
      <c r="M601" s="525"/>
    </row>
    <row r="602" spans="1:13" x14ac:dyDescent="0.25">
      <c r="A602" s="523"/>
      <c r="B602" s="574"/>
      <c r="C602" s="523"/>
      <c r="D602" s="524"/>
      <c r="E602" s="525"/>
      <c r="F602" s="525"/>
      <c r="G602" s="523"/>
      <c r="H602" s="541"/>
      <c r="I602" s="524"/>
      <c r="J602" s="525"/>
      <c r="K602" s="525"/>
      <c r="L602" s="523"/>
      <c r="M602" s="525"/>
    </row>
    <row r="603" spans="1:13" x14ac:dyDescent="0.25">
      <c r="A603" s="523"/>
      <c r="B603" s="574"/>
      <c r="C603" s="523"/>
      <c r="D603" s="524"/>
      <c r="E603" s="525"/>
      <c r="F603" s="525"/>
      <c r="G603" s="523"/>
      <c r="H603" s="541"/>
      <c r="I603" s="524"/>
      <c r="J603" s="525"/>
      <c r="K603" s="525"/>
      <c r="L603" s="523"/>
      <c r="M603" s="525"/>
    </row>
    <row r="604" spans="1:13" x14ac:dyDescent="0.25">
      <c r="A604" s="523"/>
      <c r="B604" s="574"/>
      <c r="C604" s="523"/>
      <c r="D604" s="524"/>
      <c r="E604" s="525"/>
      <c r="F604" s="525"/>
      <c r="G604" s="523"/>
      <c r="H604" s="541"/>
      <c r="I604" s="524"/>
      <c r="J604" s="525"/>
      <c r="K604" s="525"/>
      <c r="L604" s="523"/>
      <c r="M604" s="525"/>
    </row>
    <row r="605" spans="1:13" x14ac:dyDescent="0.25">
      <c r="A605" s="523"/>
      <c r="B605" s="574"/>
      <c r="C605" s="523"/>
      <c r="D605" s="524"/>
      <c r="E605" s="525"/>
      <c r="F605" s="525"/>
      <c r="G605" s="523"/>
      <c r="H605" s="541"/>
      <c r="I605" s="524"/>
      <c r="J605" s="525"/>
      <c r="K605" s="525"/>
      <c r="L605" s="523"/>
      <c r="M605" s="525"/>
    </row>
    <row r="606" spans="1:13" x14ac:dyDescent="0.25">
      <c r="A606" s="523"/>
      <c r="B606" s="574"/>
      <c r="C606" s="523"/>
      <c r="D606" s="524"/>
      <c r="E606" s="525"/>
      <c r="F606" s="525"/>
      <c r="G606" s="523"/>
      <c r="H606" s="541"/>
      <c r="I606" s="524"/>
      <c r="J606" s="525"/>
      <c r="K606" s="525"/>
      <c r="L606" s="523"/>
      <c r="M606" s="525"/>
    </row>
    <row r="607" spans="1:13" x14ac:dyDescent="0.25">
      <c r="A607" s="523"/>
      <c r="B607" s="574"/>
      <c r="C607" s="523"/>
      <c r="D607" s="524"/>
      <c r="E607" s="525"/>
      <c r="F607" s="525"/>
      <c r="G607" s="523"/>
      <c r="H607" s="541"/>
      <c r="I607" s="524"/>
      <c r="J607" s="525"/>
      <c r="K607" s="525"/>
      <c r="L607" s="523"/>
      <c r="M607" s="525"/>
    </row>
    <row r="608" spans="1:13" x14ac:dyDescent="0.25">
      <c r="A608" s="523"/>
      <c r="B608" s="574"/>
      <c r="C608" s="523"/>
      <c r="D608" s="524"/>
      <c r="E608" s="525"/>
      <c r="F608" s="525"/>
      <c r="G608" s="523"/>
      <c r="H608" s="541"/>
      <c r="I608" s="524"/>
      <c r="J608" s="525"/>
      <c r="K608" s="525"/>
      <c r="L608" s="523"/>
      <c r="M608" s="525"/>
    </row>
    <row r="609" spans="1:13" x14ac:dyDescent="0.25">
      <c r="A609" s="523"/>
      <c r="B609" s="574"/>
      <c r="C609" s="523"/>
      <c r="D609" s="524"/>
      <c r="E609" s="525"/>
      <c r="F609" s="525"/>
      <c r="G609" s="523"/>
      <c r="H609" s="541"/>
      <c r="I609" s="524"/>
      <c r="J609" s="525"/>
      <c r="K609" s="525"/>
      <c r="L609" s="523"/>
      <c r="M609" s="525"/>
    </row>
    <row r="610" spans="1:13" x14ac:dyDescent="0.25">
      <c r="A610" s="523"/>
      <c r="B610" s="574"/>
      <c r="C610" s="523"/>
      <c r="D610" s="524"/>
      <c r="E610" s="525"/>
      <c r="F610" s="525"/>
      <c r="G610" s="523"/>
      <c r="H610" s="541"/>
      <c r="I610" s="524"/>
      <c r="J610" s="525"/>
      <c r="K610" s="525"/>
      <c r="L610" s="523"/>
      <c r="M610" s="525"/>
    </row>
    <row r="611" spans="1:13" x14ac:dyDescent="0.25">
      <c r="A611" s="523"/>
      <c r="B611" s="574"/>
      <c r="C611" s="523"/>
      <c r="D611" s="524"/>
      <c r="E611" s="525"/>
      <c r="F611" s="525"/>
      <c r="G611" s="523"/>
      <c r="H611" s="541"/>
      <c r="I611" s="524"/>
      <c r="J611" s="525"/>
      <c r="K611" s="525"/>
      <c r="L611" s="523"/>
      <c r="M611" s="525"/>
    </row>
    <row r="612" spans="1:13" x14ac:dyDescent="0.25">
      <c r="A612" s="543" t="s">
        <v>81</v>
      </c>
      <c r="B612" s="634"/>
      <c r="C612" s="567">
        <f>SUM(C351:C611)</f>
        <v>133812</v>
      </c>
      <c r="D612" s="545"/>
      <c r="E612" s="545"/>
      <c r="F612" s="545">
        <f>SUM(F351:F611)</f>
        <v>1899450.8389999999</v>
      </c>
      <c r="G612" s="544"/>
      <c r="H612" s="567">
        <f>SUM(H351:H611)</f>
        <v>133812</v>
      </c>
      <c r="I612" s="635"/>
      <c r="J612" s="545"/>
      <c r="K612" s="545">
        <f>SUM(K351:K611)</f>
        <v>1911314.2100000016</v>
      </c>
      <c r="L612" s="544"/>
      <c r="M612" s="545">
        <f>SUM(M351:M361)</f>
        <v>2752.2000000000003</v>
      </c>
    </row>
    <row r="613" spans="1:13" ht="15.75" thickBot="1" x14ac:dyDescent="0.3">
      <c r="A613" s="546" t="s">
        <v>196</v>
      </c>
      <c r="B613" s="636"/>
      <c r="C613" s="548">
        <f>SumByColor($A$50, C351:C611)</f>
        <v>0</v>
      </c>
      <c r="D613" s="548"/>
      <c r="E613" s="548"/>
      <c r="F613" s="549">
        <f>SumByColor($A$50, F351:F611)</f>
        <v>0</v>
      </c>
      <c r="G613" s="548"/>
      <c r="H613" s="548">
        <f>SumByColor($A$50, H351:H611)</f>
        <v>0</v>
      </c>
      <c r="I613" s="548"/>
      <c r="J613" s="549"/>
      <c r="K613" s="549">
        <f>SumByColor($A$50, K351:K611)</f>
        <v>0</v>
      </c>
      <c r="L613" s="548"/>
      <c r="M613" s="549">
        <f>SumByColor($A$50, M351:M611)</f>
        <v>0</v>
      </c>
    </row>
    <row r="614" spans="1:13" x14ac:dyDescent="0.25">
      <c r="A614" s="523"/>
      <c r="B614" s="574"/>
      <c r="C614" s="523"/>
      <c r="D614" s="524"/>
      <c r="E614" s="525"/>
      <c r="F614" s="525"/>
      <c r="G614" s="523"/>
      <c r="H614" s="541"/>
      <c r="I614" s="524"/>
      <c r="J614" s="525"/>
      <c r="K614" s="525"/>
      <c r="L614" s="523"/>
      <c r="M614" s="525"/>
    </row>
  </sheetData>
  <mergeCells count="1">
    <mergeCell ref="O41:P41"/>
  </mergeCells>
  <conditionalFormatting sqref="F97:F115 H97:H115 H250 F250 H321:H345 F321:F345">
    <cfRule type="expression" dxfId="1027" priority="108">
      <formula>F97&gt;0</formula>
    </cfRule>
    <cfRule type="expression" dxfId="1026" priority="109">
      <formula>F97&lt;0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0:F96">
    <cfRule type="expression" dxfId="1025" priority="101">
      <formula>F90&gt;0</formula>
    </cfRule>
    <cfRule type="expression" dxfId="1024" priority="102">
      <formula>F90&lt;0</formula>
    </cfRule>
  </conditionalFormatting>
  <conditionalFormatting sqref="H90:H96">
    <cfRule type="expression" dxfId="1023" priority="97">
      <formula>H90&gt;0</formula>
    </cfRule>
    <cfRule type="expression" dxfId="1022" priority="98">
      <formula>H90&lt;0</formula>
    </cfRule>
  </conditionalFormatting>
  <conditionalFormatting sqref="Q8">
    <cfRule type="expression" dxfId="1021" priority="83">
      <formula>Q8&gt;0</formula>
    </cfRule>
    <cfRule type="expression" dxfId="1020" priority="84">
      <formula>Q8&lt;0</formula>
    </cfRule>
  </conditionalFormatting>
  <conditionalFormatting sqref="Q7">
    <cfRule type="expression" dxfId="1019" priority="85">
      <formula>Q7&gt;0</formula>
    </cfRule>
    <cfRule type="expression" dxfId="1018" priority="86">
      <formula>Q7&lt;0</formula>
    </cfRule>
  </conditionalFormatting>
  <conditionalFormatting sqref="F198:F204">
    <cfRule type="expression" dxfId="1017" priority="57">
      <formula>F198&gt;0</formula>
    </cfRule>
    <cfRule type="expression" dxfId="1016" priority="58">
      <formula>F198&lt;0</formula>
    </cfRule>
  </conditionalFormatting>
  <conditionalFormatting sqref="F123:F141 H123:H141">
    <cfRule type="expression" dxfId="1015" priority="79">
      <formula>F123&gt;0</formula>
    </cfRule>
    <cfRule type="expression" dxfId="1014" priority="80">
      <formula>F123&lt;0</formula>
    </cfRule>
  </conditionalFormatting>
  <conditionalFormatting sqref="F116:F122">
    <cfRule type="expression" dxfId="1013" priority="77">
      <formula>F116&gt;0</formula>
    </cfRule>
    <cfRule type="expression" dxfId="1012" priority="78">
      <formula>F116&lt;0</formula>
    </cfRule>
  </conditionalFormatting>
  <conditionalFormatting sqref="H116:H122">
    <cfRule type="expression" dxfId="1011" priority="75">
      <formula>H116&gt;0</formula>
    </cfRule>
    <cfRule type="expression" dxfId="1010" priority="76">
      <formula>H116&lt;0</formula>
    </cfRule>
  </conditionalFormatting>
  <conditionalFormatting sqref="F149:F167 H149:H167">
    <cfRule type="expression" dxfId="1009" priority="73">
      <formula>F149&gt;0</formula>
    </cfRule>
    <cfRule type="expression" dxfId="1008" priority="74">
      <formula>F149&lt;0</formula>
    </cfRule>
  </conditionalFormatting>
  <conditionalFormatting sqref="F142:F148">
    <cfRule type="expression" dxfId="1007" priority="71">
      <formula>F142&gt;0</formula>
    </cfRule>
    <cfRule type="expression" dxfId="1006" priority="72">
      <formula>F142&lt;0</formula>
    </cfRule>
  </conditionalFormatting>
  <conditionalFormatting sqref="H142:H148">
    <cfRule type="expression" dxfId="1005" priority="69">
      <formula>H142&gt;0</formula>
    </cfRule>
    <cfRule type="expression" dxfId="1004" priority="70">
      <formula>H142&lt;0</formula>
    </cfRule>
  </conditionalFormatting>
  <conditionalFormatting sqref="F175:F192 H175:H192">
    <cfRule type="expression" dxfId="1003" priority="67">
      <formula>F175&gt;0</formula>
    </cfRule>
    <cfRule type="expression" dxfId="1002" priority="68">
      <formula>F175&lt;0</formula>
    </cfRule>
  </conditionalFormatting>
  <conditionalFormatting sqref="F168:F174">
    <cfRule type="expression" dxfId="1001" priority="65">
      <formula>F168&gt;0</formula>
    </cfRule>
    <cfRule type="expression" dxfId="1000" priority="66">
      <formula>F168&lt;0</formula>
    </cfRule>
  </conditionalFormatting>
  <conditionalFormatting sqref="H168:H174">
    <cfRule type="expression" dxfId="999" priority="63">
      <formula>H168&gt;0</formula>
    </cfRule>
    <cfRule type="expression" dxfId="998" priority="64">
      <formula>H168&lt;0</formula>
    </cfRule>
  </conditionalFormatting>
  <conditionalFormatting sqref="F193:F197 H193:H197">
    <cfRule type="expression" dxfId="997" priority="61">
      <formula>F193&gt;0</formula>
    </cfRule>
    <cfRule type="expression" dxfId="996" priority="62">
      <formula>F193&lt;0</formula>
    </cfRule>
  </conditionalFormatting>
  <conditionalFormatting sqref="F205:F220 H205:H220">
    <cfRule type="expression" dxfId="995" priority="59">
      <formula>F205&gt;0</formula>
    </cfRule>
    <cfRule type="expression" dxfId="994" priority="60">
      <formula>F205&lt;0</formula>
    </cfRule>
  </conditionalFormatting>
  <conditionalFormatting sqref="H198:H204">
    <cfRule type="expression" dxfId="993" priority="55">
      <formula>H198&gt;0</formula>
    </cfRule>
    <cfRule type="expression" dxfId="992" priority="56">
      <formula>H198&lt;0</formula>
    </cfRule>
  </conditionalFormatting>
  <conditionalFormatting sqref="F221 H221">
    <cfRule type="expression" dxfId="991" priority="53">
      <formula>F221&gt;0</formula>
    </cfRule>
    <cfRule type="expression" dxfId="990" priority="54">
      <formula>F221&lt;0</formula>
    </cfRule>
  </conditionalFormatting>
  <conditionalFormatting sqref="F222:F226 H222:H226">
    <cfRule type="expression" dxfId="989" priority="51">
      <formula>F222&gt;0</formula>
    </cfRule>
    <cfRule type="expression" dxfId="988" priority="52">
      <formula>F222&lt;0</formula>
    </cfRule>
  </conditionalFormatting>
  <conditionalFormatting sqref="F234:F249 H234:H249">
    <cfRule type="expression" dxfId="987" priority="49">
      <formula>F234&gt;0</formula>
    </cfRule>
    <cfRule type="expression" dxfId="986" priority="50">
      <formula>F234&lt;0</formula>
    </cfRule>
  </conditionalFormatting>
  <conditionalFormatting sqref="F227:F233">
    <cfRule type="expression" dxfId="985" priority="47">
      <formula>F227&gt;0</formula>
    </cfRule>
    <cfRule type="expression" dxfId="984" priority="48">
      <formula>F227&lt;0</formula>
    </cfRule>
  </conditionalFormatting>
  <conditionalFormatting sqref="H227:H233">
    <cfRule type="expression" dxfId="983" priority="45">
      <formula>H227&gt;0</formula>
    </cfRule>
    <cfRule type="expression" dxfId="982" priority="46">
      <formula>H227&lt;0</formula>
    </cfRule>
  </conditionalFormatting>
  <conditionalFormatting sqref="F251:F256 H251:H256">
    <cfRule type="expression" dxfId="981" priority="43">
      <formula>F251&gt;0</formula>
    </cfRule>
    <cfRule type="expression" dxfId="980" priority="44">
      <formula>F251&lt;0</formula>
    </cfRule>
  </conditionalFormatting>
  <conditionalFormatting sqref="F257 H257">
    <cfRule type="expression" dxfId="979" priority="41">
      <formula>F257&gt;0</formula>
    </cfRule>
    <cfRule type="expression" dxfId="978" priority="42">
      <formula>F257&lt;0</formula>
    </cfRule>
  </conditionalFormatting>
  <conditionalFormatting sqref="F258:F262 H258:H262">
    <cfRule type="expression" dxfId="977" priority="39">
      <formula>F258&gt;0</formula>
    </cfRule>
    <cfRule type="expression" dxfId="976" priority="40">
      <formula>F258&lt;0</formula>
    </cfRule>
  </conditionalFormatting>
  <conditionalFormatting sqref="F270:F285 H270:H285">
    <cfRule type="expression" dxfId="975" priority="37">
      <formula>F270&gt;0</formula>
    </cfRule>
    <cfRule type="expression" dxfId="974" priority="38">
      <formula>F270&lt;0</formula>
    </cfRule>
  </conditionalFormatting>
  <conditionalFormatting sqref="F263:F269">
    <cfRule type="expression" dxfId="973" priority="35">
      <formula>F263&gt;0</formula>
    </cfRule>
    <cfRule type="expression" dxfId="972" priority="36">
      <formula>F263&lt;0</formula>
    </cfRule>
  </conditionalFormatting>
  <conditionalFormatting sqref="H263:H269">
    <cfRule type="expression" dxfId="971" priority="33">
      <formula>H263&gt;0</formula>
    </cfRule>
    <cfRule type="expression" dxfId="970" priority="34">
      <formula>H263&lt;0</formula>
    </cfRule>
  </conditionalFormatting>
  <conditionalFormatting sqref="F286:F291 H286:H291">
    <cfRule type="expression" dxfId="969" priority="31">
      <formula>F286&gt;0</formula>
    </cfRule>
    <cfRule type="expression" dxfId="968" priority="32">
      <formula>F286&lt;0</formula>
    </cfRule>
  </conditionalFormatting>
  <conditionalFormatting sqref="F292 H292">
    <cfRule type="expression" dxfId="967" priority="29">
      <formula>F292&gt;0</formula>
    </cfRule>
    <cfRule type="expression" dxfId="966" priority="30">
      <formula>F292&lt;0</formula>
    </cfRule>
  </conditionalFormatting>
  <conditionalFormatting sqref="F293:F297 H293:H297">
    <cfRule type="expression" dxfId="965" priority="27">
      <formula>F293&gt;0</formula>
    </cfRule>
    <cfRule type="expression" dxfId="964" priority="28">
      <formula>F293&lt;0</formula>
    </cfRule>
  </conditionalFormatting>
  <conditionalFormatting sqref="F305:F320 H305:H320">
    <cfRule type="expression" dxfId="963" priority="25">
      <formula>F305&gt;0</formula>
    </cfRule>
    <cfRule type="expression" dxfId="962" priority="26">
      <formula>F305&lt;0</formula>
    </cfRule>
  </conditionalFormatting>
  <conditionalFormatting sqref="F298:F304">
    <cfRule type="expression" dxfId="961" priority="23">
      <formula>F298&gt;0</formula>
    </cfRule>
    <cfRule type="expression" dxfId="960" priority="24">
      <formula>F298&lt;0</formula>
    </cfRule>
  </conditionalFormatting>
  <conditionalFormatting sqref="H298:H304">
    <cfRule type="expression" dxfId="959" priority="21">
      <formula>H298&gt;0</formula>
    </cfRule>
    <cfRule type="expression" dxfId="958" priority="22">
      <formula>H298&lt;0</formula>
    </cfRule>
  </conditionalFormatting>
  <conditionalFormatting sqref="M349">
    <cfRule type="expression" dxfId="957" priority="19">
      <formula>M349&gt;0</formula>
    </cfRule>
    <cfRule type="expression" dxfId="956" priority="20">
      <formula>M349&lt;0</formula>
    </cfRule>
  </conditionalFormatting>
  <conditionalFormatting sqref="F72:F86 H72:H86">
    <cfRule type="expression" dxfId="955" priority="17">
      <formula>F72&gt;0</formula>
    </cfRule>
    <cfRule type="expression" dxfId="954" priority="18">
      <formula>F72&lt;0</formula>
    </cfRule>
  </conditionalFormatting>
  <conditionalFormatting sqref="F60:F71">
    <cfRule type="expression" dxfId="953" priority="15">
      <formula>F60&gt;0</formula>
    </cfRule>
    <cfRule type="expression" dxfId="952" priority="16">
      <formula>F60&lt;0</formula>
    </cfRule>
  </conditionalFormatting>
  <conditionalFormatting sqref="H60:H71">
    <cfRule type="expression" dxfId="951" priority="13">
      <formula>H60&gt;0</formula>
    </cfRule>
    <cfRule type="expression" dxfId="950" priority="14">
      <formula>H60&lt;0</formula>
    </cfRule>
  </conditionalFormatting>
  <conditionalFormatting sqref="F54:F59 H54:H59">
    <cfRule type="expression" dxfId="949" priority="11">
      <formula>F54&gt;0</formula>
    </cfRule>
    <cfRule type="expression" dxfId="948" priority="12">
      <formula>F54&lt;0</formula>
    </cfRule>
  </conditionalFormatting>
  <conditionalFormatting sqref="J56:K56">
    <cfRule type="expression" dxfId="947" priority="9">
      <formula>J56&gt;0</formula>
    </cfRule>
    <cfRule type="expression" dxfId="946" priority="10">
      <formula>J56&lt;0</formula>
    </cfRule>
  </conditionalFormatting>
  <conditionalFormatting sqref="J57:K63 K62:K86">
    <cfRule type="expression" dxfId="945" priority="7">
      <formula>J57&gt;0</formula>
    </cfRule>
    <cfRule type="expression" dxfId="944" priority="8">
      <formula>J57&lt;0</formula>
    </cfRule>
  </conditionalFormatting>
  <conditionalFormatting sqref="L56:L86">
    <cfRule type="expression" dxfId="943" priority="3">
      <formula>L56&gt;0</formula>
    </cfRule>
    <cfRule type="expression" dxfId="942" priority="4">
      <formula>L56&lt;0</formula>
    </cfRule>
  </conditionalFormatting>
  <conditionalFormatting sqref="Q10">
    <cfRule type="expression" dxfId="941" priority="1">
      <formula>Q10&gt;0</formula>
    </cfRule>
    <cfRule type="expression" dxfId="940" priority="2">
      <formula>Q10&lt;0</formula>
    </cfRule>
  </conditionalFormatting>
  <hyperlinks>
    <hyperlink ref="A3" location="ACTIVE!A1" display="Back"/>
    <hyperlink ref="A35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3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7" t="s">
        <v>368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31.73925333333333</v>
      </c>
      <c r="T3" s="1" t="s">
        <v>488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>
        <v>42888</v>
      </c>
      <c r="M4" s="44">
        <v>180</v>
      </c>
      <c r="N4" s="4"/>
      <c r="O4" s="11" t="s">
        <v>66</v>
      </c>
      <c r="Q4" s="491">
        <v>29.81</v>
      </c>
      <c r="R4" s="498">
        <v>-9.2999999999999992E-3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44715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47608.88</v>
      </c>
      <c r="T6" t="s">
        <v>560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-1145.9100000000035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-2893.8799999999974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-6.0784458697621065E-2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0"/>
      <c r="C14" s="4"/>
      <c r="D14" s="238"/>
      <c r="E14" s="3"/>
      <c r="F14" s="3"/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0"/>
      <c r="C15" s="4"/>
      <c r="D15" s="238"/>
      <c r="E15" s="3"/>
      <c r="F15" s="3"/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0"/>
      <c r="C16" s="4"/>
      <c r="D16" s="238"/>
      <c r="E16" s="3"/>
      <c r="F16" s="3"/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255.9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196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256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534</v>
      </c>
      <c r="K34" s="227" t="s">
        <v>150</v>
      </c>
      <c r="L34" s="227" t="s">
        <v>751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L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L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388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L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415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L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432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L39" s="40"/>
      <c r="W39" s="132">
        <v>42779</v>
      </c>
      <c r="X39" s="10" t="s">
        <v>386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389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L40" s="40"/>
      <c r="O40" s="697" t="s">
        <v>78</v>
      </c>
      <c r="P40" s="697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457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466</v>
      </c>
      <c r="J41" s="40"/>
      <c r="K41" s="40"/>
      <c r="L41" s="40"/>
      <c r="O41" s="82">
        <v>1.1000000000000001</v>
      </c>
      <c r="P41" s="82">
        <f>O41*$Q$4</f>
        <v>32.791000000000004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356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L42" s="40"/>
      <c r="O42" s="82">
        <v>1.0900000000000001</v>
      </c>
      <c r="P42" s="82">
        <f t="shared" ref="P42:P61" si="9">O42*$Q$4</f>
        <v>32.492899999999999</v>
      </c>
      <c r="Q42" s="2"/>
      <c r="T42" s="90" t="s">
        <v>112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491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9"/>
        <v>32.194800000000001</v>
      </c>
      <c r="Q43" s="2"/>
      <c r="T43" s="127" t="s">
        <v>97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497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9"/>
        <v>31.896699999999999</v>
      </c>
      <c r="Q44" s="2"/>
      <c r="T44" s="92" t="s">
        <v>98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L45" s="40">
        <f t="shared" ref="L45:L49" si="19">(G45-$Q$10)/C45</f>
        <v>30.789686666666672</v>
      </c>
      <c r="O45" s="82">
        <v>1.06</v>
      </c>
      <c r="P45" s="82">
        <f t="shared" si="9"/>
        <v>31.598600000000001</v>
      </c>
      <c r="Q45" s="2"/>
      <c r="T45" s="92" t="s">
        <v>99</v>
      </c>
      <c r="U45" s="87" t="s">
        <v>128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20">C46*(E46-D46)</f>
        <v>-4805.9000000000033</v>
      </c>
      <c r="G46" s="40">
        <f t="shared" ref="G46" si="21">D46*C46</f>
        <v>53595.9</v>
      </c>
      <c r="H46" s="229">
        <f t="shared" ref="H46" si="22">(E46-D46)/D46</f>
        <v>-8.9669172455355772E-2</v>
      </c>
      <c r="I46" s="40"/>
      <c r="J46" s="40">
        <v>23.65</v>
      </c>
      <c r="K46" s="40">
        <v>-3059</v>
      </c>
      <c r="L46" s="40">
        <f t="shared" si="19"/>
        <v>30.498782352941181</v>
      </c>
      <c r="O46" s="82">
        <v>1.05</v>
      </c>
      <c r="P46" s="82">
        <f t="shared" si="9"/>
        <v>31.3005</v>
      </c>
      <c r="Q46" s="2"/>
      <c r="T46" s="92" t="s">
        <v>100</v>
      </c>
      <c r="U46" s="87" t="s">
        <v>128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3">C47*(E47-D47)</f>
        <v>-4532.9999999999973</v>
      </c>
      <c r="G47" s="40">
        <f t="shared" ref="G47" si="24">D47*C47</f>
        <v>47793</v>
      </c>
      <c r="H47" s="229">
        <f t="shared" ref="H47" si="25">(E47-D47)/D47</f>
        <v>-9.4846525641830354E-2</v>
      </c>
      <c r="I47" s="40"/>
      <c r="J47" s="40">
        <v>25.81</v>
      </c>
      <c r="K47" s="40">
        <v>-2785</v>
      </c>
      <c r="L47" s="40">
        <f t="shared" si="19"/>
        <v>30.696686666666672</v>
      </c>
      <c r="O47" s="82">
        <v>1.04</v>
      </c>
      <c r="P47" s="82">
        <f t="shared" si="9"/>
        <v>31.002399999999998</v>
      </c>
      <c r="Q47" s="2"/>
      <c r="T47" s="92" t="s">
        <v>101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6">C48*(E48-D48)</f>
        <v>-4142.9999999999955</v>
      </c>
      <c r="G48" s="40">
        <f t="shared" ref="G48" si="27">D48*C48</f>
        <v>47793</v>
      </c>
      <c r="H48" s="229">
        <f t="shared" ref="H48" si="28">(E48-D48)/D48</f>
        <v>-8.6686334818906446E-2</v>
      </c>
      <c r="I48" s="40"/>
      <c r="J48" s="40"/>
      <c r="K48" s="40">
        <v>-2395</v>
      </c>
      <c r="L48" s="40">
        <f t="shared" si="19"/>
        <v>30.696686666666672</v>
      </c>
      <c r="O48" s="82">
        <v>1.03</v>
      </c>
      <c r="P48" s="82">
        <f t="shared" si="9"/>
        <v>30.7043</v>
      </c>
      <c r="Q48" s="2"/>
      <c r="T48" s="92" t="s">
        <v>102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1:31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9">C49*(E49-D49)</f>
        <v>-3764.9999999999968</v>
      </c>
      <c r="G49" s="40">
        <f t="shared" ref="G49" si="30">D49*C49</f>
        <v>47790</v>
      </c>
      <c r="H49" s="229">
        <f t="shared" ref="H49" si="31">(E49-D49)/D49</f>
        <v>-7.878217200251092E-2</v>
      </c>
      <c r="I49" s="40"/>
      <c r="J49" s="40"/>
      <c r="K49" s="40">
        <v>-2016</v>
      </c>
      <c r="L49" s="40">
        <f t="shared" si="19"/>
        <v>30.694686666666669</v>
      </c>
      <c r="O49" s="82">
        <v>1.02</v>
      </c>
      <c r="P49" s="82">
        <f t="shared" si="9"/>
        <v>30.406199999999998</v>
      </c>
      <c r="Q49" s="2"/>
      <c r="T49" s="92" t="s">
        <v>103</v>
      </c>
      <c r="U49" s="87" t="s">
        <v>548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1:31" x14ac:dyDescent="0.25">
      <c r="A50">
        <v>1500</v>
      </c>
      <c r="B50" s="191">
        <v>42877</v>
      </c>
      <c r="C50" s="10">
        <v>1500</v>
      </c>
      <c r="D50" s="40">
        <v>31.86</v>
      </c>
      <c r="E50" s="40">
        <v>29.23</v>
      </c>
      <c r="F50" s="40">
        <f t="shared" ref="F50" si="32">C50*(E50-D50)</f>
        <v>-3944.9999999999986</v>
      </c>
      <c r="G50" s="40">
        <f t="shared" ref="G50" si="33">D50*C50</f>
        <v>47790</v>
      </c>
      <c r="H50" s="229">
        <f t="shared" ref="H50" si="34">(E50-D50)/D50</f>
        <v>-8.2548650345260488E-2</v>
      </c>
      <c r="I50" s="40"/>
      <c r="J50" s="40"/>
      <c r="K50" s="40">
        <v>-2196</v>
      </c>
      <c r="L50" s="40">
        <f>(G50-$Q$10)/C50</f>
        <v>30.694686666666669</v>
      </c>
      <c r="O50" s="82">
        <v>1.01</v>
      </c>
      <c r="P50" s="82">
        <f t="shared" si="9"/>
        <v>30.1081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1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L51" s="40"/>
      <c r="O51" s="82">
        <v>1</v>
      </c>
      <c r="P51" s="82">
        <f t="shared" si="9"/>
        <v>29.81</v>
      </c>
      <c r="Q51" s="2"/>
      <c r="T51" s="92" t="s">
        <v>104</v>
      </c>
      <c r="U51" s="87" t="s">
        <v>653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1:31" x14ac:dyDescent="0.25">
      <c r="B52" s="10"/>
      <c r="C52" s="10"/>
      <c r="D52" s="40"/>
      <c r="E52" s="40"/>
      <c r="F52" s="40"/>
      <c r="G52" s="10"/>
      <c r="H52" s="10"/>
      <c r="I52" s="40"/>
      <c r="J52" s="40"/>
      <c r="K52" s="40"/>
      <c r="L52" s="40"/>
      <c r="O52" s="82">
        <v>0.99</v>
      </c>
      <c r="P52" s="82">
        <f t="shared" si="9"/>
        <v>29.511899999999997</v>
      </c>
      <c r="Q52" s="2"/>
      <c r="T52" s="92" t="s">
        <v>105</v>
      </c>
      <c r="U52" s="87" t="s">
        <v>654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1:31" x14ac:dyDescent="0.25">
      <c r="B53" s="10"/>
      <c r="C53" s="10"/>
      <c r="D53" s="40"/>
      <c r="E53" s="40"/>
      <c r="F53" s="40"/>
      <c r="G53" s="10"/>
      <c r="H53" s="10"/>
      <c r="I53" s="40"/>
      <c r="J53" s="40"/>
      <c r="K53" s="40"/>
      <c r="L53" s="40"/>
      <c r="O53" s="82">
        <v>0.98</v>
      </c>
      <c r="P53" s="82">
        <f t="shared" si="9"/>
        <v>29.213799999999999</v>
      </c>
      <c r="Q53" s="2"/>
      <c r="T53" s="92" t="s">
        <v>106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1:31" x14ac:dyDescent="0.25">
      <c r="B54" s="10"/>
      <c r="C54" s="10"/>
      <c r="D54" s="40"/>
      <c r="E54" s="40"/>
      <c r="F54" s="40"/>
      <c r="G54" s="10"/>
      <c r="H54" s="10"/>
      <c r="I54" s="40"/>
      <c r="J54" s="40"/>
      <c r="K54" s="40"/>
      <c r="L54" s="40"/>
      <c r="O54" s="82">
        <v>0.97</v>
      </c>
      <c r="P54" s="82">
        <f t="shared" si="9"/>
        <v>28.915699999999998</v>
      </c>
      <c r="T54" s="92" t="s">
        <v>109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1:31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L55" s="40"/>
      <c r="O55" s="82">
        <v>0.96</v>
      </c>
      <c r="P55" s="82">
        <f t="shared" si="9"/>
        <v>28.617599999999999</v>
      </c>
      <c r="T55" s="92" t="s">
        <v>107</v>
      </c>
      <c r="U55" s="87" t="s">
        <v>655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1:31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9"/>
        <v>28.319499999999998</v>
      </c>
      <c r="T56" s="92" t="s">
        <v>110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1:31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9"/>
        <v>28.021399999999996</v>
      </c>
      <c r="T57" s="92" t="s">
        <v>111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1:31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9"/>
        <v>27.723300000000002</v>
      </c>
      <c r="T58" s="92" t="s">
        <v>108</v>
      </c>
      <c r="U58" s="87" t="s">
        <v>587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1:31" x14ac:dyDescent="0.25">
      <c r="O59" s="82">
        <v>0.92</v>
      </c>
      <c r="P59" s="82">
        <f t="shared" si="9"/>
        <v>27.4252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1:31" x14ac:dyDescent="0.25">
      <c r="O60" s="82">
        <v>0.91</v>
      </c>
      <c r="P60" s="82">
        <f t="shared" si="9"/>
        <v>27.127099999999999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1:31" x14ac:dyDescent="0.25">
      <c r="O61" s="82">
        <v>0.9</v>
      </c>
      <c r="P61" s="82">
        <f t="shared" si="9"/>
        <v>26.829000000000001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1:31" x14ac:dyDescent="0.25"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1:31" x14ac:dyDescent="0.25"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1:31" x14ac:dyDescent="0.25"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35">C65*(E65-D65)</f>
        <v>-33.800000000000097</v>
      </c>
      <c r="G65" s="378">
        <f t="shared" ref="G65:G78" si="36">D65*C65</f>
        <v>3591.7999999999997</v>
      </c>
      <c r="H65" s="379">
        <f t="shared" ref="H65:H78" si="37">(E65-D65)/D65</f>
        <v>-9.410323514672336E-3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35"/>
        <v>85.200000000000387</v>
      </c>
      <c r="G66" s="378">
        <f t="shared" si="36"/>
        <v>3591.7999999999997</v>
      </c>
      <c r="H66" s="379">
        <f t="shared" si="37"/>
        <v>2.3720697143493622E-2</v>
      </c>
      <c r="I66" s="378"/>
      <c r="O66" s="11" t="s">
        <v>753</v>
      </c>
      <c r="S66" s="23" t="s">
        <v>752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35"/>
        <v>-136.80000000000021</v>
      </c>
      <c r="G67" s="378">
        <f t="shared" si="36"/>
        <v>3591.7999999999997</v>
      </c>
      <c r="H67" s="379">
        <f t="shared" si="37"/>
        <v>-3.8086753159975562E-2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35"/>
        <v>-147.56000000000029</v>
      </c>
      <c r="G68" s="378">
        <f t="shared" si="36"/>
        <v>4959.3599999999997</v>
      </c>
      <c r="H68" s="379">
        <f t="shared" si="37"/>
        <v>-2.9753839205058776E-2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35"/>
        <v>-49.199999999999591</v>
      </c>
      <c r="G69" s="378">
        <f t="shared" si="36"/>
        <v>8408.4</v>
      </c>
      <c r="H69" s="379">
        <f t="shared" si="37"/>
        <v>-5.8512915655772315E-3</v>
      </c>
      <c r="I69" s="378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35"/>
        <v>109.60000000000036</v>
      </c>
      <c r="G70" s="378">
        <f t="shared" si="36"/>
        <v>6994.4000000000005</v>
      </c>
      <c r="H70" s="379">
        <f t="shared" si="37"/>
        <v>1.5669678600022927E-2</v>
      </c>
      <c r="I70" s="378"/>
    </row>
    <row r="71" spans="2:31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35"/>
        <v>-6.4000000000007162</v>
      </c>
      <c r="G71" s="378">
        <f t="shared" si="36"/>
        <v>6994.4000000000005</v>
      </c>
      <c r="H71" s="379">
        <f t="shared" si="37"/>
        <v>-9.150177284685914E-4</v>
      </c>
      <c r="I71" s="378"/>
    </row>
    <row r="72" spans="2:31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35"/>
        <v>166.71999999999912</v>
      </c>
      <c r="G72" s="378">
        <f t="shared" si="36"/>
        <v>5554.880000000001</v>
      </c>
      <c r="H72" s="379">
        <f t="shared" si="37"/>
        <v>3.0013249611152554E-2</v>
      </c>
      <c r="I72" s="378"/>
    </row>
    <row r="73" spans="2:31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35"/>
        <v>218.88000000000034</v>
      </c>
      <c r="G73" s="378">
        <f t="shared" si="36"/>
        <v>5544.32</v>
      </c>
      <c r="H73" s="379">
        <f t="shared" si="37"/>
        <v>3.9478240794182211E-2</v>
      </c>
      <c r="I73" s="378"/>
    </row>
    <row r="74" spans="2:31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35"/>
        <v>298.88000000000034</v>
      </c>
      <c r="G74" s="378">
        <f t="shared" si="36"/>
        <v>5544.32</v>
      </c>
      <c r="H74" s="379">
        <f t="shared" si="37"/>
        <v>5.3907422371003176E-2</v>
      </c>
      <c r="I74" s="378"/>
    </row>
    <row r="75" spans="2:31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35"/>
        <v>363.18000000000006</v>
      </c>
      <c r="G75" s="378">
        <f t="shared" si="36"/>
        <v>1845.42</v>
      </c>
      <c r="H75" s="379">
        <f t="shared" si="37"/>
        <v>0.1968007282894951</v>
      </c>
      <c r="I75" s="378"/>
    </row>
    <row r="76" spans="2:31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35"/>
        <v>329.12000000000035</v>
      </c>
      <c r="G76" s="378">
        <f t="shared" si="36"/>
        <v>5384.48</v>
      </c>
      <c r="H76" s="379">
        <f t="shared" si="37"/>
        <v>6.1123822541823976E-2</v>
      </c>
      <c r="I76" s="378"/>
    </row>
    <row r="77" spans="2:31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35"/>
        <v>169.60000000000036</v>
      </c>
      <c r="G77" s="378">
        <f t="shared" si="36"/>
        <v>5384</v>
      </c>
      <c r="H77" s="379">
        <f t="shared" si="37"/>
        <v>3.1500742942050589E-2</v>
      </c>
      <c r="I77" s="378"/>
    </row>
    <row r="78" spans="2:31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35"/>
        <v>474.7199999999998</v>
      </c>
      <c r="G78" s="378">
        <f t="shared" si="36"/>
        <v>5384.48</v>
      </c>
      <c r="H78" s="379">
        <f t="shared" si="37"/>
        <v>8.8164502421775148E-2</v>
      </c>
      <c r="I78" s="378"/>
    </row>
    <row r="79" spans="2:31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38">C79*(E79-D79)</f>
        <v>588.31999999999994</v>
      </c>
      <c r="G79" s="378">
        <f t="shared" ref="G79:G92" si="39">D79*C79</f>
        <v>5384.48</v>
      </c>
      <c r="H79" s="379">
        <f t="shared" ref="H79:H121" si="40">(E79-D79)/D79</f>
        <v>0.10926217573470418</v>
      </c>
      <c r="I79" s="378"/>
    </row>
    <row r="80" spans="2:31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38"/>
        <v>673.12000000000012</v>
      </c>
      <c r="G80" s="378">
        <f t="shared" si="39"/>
        <v>5384.48</v>
      </c>
      <c r="H80" s="379">
        <f t="shared" si="40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38"/>
        <v>597.9200000000003</v>
      </c>
      <c r="G81" s="378">
        <f t="shared" si="39"/>
        <v>5384.48</v>
      </c>
      <c r="H81" s="379">
        <f t="shared" si="40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38"/>
        <v>489.12000000000035</v>
      </c>
      <c r="G82" s="378">
        <f t="shared" si="39"/>
        <v>5384.48</v>
      </c>
      <c r="H82" s="379">
        <f t="shared" si="40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38"/>
        <v>409.12000000000035</v>
      </c>
      <c r="G83" s="378">
        <f t="shared" si="39"/>
        <v>5384.48</v>
      </c>
      <c r="H83" s="379">
        <f t="shared" si="40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38"/>
        <v>439.52</v>
      </c>
      <c r="G84" s="378">
        <f t="shared" si="39"/>
        <v>5384.48</v>
      </c>
      <c r="H84" s="379">
        <f t="shared" si="40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38"/>
        <v>369.12000000000035</v>
      </c>
      <c r="G85" s="378">
        <f t="shared" si="39"/>
        <v>5384.48</v>
      </c>
      <c r="H85" s="379">
        <f t="shared" si="40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38"/>
        <v>341.92000000000007</v>
      </c>
      <c r="G86" s="378">
        <f t="shared" si="39"/>
        <v>5384.48</v>
      </c>
      <c r="H86" s="379">
        <f t="shared" si="40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38"/>
        <v>442.72000000000048</v>
      </c>
      <c r="G87" s="378">
        <f t="shared" si="39"/>
        <v>5384.48</v>
      </c>
      <c r="H87" s="379">
        <f t="shared" si="40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38"/>
        <v>90.619999999999621</v>
      </c>
      <c r="G88" s="378">
        <f t="shared" si="39"/>
        <v>7821.38</v>
      </c>
      <c r="H88" s="379">
        <f t="shared" si="40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38"/>
        <v>51.480000000000103</v>
      </c>
      <c r="G89" s="378">
        <f t="shared" si="39"/>
        <v>8837.92</v>
      </c>
      <c r="H89" s="379">
        <f t="shared" si="40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38"/>
        <v>-376.80000000000007</v>
      </c>
      <c r="G90" s="378">
        <f t="shared" si="39"/>
        <v>10159.799999999999</v>
      </c>
      <c r="H90" s="379">
        <f t="shared" si="40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38"/>
        <v>-388.00000000000239</v>
      </c>
      <c r="G91" s="378">
        <f t="shared" si="39"/>
        <v>13408.000000000002</v>
      </c>
      <c r="H91" s="379">
        <f t="shared" si="40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38"/>
        <v>-262.9400000000004</v>
      </c>
      <c r="G92" s="378">
        <f t="shared" si="39"/>
        <v>13354.939999999999</v>
      </c>
      <c r="H92" s="379">
        <f t="shared" si="40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38"/>
        <v>-514.93999999999858</v>
      </c>
      <c r="G93" s="378">
        <f t="shared" ref="G93:G98" si="41">D93*C93</f>
        <v>13354.939999999999</v>
      </c>
      <c r="H93" s="379">
        <f t="shared" si="40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38"/>
        <v>-582.93999999999892</v>
      </c>
      <c r="G94" s="378">
        <f t="shared" si="41"/>
        <v>16522.939999999999</v>
      </c>
      <c r="H94" s="379">
        <f t="shared" si="40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38"/>
        <v>-292.93999999999801</v>
      </c>
      <c r="G95" s="378">
        <f t="shared" si="41"/>
        <v>16522.939999999999</v>
      </c>
      <c r="H95" s="379">
        <f t="shared" si="40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38"/>
        <v>-217.93999999999869</v>
      </c>
      <c r="G96" s="378">
        <f t="shared" si="41"/>
        <v>16522.939999999999</v>
      </c>
      <c r="H96" s="379">
        <f t="shared" si="40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38"/>
        <v>-92.93999999999869</v>
      </c>
      <c r="G97" s="378">
        <f t="shared" si="41"/>
        <v>16522.939999999999</v>
      </c>
      <c r="H97" s="379">
        <f t="shared" si="40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38"/>
        <v>-397.93999999999841</v>
      </c>
      <c r="G98" s="378">
        <f t="shared" si="41"/>
        <v>16522.939999999999</v>
      </c>
      <c r="H98" s="379">
        <f t="shared" si="40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38"/>
        <v>-27.939999999997411</v>
      </c>
      <c r="G99" s="378">
        <f t="shared" ref="G99:G121" si="42">D99*C99</f>
        <v>16522.939999999999</v>
      </c>
      <c r="H99" s="379">
        <f t="shared" si="40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38"/>
        <v>-142.9399999999994</v>
      </c>
      <c r="G100" s="378">
        <f t="shared" si="42"/>
        <v>16522.939999999999</v>
      </c>
      <c r="H100" s="379">
        <f t="shared" si="40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38"/>
        <v>-357.93999999999926</v>
      </c>
      <c r="G101" s="378">
        <f t="shared" si="42"/>
        <v>16522.939999999999</v>
      </c>
      <c r="H101" s="379">
        <f t="shared" si="40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38"/>
        <v>-442.94000000000011</v>
      </c>
      <c r="G102" s="378">
        <f t="shared" si="42"/>
        <v>16522.939999999999</v>
      </c>
      <c r="H102" s="379">
        <f t="shared" si="40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38"/>
        <v>-542.93999999999801</v>
      </c>
      <c r="G103" s="378">
        <f t="shared" si="42"/>
        <v>16522.939999999999</v>
      </c>
      <c r="H103" s="379">
        <f t="shared" si="40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38"/>
        <v>-224.94000000000014</v>
      </c>
      <c r="G104" s="378">
        <f t="shared" si="42"/>
        <v>16474.939999999999</v>
      </c>
      <c r="H104" s="379">
        <f t="shared" si="40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38"/>
        <v>-139.93999999999929</v>
      </c>
      <c r="G105" s="378">
        <f t="shared" si="42"/>
        <v>16474.939999999999</v>
      </c>
      <c r="H105" s="379">
        <f t="shared" si="40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38"/>
        <v>-847.93799999999919</v>
      </c>
      <c r="G106" s="378">
        <f t="shared" si="42"/>
        <v>19639.937999999998</v>
      </c>
      <c r="H106" s="379">
        <f t="shared" si="40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38"/>
        <v>-833.93799999999771</v>
      </c>
      <c r="G107" s="378">
        <f t="shared" si="42"/>
        <v>22757.937999999998</v>
      </c>
      <c r="H107" s="379">
        <f t="shared" si="40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38"/>
        <v>-840.93799999999885</v>
      </c>
      <c r="G108" s="378">
        <f t="shared" si="42"/>
        <v>22757.937999999998</v>
      </c>
      <c r="H108" s="379">
        <f t="shared" si="40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38"/>
        <v>-700.9379999999968</v>
      </c>
      <c r="G109" s="378">
        <f t="shared" si="42"/>
        <v>22757.937999999998</v>
      </c>
      <c r="H109" s="379">
        <f t="shared" si="40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38"/>
        <v>-1125.9439999999984</v>
      </c>
      <c r="G110" s="378">
        <f t="shared" si="42"/>
        <v>25837.944</v>
      </c>
      <c r="H110" s="379">
        <f t="shared" si="40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38"/>
        <v>-1205.9439999999995</v>
      </c>
      <c r="G111" s="378">
        <f t="shared" si="42"/>
        <v>25837.944</v>
      </c>
      <c r="H111" s="379">
        <f t="shared" si="40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38"/>
        <v>-965.94399999999894</v>
      </c>
      <c r="G112" s="378">
        <f t="shared" si="42"/>
        <v>25837.944</v>
      </c>
      <c r="H112" s="379">
        <f t="shared" si="40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38"/>
        <v>-1477.9439999999995</v>
      </c>
      <c r="G113" s="378">
        <f t="shared" si="42"/>
        <v>25837.944</v>
      </c>
      <c r="H113" s="379">
        <f t="shared" si="40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38"/>
        <v>-1773.936000000002</v>
      </c>
      <c r="G114" s="378">
        <f t="shared" si="42"/>
        <v>28845.936000000002</v>
      </c>
      <c r="H114" s="379">
        <f t="shared" si="40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38"/>
        <v>-1935.9360000000017</v>
      </c>
      <c r="G115" s="378">
        <f t="shared" si="42"/>
        <v>28845.936000000002</v>
      </c>
      <c r="H115" s="379">
        <f t="shared" si="40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38"/>
        <v>-1989.9360000000006</v>
      </c>
      <c r="G116" s="378">
        <f t="shared" si="42"/>
        <v>28845.936000000002</v>
      </c>
      <c r="H116" s="379">
        <f t="shared" si="40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38"/>
        <v>-2133.9360000000006</v>
      </c>
      <c r="G117" s="378">
        <f t="shared" si="42"/>
        <v>28845.936000000002</v>
      </c>
      <c r="H117" s="379">
        <f t="shared" si="40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38"/>
        <v>-2505.9399999999991</v>
      </c>
      <c r="G118" s="378">
        <f t="shared" si="42"/>
        <v>31785.94</v>
      </c>
      <c r="H118" s="379">
        <f t="shared" si="40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38"/>
        <v>-2945.94</v>
      </c>
      <c r="G119" s="378">
        <f t="shared" si="42"/>
        <v>31785.94</v>
      </c>
      <c r="H119" s="379">
        <f t="shared" si="40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38"/>
        <v>-2415.9399999999991</v>
      </c>
      <c r="G120" s="378">
        <f t="shared" si="42"/>
        <v>31785.94</v>
      </c>
      <c r="H120" s="379">
        <f t="shared" si="40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38"/>
        <v>-2785.94</v>
      </c>
      <c r="G121" s="378">
        <f t="shared" si="42"/>
        <v>31785.94</v>
      </c>
      <c r="H121" s="379">
        <f t="shared" si="40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43">C122*(E122-D122)</f>
        <v>-1145.9399999999996</v>
      </c>
      <c r="G122" s="378">
        <f t="shared" ref="G122:G127" si="44">D122*C122</f>
        <v>31785.94</v>
      </c>
      <c r="H122" s="379">
        <f t="shared" ref="H122:H127" si="45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43"/>
        <v>-520.01099999999701</v>
      </c>
      <c r="G123" s="378">
        <f t="shared" si="44"/>
        <v>28654.010999999999</v>
      </c>
      <c r="H123" s="379">
        <f t="shared" si="45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43"/>
        <v>-783.99999999999886</v>
      </c>
      <c r="G124" s="378">
        <f t="shared" si="44"/>
        <v>31764</v>
      </c>
      <c r="H124" s="379">
        <f t="shared" si="45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43"/>
        <v>350.64000000000027</v>
      </c>
      <c r="G125" s="378">
        <f t="shared" si="44"/>
        <v>15759.359999999999</v>
      </c>
      <c r="H125" s="379">
        <f t="shared" si="45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43"/>
        <v>-398.86400000000037</v>
      </c>
      <c r="G126" s="378">
        <f t="shared" si="44"/>
        <v>25214.864000000001</v>
      </c>
      <c r="H126" s="379">
        <f t="shared" si="45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43"/>
        <v>1280.8600000000013</v>
      </c>
      <c r="G127" s="378">
        <f t="shared" si="44"/>
        <v>12271.14</v>
      </c>
      <c r="H127" s="379">
        <f t="shared" si="45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46">C128*(E128-D128)</f>
        <v>648.8599999999991</v>
      </c>
      <c r="G128" s="378">
        <f t="shared" ref="G128:G134" si="47">D128*C128</f>
        <v>12271.14</v>
      </c>
      <c r="H128" s="379">
        <f t="shared" ref="H128:H134" si="48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46"/>
        <v>1108.8599999999985</v>
      </c>
      <c r="G129" s="378">
        <f t="shared" si="47"/>
        <v>12211.14</v>
      </c>
      <c r="H129" s="379">
        <f t="shared" si="48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46"/>
        <v>1467.7889999999991</v>
      </c>
      <c r="G130" s="378">
        <f t="shared" si="47"/>
        <v>8789.2109999999993</v>
      </c>
      <c r="H130" s="379">
        <f t="shared" si="48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46"/>
        <v>1645.7100000000005</v>
      </c>
      <c r="G131" s="378">
        <f t="shared" si="47"/>
        <v>5310.29</v>
      </c>
      <c r="H131" s="379">
        <f t="shared" si="48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46"/>
        <v>1537.7099999999996</v>
      </c>
      <c r="G132" s="378">
        <f t="shared" si="47"/>
        <v>8728.2900000000009</v>
      </c>
      <c r="H132" s="379">
        <f t="shared" si="48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46"/>
        <v>1754.0499999999997</v>
      </c>
      <c r="G133" s="378">
        <f t="shared" si="47"/>
        <v>1717.95</v>
      </c>
      <c r="H133" s="379">
        <f t="shared" si="48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46"/>
        <v>1742.0399999999997</v>
      </c>
      <c r="G134" s="378">
        <f t="shared" si="47"/>
        <v>8673.9599999999991</v>
      </c>
      <c r="H134" s="379">
        <f t="shared" si="48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49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49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49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50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49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50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49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50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49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50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49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50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49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50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49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50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49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50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49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50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49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50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49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50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49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50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49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50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49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50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49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50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49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50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49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49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49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39" priority="49">
      <formula>F69&gt;0</formula>
    </cfRule>
    <cfRule type="expression" dxfId="938" priority="50">
      <formula>F69&lt;0</formula>
    </cfRule>
  </conditionalFormatting>
  <conditionalFormatting sqref="F74:F87 F90:F134 F137:F138">
    <cfRule type="expression" dxfId="937" priority="45">
      <formula>F74&gt;0</formula>
    </cfRule>
    <cfRule type="expression" dxfId="936" priority="46">
      <formula>F74&lt;0</formula>
    </cfRule>
  </conditionalFormatting>
  <conditionalFormatting sqref="F74:F87 F90:F134 F137:F138">
    <cfRule type="expression" dxfId="935" priority="47">
      <formula>F74&gt;0</formula>
    </cfRule>
    <cfRule type="expression" dxfId="934" priority="48">
      <formula>F74&lt;0</formula>
    </cfRule>
  </conditionalFormatting>
  <conditionalFormatting sqref="H69:H87 H90:H134 H137:H138">
    <cfRule type="expression" dxfId="933" priority="43">
      <formula>H69&gt;0</formula>
    </cfRule>
    <cfRule type="expression" dxfId="932" priority="44">
      <formula>H69&lt;0</formula>
    </cfRule>
  </conditionalFormatting>
  <conditionalFormatting sqref="F65:F68">
    <cfRule type="expression" dxfId="931" priority="37">
      <formula>F65&gt;0</formula>
    </cfRule>
    <cfRule type="expression" dxfId="930" priority="38">
      <formula>F65&lt;0</formula>
    </cfRule>
  </conditionalFormatting>
  <conditionalFormatting sqref="H65:H68">
    <cfRule type="expression" dxfId="929" priority="35">
      <formula>H65&gt;0</formula>
    </cfRule>
    <cfRule type="expression" dxfId="928" priority="36">
      <formula>H65&lt;0</formula>
    </cfRule>
  </conditionalFormatting>
  <conditionalFormatting sqref="Q8">
    <cfRule type="expression" dxfId="927" priority="31">
      <formula>Q8&gt;0</formula>
    </cfRule>
    <cfRule type="expression" dxfId="926" priority="32">
      <formula>Q8&lt;0</formula>
    </cfRule>
  </conditionalFormatting>
  <conditionalFormatting sqref="Q7">
    <cfRule type="expression" dxfId="925" priority="33">
      <formula>Q7&gt;0</formula>
    </cfRule>
    <cfRule type="expression" dxfId="924" priority="34">
      <formula>Q7&lt;0</formula>
    </cfRule>
  </conditionalFormatting>
  <conditionalFormatting sqref="F88">
    <cfRule type="expression" dxfId="923" priority="27">
      <formula>F88&gt;0</formula>
    </cfRule>
    <cfRule type="expression" dxfId="922" priority="28">
      <formula>F88&lt;0</formula>
    </cfRule>
  </conditionalFormatting>
  <conditionalFormatting sqref="F88">
    <cfRule type="expression" dxfId="921" priority="29">
      <formula>F88&gt;0</formula>
    </cfRule>
    <cfRule type="expression" dxfId="920" priority="30">
      <formula>F88&lt;0</formula>
    </cfRule>
  </conditionalFormatting>
  <conditionalFormatting sqref="H88">
    <cfRule type="expression" dxfId="919" priority="25">
      <formula>H88&gt;0</formula>
    </cfRule>
    <cfRule type="expression" dxfId="918" priority="26">
      <formula>H88&lt;0</formula>
    </cfRule>
  </conditionalFormatting>
  <conditionalFormatting sqref="F89">
    <cfRule type="expression" dxfId="917" priority="21">
      <formula>F89&gt;0</formula>
    </cfRule>
    <cfRule type="expression" dxfId="916" priority="22">
      <formula>F89&lt;0</formula>
    </cfRule>
  </conditionalFormatting>
  <conditionalFormatting sqref="F89">
    <cfRule type="expression" dxfId="915" priority="23">
      <formula>F89&gt;0</formula>
    </cfRule>
    <cfRule type="expression" dxfId="914" priority="24">
      <formula>F89&lt;0</formula>
    </cfRule>
  </conditionalFormatting>
  <conditionalFormatting sqref="H89">
    <cfRule type="expression" dxfId="913" priority="19">
      <formula>H89&gt;0</formula>
    </cfRule>
    <cfRule type="expression" dxfId="912" priority="20">
      <formula>H89&lt;0</formula>
    </cfRule>
  </conditionalFormatting>
  <conditionalFormatting sqref="F135:F136">
    <cfRule type="expression" dxfId="911" priority="15">
      <formula>F135&gt;0</formula>
    </cfRule>
    <cfRule type="expression" dxfId="910" priority="16">
      <formula>F135&lt;0</formula>
    </cfRule>
  </conditionalFormatting>
  <conditionalFormatting sqref="F135:F136">
    <cfRule type="expression" dxfId="909" priority="17">
      <formula>F135&gt;0</formula>
    </cfRule>
    <cfRule type="expression" dxfId="908" priority="18">
      <formula>F135&lt;0</formula>
    </cfRule>
  </conditionalFormatting>
  <conditionalFormatting sqref="H135:H136">
    <cfRule type="expression" dxfId="907" priority="13">
      <formula>H135&gt;0</formula>
    </cfRule>
    <cfRule type="expression" dxfId="906" priority="14">
      <formula>H135&lt;0</formula>
    </cfRule>
  </conditionalFormatting>
  <conditionalFormatting sqref="F35:F50">
    <cfRule type="expression" dxfId="905" priority="11">
      <formula>F35&gt;0</formula>
    </cfRule>
    <cfRule type="expression" dxfId="904" priority="12">
      <formula>F35&lt;0</formula>
    </cfRule>
  </conditionalFormatting>
  <conditionalFormatting sqref="H35:H50">
    <cfRule type="expression" dxfId="903" priority="9">
      <formula>H35&gt;0</formula>
    </cfRule>
    <cfRule type="expression" dxfId="902" priority="10">
      <formula>H35&lt;0</formula>
    </cfRule>
  </conditionalFormatting>
  <conditionalFormatting sqref="Q10">
    <cfRule type="expression" dxfId="901" priority="7">
      <formula>Q10&gt;0</formula>
    </cfRule>
    <cfRule type="expression" dxfId="900" priority="8">
      <formula>Q10&lt;0</formula>
    </cfRule>
  </conditionalFormatting>
  <conditionalFormatting sqref="J45:K45">
    <cfRule type="expression" dxfId="899" priority="5">
      <formula>J45&gt;0</formula>
    </cfRule>
    <cfRule type="expression" dxfId="898" priority="6">
      <formula>J45&lt;0</formula>
    </cfRule>
  </conditionalFormatting>
  <conditionalFormatting sqref="K46">
    <cfRule type="expression" dxfId="897" priority="3">
      <formula>K46&gt;0</formula>
    </cfRule>
    <cfRule type="expression" dxfId="896" priority="4">
      <formula>K46&lt;0</formula>
    </cfRule>
  </conditionalFormatting>
  <conditionalFormatting sqref="K47:K58">
    <cfRule type="expression" dxfId="895" priority="1">
      <formula>K47&gt;0</formula>
    </cfRule>
    <cfRule type="expression" dxfId="894" priority="2">
      <formula>K47&lt;0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11.12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11.12</v>
      </c>
      <c r="R4" s="498">
        <v>-1.1599999999999999E-2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697" t="s">
        <v>78</v>
      </c>
      <c r="P40" s="697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12.231999999999999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259</v>
      </c>
      <c r="O42" s="82">
        <v>1.0900000000000001</v>
      </c>
      <c r="P42" s="82">
        <f t="shared" ref="P42:P61" si="8">O42*$Q$4</f>
        <v>12.120800000000001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12.009600000000001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11.898400000000001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11.7872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11.676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11.5648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11.4536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11.3424</v>
      </c>
      <c r="Q49" s="2"/>
      <c r="T49" s="92" t="s">
        <v>103</v>
      </c>
      <c r="U49" s="87" t="s">
        <v>393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11.231199999999999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11.12</v>
      </c>
      <c r="Q51" s="2"/>
      <c r="T51" s="92" t="s">
        <v>104</v>
      </c>
      <c r="U51" s="87" t="s">
        <v>656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11.008799999999999</v>
      </c>
      <c r="Q52" s="2"/>
      <c r="T52" s="92" t="s">
        <v>105</v>
      </c>
      <c r="U52" s="87" t="s">
        <v>411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10.897599999999999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10.786399999999999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10.675199999999998</v>
      </c>
      <c r="T55" s="92" t="s">
        <v>107</v>
      </c>
      <c r="U55" s="87" t="s">
        <v>657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10.563999999999998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10.452799999999998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10.3416</v>
      </c>
      <c r="T58" s="92" t="s">
        <v>108</v>
      </c>
      <c r="U58" s="87" t="s">
        <v>579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10.230399999999999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10.119199999999999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10.007999999999999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199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196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93" priority="25">
      <formula>F30&gt;0</formula>
    </cfRule>
    <cfRule type="expression" dxfId="892" priority="26">
      <formula>F30&lt;0</formula>
    </cfRule>
  </conditionalFormatting>
  <conditionalFormatting sqref="F34:F42 F46:F74">
    <cfRule type="expression" dxfId="891" priority="21">
      <formula>F34&gt;0</formula>
    </cfRule>
    <cfRule type="expression" dxfId="890" priority="22">
      <formula>F34&lt;0</formula>
    </cfRule>
  </conditionalFormatting>
  <conditionalFormatting sqref="F34:F42 F46:F74">
    <cfRule type="expression" dxfId="889" priority="23">
      <formula>F34&gt;0</formula>
    </cfRule>
    <cfRule type="expression" dxfId="888" priority="24">
      <formula>F34&lt;0</formula>
    </cfRule>
  </conditionalFormatting>
  <conditionalFormatting sqref="H30:H42 H46:H74">
    <cfRule type="expression" dxfId="887" priority="19">
      <formula>H30&gt;0</formula>
    </cfRule>
    <cfRule type="expression" dxfId="886" priority="20">
      <formula>H30&lt;0</formula>
    </cfRule>
  </conditionalFormatting>
  <conditionalFormatting sqref="F25:F29">
    <cfRule type="expression" dxfId="885" priority="13">
      <formula>F25&gt;0</formula>
    </cfRule>
    <cfRule type="expression" dxfId="884" priority="14">
      <formula>F25&lt;0</formula>
    </cfRule>
  </conditionalFormatting>
  <conditionalFormatting sqref="H25:H29">
    <cfRule type="expression" dxfId="883" priority="11">
      <formula>H25&gt;0</formula>
    </cfRule>
    <cfRule type="expression" dxfId="882" priority="12">
      <formula>H25&lt;0</formula>
    </cfRule>
  </conditionalFormatting>
  <conditionalFormatting sqref="Q7">
    <cfRule type="expression" dxfId="881" priority="9">
      <formula>Q7&gt;0</formula>
    </cfRule>
    <cfRule type="expression" dxfId="880" priority="10">
      <formula>Q7&lt;0</formula>
    </cfRule>
  </conditionalFormatting>
  <conditionalFormatting sqref="Q8">
    <cfRule type="expression" dxfId="879" priority="7">
      <formula>Q8&gt;0</formula>
    </cfRule>
    <cfRule type="expression" dxfId="878" priority="8">
      <formula>Q8&lt;0</formula>
    </cfRule>
  </conditionalFormatting>
  <conditionalFormatting sqref="F43:F45">
    <cfRule type="expression" dxfId="877" priority="3">
      <formula>F43&gt;0</formula>
    </cfRule>
    <cfRule type="expression" dxfId="876" priority="4">
      <formula>F43&lt;0</formula>
    </cfRule>
  </conditionalFormatting>
  <conditionalFormatting sqref="F43:F45">
    <cfRule type="expression" dxfId="875" priority="5">
      <formula>F43&gt;0</formula>
    </cfRule>
    <cfRule type="expression" dxfId="874" priority="6">
      <formula>F43&lt;0</formula>
    </cfRule>
  </conditionalFormatting>
  <conditionalFormatting sqref="H43:H45">
    <cfRule type="expression" dxfId="873" priority="1">
      <formula>H43&gt;0</formula>
    </cfRule>
    <cfRule type="expression" dxfId="87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130.83000000000001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130.83000000000001</v>
      </c>
      <c r="R4" s="498">
        <v>3.5999999999999999E-3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143.91300000000004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142.60470000000004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141.29640000000003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139.98810000000003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138.67980000000003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137.37150000000003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136.06320000000002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134.75490000000002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133.44660000000002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132.13830000000002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130.83000000000001</v>
      </c>
      <c r="Q51" s="2"/>
      <c r="T51" s="92" t="s">
        <v>104</v>
      </c>
      <c r="U51" s="129" t="s">
        <v>658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129.52170000000001</v>
      </c>
      <c r="Q52" s="2"/>
      <c r="T52" s="92" t="s">
        <v>105</v>
      </c>
      <c r="U52" s="129" t="s">
        <v>659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128.21340000000001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126.9051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125.5968</v>
      </c>
      <c r="T55" s="92" t="s">
        <v>107</v>
      </c>
      <c r="U55" s="129" t="s">
        <v>660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124.2885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122.98020000000001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121.67190000000002</v>
      </c>
      <c r="T58" s="92" t="s">
        <v>108</v>
      </c>
      <c r="U58" s="129" t="s">
        <v>588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120.36360000000002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119.05530000000002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117.74700000000001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113</v>
      </c>
      <c r="C104" s="510" t="s">
        <v>146</v>
      </c>
      <c r="D104" s="511" t="s">
        <v>145</v>
      </c>
      <c r="E104" s="512" t="s">
        <v>147</v>
      </c>
      <c r="F104" s="512" t="s">
        <v>65</v>
      </c>
      <c r="G104" s="514" t="s">
        <v>151</v>
      </c>
      <c r="H104" s="514" t="s">
        <v>88</v>
      </c>
      <c r="I104" s="514" t="s">
        <v>154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423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440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71" priority="19">
      <formula>F25&gt;0</formula>
    </cfRule>
    <cfRule type="expression" dxfId="870" priority="20">
      <formula>F25&lt;0</formula>
    </cfRule>
  </conditionalFormatting>
  <conditionalFormatting sqref="Q7">
    <cfRule type="expression" dxfId="869" priority="17">
      <formula>Q7&gt;0</formula>
    </cfRule>
    <cfRule type="expression" dxfId="868" priority="18">
      <formula>Q7&lt;0</formula>
    </cfRule>
  </conditionalFormatting>
  <conditionalFormatting sqref="Q8">
    <cfRule type="expression" dxfId="867" priority="15">
      <formula>Q8&gt;0</formula>
    </cfRule>
    <cfRule type="expression" dxfId="866" priority="16">
      <formula>Q8&lt;0</formula>
    </cfRule>
  </conditionalFormatting>
  <conditionalFormatting sqref="M74">
    <cfRule type="expression" dxfId="865" priority="9">
      <formula>M74&gt;0</formula>
    </cfRule>
    <cfRule type="expression" dxfId="864" priority="10">
      <formula>M74&lt;0</formula>
    </cfRule>
  </conditionalFormatting>
  <conditionalFormatting sqref="F113:F149 H113:H149">
    <cfRule type="expression" dxfId="863" priority="7">
      <formula>F113&gt;0</formula>
    </cfRule>
    <cfRule type="expression" dxfId="862" priority="8">
      <formula>F113&lt;0</formula>
    </cfRule>
  </conditionalFormatting>
  <conditionalFormatting sqref="F105:F112">
    <cfRule type="expression" dxfId="861" priority="5">
      <formula>F105&gt;0</formula>
    </cfRule>
    <cfRule type="expression" dxfId="860" priority="6">
      <formula>F105&lt;0</formula>
    </cfRule>
  </conditionalFormatting>
  <conditionalFormatting sqref="H105:H112">
    <cfRule type="expression" dxfId="859" priority="3">
      <formula>H105&gt;0</formula>
    </cfRule>
    <cfRule type="expression" dxfId="858" priority="4">
      <formula>H105&lt;0</formula>
    </cfRule>
  </conditionalFormatting>
  <conditionalFormatting sqref="Q10">
    <cfRule type="expression" dxfId="857" priority="1">
      <formula>Q10&gt;0</formula>
    </cfRule>
    <cfRule type="expression" dxfId="85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762</v>
      </c>
      <c r="B2" s="497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25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132.88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131.30000000000001</v>
      </c>
      <c r="R4" s="521">
        <v>-3.15E-2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3282.5000000000005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3322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-39.499999999999545</v>
      </c>
      <c r="R7" s="30">
        <v>42923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-39.499999999999545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-1.1890427453341224E-2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0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25</v>
      </c>
      <c r="D18" s="18"/>
      <c r="E18" s="18"/>
      <c r="F18" s="18">
        <f>SUM(F2:F6)</f>
        <v>3322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25</v>
      </c>
      <c r="D19" s="354"/>
      <c r="E19" s="354"/>
      <c r="F19" s="355">
        <f>SumByColor($A$19,F2:F17)</f>
        <v>3322</v>
      </c>
      <c r="G19" s="354"/>
      <c r="H19" s="354">
        <f>SumByColor($A$19,H2:H17)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751</v>
      </c>
      <c r="L24" s="227" t="s">
        <v>758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42892</v>
      </c>
      <c r="C25" s="10">
        <v>25</v>
      </c>
      <c r="D25" s="40">
        <v>132.88</v>
      </c>
      <c r="E25" s="40">
        <v>131.30000000000001</v>
      </c>
      <c r="F25" s="40">
        <f t="shared" ref="F25" si="2">C25*(E25-D25)</f>
        <v>-39.499999999999602</v>
      </c>
      <c r="G25" s="40">
        <f t="shared" ref="G25" si="3">D25*C25</f>
        <v>3322</v>
      </c>
      <c r="H25" s="229">
        <f t="shared" ref="H25" si="4">(E25-D25)/D25</f>
        <v>-1.1890427453341242E-2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J27" s="40"/>
      <c r="K27" s="40"/>
      <c r="L27" s="160"/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J28" s="40"/>
      <c r="K28" s="40"/>
      <c r="L28" s="160"/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J29" s="40"/>
      <c r="K29" s="40"/>
      <c r="L29" s="16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J30" s="40"/>
      <c r="K30" s="40"/>
      <c r="L30" s="16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K31" s="40"/>
      <c r="L31" s="16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16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/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697" t="s">
        <v>78</v>
      </c>
      <c r="P40" s="697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144.43000000000004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5">O42*$Q$4</f>
        <v>143.11700000000002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5"/>
        <v>141.80400000000003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5"/>
        <v>140.49100000000001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5"/>
        <v>139.17800000000003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5"/>
        <v>137.86500000000001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5"/>
        <v>136.55200000000002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5"/>
        <v>135.239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5"/>
        <v>133.92600000000002</v>
      </c>
      <c r="Q49" s="2"/>
      <c r="T49" s="92" t="s">
        <v>121</v>
      </c>
      <c r="U49" s="129" t="s">
        <v>546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5"/>
        <v>132.613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5"/>
        <v>131.30000000000001</v>
      </c>
      <c r="Q51" s="2"/>
      <c r="T51" s="92" t="s">
        <v>104</v>
      </c>
      <c r="U51" s="129" t="s">
        <v>633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5"/>
        <v>129.98700000000002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5"/>
        <v>128.67400000000001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5"/>
        <v>127.361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5"/>
        <v>126.048</v>
      </c>
      <c r="T55" s="92" t="s">
        <v>107</v>
      </c>
      <c r="U55" s="129" t="s">
        <v>634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5"/>
        <v>124.735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5"/>
        <v>123.422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5"/>
        <v>122.10900000000002</v>
      </c>
      <c r="T58" s="92" t="s">
        <v>108</v>
      </c>
      <c r="U58" s="129" t="s">
        <v>585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5"/>
        <v>120.79600000000002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5"/>
        <v>119.48300000000002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5"/>
        <v>118.17000000000002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/>
      <c r="B68" s="522"/>
      <c r="C68" s="523"/>
      <c r="D68" s="525"/>
      <c r="E68" s="525"/>
      <c r="F68" s="525"/>
      <c r="G68" s="522"/>
      <c r="H68" s="541"/>
      <c r="I68" s="525"/>
      <c r="J68" s="525"/>
      <c r="K68" s="525"/>
      <c r="L68" s="522"/>
      <c r="M68" s="525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/>
      <c r="B69" s="522"/>
      <c r="C69" s="523"/>
      <c r="D69" s="525"/>
      <c r="E69" s="525"/>
      <c r="F69" s="525"/>
      <c r="G69" s="522"/>
      <c r="H69" s="541"/>
      <c r="I69" s="525"/>
      <c r="J69" s="525"/>
      <c r="K69" s="525"/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/>
      <c r="C70" s="523"/>
      <c r="D70" s="525"/>
      <c r="E70" s="525"/>
      <c r="F70" s="525"/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0</v>
      </c>
      <c r="D84" s="545"/>
      <c r="E84" s="545"/>
      <c r="F84" s="545">
        <f>SUM(F68:F72)</f>
        <v>0</v>
      </c>
      <c r="G84" s="544"/>
      <c r="H84" s="567">
        <f>SUM(H68:H71)</f>
        <v>0</v>
      </c>
      <c r="I84" s="545"/>
      <c r="J84" s="545"/>
      <c r="K84" s="545">
        <f>SUM(K68:K71)</f>
        <v>0</v>
      </c>
      <c r="L84" s="544"/>
      <c r="M84" s="545">
        <f>SUM(M68:M76)</f>
        <v>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709" t="s">
        <v>113</v>
      </c>
      <c r="C88" s="709" t="s">
        <v>146</v>
      </c>
      <c r="D88" s="710" t="s">
        <v>145</v>
      </c>
      <c r="E88" s="711" t="s">
        <v>147</v>
      </c>
      <c r="F88" s="711" t="s">
        <v>65</v>
      </c>
      <c r="G88" s="712" t="s">
        <v>151</v>
      </c>
      <c r="H88" s="712" t="s">
        <v>88</v>
      </c>
      <c r="I88" s="712" t="s">
        <v>154</v>
      </c>
    </row>
    <row r="89" spans="1:13" x14ac:dyDescent="0.25">
      <c r="B89" s="596"/>
      <c r="C89" s="593"/>
      <c r="D89" s="594"/>
      <c r="E89" s="594"/>
      <c r="F89" s="594"/>
      <c r="G89" s="594"/>
      <c r="H89" s="713"/>
      <c r="I89" s="594"/>
    </row>
    <row r="90" spans="1:13" x14ac:dyDescent="0.25">
      <c r="B90" s="596"/>
      <c r="C90" s="593"/>
      <c r="D90" s="594"/>
      <c r="E90" s="594"/>
      <c r="F90" s="594"/>
      <c r="G90" s="594"/>
      <c r="H90" s="713"/>
      <c r="I90" s="594"/>
    </row>
    <row r="91" spans="1:13" x14ac:dyDescent="0.25">
      <c r="B91" s="596"/>
      <c r="C91" s="593"/>
      <c r="D91" s="594"/>
      <c r="E91" s="594"/>
      <c r="F91" s="594"/>
      <c r="G91" s="594"/>
      <c r="H91" s="713"/>
      <c r="I91" s="594"/>
    </row>
    <row r="92" spans="1:13" x14ac:dyDescent="0.25">
      <c r="B92" s="596"/>
      <c r="C92" s="593"/>
      <c r="D92" s="594"/>
      <c r="E92" s="594"/>
      <c r="F92" s="594"/>
      <c r="G92" s="594"/>
      <c r="H92" s="713"/>
      <c r="I92" s="594"/>
    </row>
    <row r="93" spans="1:13" x14ac:dyDescent="0.25">
      <c r="B93" s="596"/>
      <c r="C93" s="593"/>
      <c r="D93" s="594"/>
      <c r="E93" s="594"/>
      <c r="F93" s="594"/>
      <c r="G93" s="594"/>
      <c r="H93" s="713"/>
      <c r="I93" s="594"/>
    </row>
    <row r="94" spans="1:13" x14ac:dyDescent="0.25">
      <c r="B94" s="596"/>
      <c r="C94" s="593"/>
      <c r="D94" s="594"/>
      <c r="E94" s="594"/>
      <c r="F94" s="594"/>
      <c r="G94" s="594"/>
      <c r="H94" s="713"/>
      <c r="I94" s="594"/>
    </row>
    <row r="95" spans="1:13" x14ac:dyDescent="0.25">
      <c r="B95" s="596"/>
      <c r="C95" s="593"/>
      <c r="D95" s="594"/>
      <c r="E95" s="594"/>
      <c r="F95" s="594"/>
      <c r="G95" s="594"/>
      <c r="H95" s="713"/>
      <c r="I95" s="594"/>
    </row>
    <row r="96" spans="1:13" x14ac:dyDescent="0.25">
      <c r="B96" s="596"/>
      <c r="C96" s="593"/>
      <c r="D96" s="594"/>
      <c r="E96" s="594"/>
      <c r="F96" s="594"/>
      <c r="G96" s="594"/>
      <c r="H96" s="713"/>
      <c r="I96" s="594"/>
    </row>
    <row r="97" spans="2:9" x14ac:dyDescent="0.25">
      <c r="B97" s="596"/>
      <c r="C97" s="593"/>
      <c r="D97" s="594"/>
      <c r="E97" s="594"/>
      <c r="F97" s="594"/>
      <c r="G97" s="594"/>
      <c r="H97" s="713"/>
      <c r="I97" s="594"/>
    </row>
    <row r="98" spans="2:9" x14ac:dyDescent="0.25">
      <c r="B98" s="596"/>
      <c r="C98" s="593"/>
      <c r="D98" s="594"/>
      <c r="E98" s="594"/>
      <c r="F98" s="594"/>
      <c r="G98" s="594"/>
      <c r="H98" s="713"/>
      <c r="I98" s="594"/>
    </row>
    <row r="99" spans="2:9" x14ac:dyDescent="0.25">
      <c r="B99" s="596"/>
      <c r="C99" s="593"/>
      <c r="D99" s="594"/>
      <c r="E99" s="594"/>
      <c r="F99" s="594"/>
      <c r="G99" s="594"/>
      <c r="H99" s="713"/>
      <c r="I99" s="594"/>
    </row>
    <row r="100" spans="2:9" x14ac:dyDescent="0.25">
      <c r="B100" s="596"/>
      <c r="C100" s="593"/>
      <c r="D100" s="594"/>
      <c r="E100" s="594"/>
      <c r="F100" s="594"/>
      <c r="G100" s="594"/>
      <c r="H100" s="713"/>
      <c r="I100" s="594"/>
    </row>
    <row r="101" spans="2:9" x14ac:dyDescent="0.25">
      <c r="B101" s="596"/>
      <c r="C101" s="593"/>
      <c r="D101" s="594"/>
      <c r="E101" s="594"/>
      <c r="F101" s="594"/>
      <c r="G101" s="594"/>
      <c r="H101" s="713"/>
      <c r="I101" s="594"/>
    </row>
    <row r="102" spans="2:9" x14ac:dyDescent="0.25">
      <c r="B102" s="596"/>
      <c r="C102" s="593"/>
      <c r="D102" s="594"/>
      <c r="E102" s="594"/>
      <c r="F102" s="594"/>
      <c r="G102" s="594"/>
      <c r="H102" s="713"/>
      <c r="I102" s="594"/>
    </row>
    <row r="103" spans="2:9" x14ac:dyDescent="0.25">
      <c r="B103" s="596"/>
      <c r="C103" s="593"/>
      <c r="D103" s="594"/>
      <c r="E103" s="594"/>
      <c r="F103" s="594"/>
      <c r="G103" s="594"/>
      <c r="H103" s="713"/>
      <c r="I103" s="594"/>
    </row>
    <row r="104" spans="2:9" x14ac:dyDescent="0.25">
      <c r="B104" s="596"/>
      <c r="C104" s="593"/>
      <c r="D104" s="594"/>
      <c r="E104" s="594"/>
      <c r="F104" s="594"/>
      <c r="G104" s="594"/>
      <c r="H104" s="713"/>
      <c r="I104" s="594"/>
    </row>
    <row r="105" spans="2:9" x14ac:dyDescent="0.25">
      <c r="B105" s="596"/>
      <c r="C105" s="593"/>
      <c r="D105" s="594"/>
      <c r="E105" s="594"/>
      <c r="F105" s="594"/>
      <c r="G105" s="594"/>
      <c r="H105" s="713"/>
      <c r="I105" s="594"/>
    </row>
    <row r="106" spans="2:9" x14ac:dyDescent="0.25">
      <c r="B106" s="596"/>
      <c r="C106" s="593"/>
      <c r="D106" s="594"/>
      <c r="E106" s="594"/>
      <c r="F106" s="594"/>
      <c r="G106" s="594"/>
      <c r="H106" s="713"/>
      <c r="I106" s="594"/>
    </row>
    <row r="107" spans="2:9" x14ac:dyDescent="0.25">
      <c r="B107" s="596"/>
      <c r="C107" s="593"/>
      <c r="D107" s="594"/>
      <c r="E107" s="594"/>
      <c r="F107" s="594"/>
      <c r="G107" s="594"/>
      <c r="H107" s="713"/>
      <c r="I107" s="594"/>
    </row>
    <row r="108" spans="2:9" x14ac:dyDescent="0.25">
      <c r="B108" s="596"/>
      <c r="C108" s="593"/>
      <c r="D108" s="594"/>
      <c r="E108" s="594"/>
      <c r="F108" s="594"/>
      <c r="G108" s="594"/>
      <c r="H108" s="713"/>
      <c r="I108" s="594"/>
    </row>
    <row r="109" spans="2:9" x14ac:dyDescent="0.25">
      <c r="B109" s="596"/>
      <c r="C109" s="593"/>
      <c r="D109" s="594"/>
      <c r="E109" s="594"/>
      <c r="F109" s="594"/>
      <c r="G109" s="594"/>
      <c r="H109" s="713"/>
      <c r="I109" s="594"/>
    </row>
    <row r="110" spans="2:9" x14ac:dyDescent="0.25">
      <c r="B110" s="596"/>
      <c r="C110" s="593"/>
      <c r="D110" s="594"/>
      <c r="E110" s="594"/>
      <c r="F110" s="594"/>
      <c r="G110" s="594"/>
      <c r="H110" s="713"/>
      <c r="I110" s="594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{68561873-7C5D-44D6-9DF3-DB63B4BCC823}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55" priority="21">
      <formula>F47&gt;0</formula>
    </cfRule>
    <cfRule type="expression" dxfId="854" priority="22">
      <formula>F47&lt;0</formula>
    </cfRule>
  </conditionalFormatting>
  <conditionalFormatting sqref="Q7">
    <cfRule type="expression" dxfId="853" priority="19">
      <formula>Q7&gt;0</formula>
    </cfRule>
    <cfRule type="expression" dxfId="852" priority="20">
      <formula>Q7&lt;0</formula>
    </cfRule>
  </conditionalFormatting>
  <conditionalFormatting sqref="Q8">
    <cfRule type="expression" dxfId="851" priority="17">
      <formula>Q8&gt;0</formula>
    </cfRule>
    <cfRule type="expression" dxfId="850" priority="18">
      <formula>Q8&lt;0</formula>
    </cfRule>
  </conditionalFormatting>
  <conditionalFormatting sqref="F25:F46">
    <cfRule type="expression" dxfId="849" priority="15">
      <formula>F25&gt;0</formula>
    </cfRule>
    <cfRule type="expression" dxfId="848" priority="16">
      <formula>F25&lt;0</formula>
    </cfRule>
  </conditionalFormatting>
  <conditionalFormatting sqref="H25:H46">
    <cfRule type="expression" dxfId="847" priority="13">
      <formula>H25&gt;0</formula>
    </cfRule>
    <cfRule type="expression" dxfId="846" priority="14">
      <formula>H25&lt;0</formula>
    </cfRule>
  </conditionalFormatting>
  <conditionalFormatting sqref="F89:F110">
    <cfRule type="expression" dxfId="845" priority="11">
      <formula>F89&gt;0</formula>
    </cfRule>
    <cfRule type="expression" dxfId="844" priority="12">
      <formula>F89&lt;0</formula>
    </cfRule>
  </conditionalFormatting>
  <conditionalFormatting sqref="H89:H110">
    <cfRule type="expression" dxfId="843" priority="9">
      <formula>H89&gt;0</formula>
    </cfRule>
    <cfRule type="expression" dxfId="842" priority="10">
      <formula>H89&lt;0</formula>
    </cfRule>
  </conditionalFormatting>
  <conditionalFormatting sqref="Q10">
    <cfRule type="expression" dxfId="841" priority="7">
      <formula>Q10&gt;0</formula>
    </cfRule>
    <cfRule type="expression" dxfId="840" priority="8">
      <formula>Q10&lt;0</formula>
    </cfRule>
  </conditionalFormatting>
  <conditionalFormatting sqref="J25:J38">
    <cfRule type="expression" dxfId="839" priority="5">
      <formula>J25&gt;0</formula>
    </cfRule>
    <cfRule type="expression" dxfId="838" priority="6">
      <formula>J25&lt;0</formula>
    </cfRule>
  </conditionalFormatting>
  <conditionalFormatting sqref="K25:K38">
    <cfRule type="expression" dxfId="837" priority="3">
      <formula>K25&gt;0</formula>
    </cfRule>
    <cfRule type="expression" dxfId="836" priority="4">
      <formula>K25&lt;0</formula>
    </cfRule>
  </conditionalFormatting>
  <conditionalFormatting sqref="L25:L38">
    <cfRule type="expression" dxfId="835" priority="1">
      <formula>L25&gt;0</formula>
    </cfRule>
    <cfRule type="expression" dxfId="83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561873-7C5D-44D6-9DF3-DB63B4BCC82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89" activePane="bottomLeft" state="frozen"/>
      <selection activeCell="A2" sqref="A2"/>
      <selection pane="bottomLeft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35.485680000000166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13.1</v>
      </c>
      <c r="R4" s="498">
        <v>1.1599999999999999E-2</v>
      </c>
      <c r="T4" s="1" t="s">
        <v>485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13100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35485.680000000168</v>
      </c>
      <c r="T6" t="s">
        <v>486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-22385.680000000168</v>
      </c>
      <c r="R7">
        <v>1000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-22385.680000000168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-0.63083700241900564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14.41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14.279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14.148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14.017000000000001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698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13.886000000000001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698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13.755000000000001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13.624000000000001</v>
      </c>
      <c r="Q49" s="2"/>
      <c r="T49" s="107" t="s">
        <v>103</v>
      </c>
      <c r="U49" s="105" t="s">
        <v>661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13.493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13.362</v>
      </c>
      <c r="Q51" s="2"/>
      <c r="T51" s="107" t="s">
        <v>104</v>
      </c>
      <c r="U51" s="105" t="s">
        <v>662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13.231</v>
      </c>
      <c r="Q52" s="2"/>
      <c r="T52" s="107" t="s">
        <v>105</v>
      </c>
      <c r="U52" s="105" t="s">
        <v>549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13.1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12.968999999999999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12.837999999999999</v>
      </c>
      <c r="T55" s="107" t="s">
        <v>107</v>
      </c>
      <c r="U55" s="105" t="s">
        <v>663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12.706999999999999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12.575999999999999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12.444999999999999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12.313999999999998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12.183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12.052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11.920999999999999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11.79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531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532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2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699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699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3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3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73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1"/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41405</v>
      </c>
      <c r="I118" s="80"/>
      <c r="J118" s="14"/>
      <c r="K118" s="18">
        <f>SUM(K2:K117)</f>
        <v>558297.0199999999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38705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397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401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418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426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429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434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435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436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441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441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441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30">
        <f t="shared" ref="H264:H266" si="46">IF(C264=0, D264, (E264-D264)/D264)</f>
        <v>-0.48700016455487904</v>
      </c>
      <c r="I264" s="198"/>
      <c r="J264" s="40"/>
      <c r="K264" s="40"/>
    </row>
    <row r="265" spans="1:11" x14ac:dyDescent="0.25">
      <c r="A265">
        <v>900</v>
      </c>
      <c r="B265" s="191">
        <v>42872</v>
      </c>
      <c r="C265" s="436">
        <v>1500</v>
      </c>
      <c r="D265" s="587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30">
        <f t="shared" si="46"/>
        <v>-0.534610454351232</v>
      </c>
      <c r="I265" s="198"/>
      <c r="J265" s="40"/>
      <c r="K265" s="40"/>
    </row>
    <row r="266" spans="1:11" x14ac:dyDescent="0.25">
      <c r="A266">
        <v>400</v>
      </c>
      <c r="B266" s="191">
        <v>42873</v>
      </c>
      <c r="C266" s="280">
        <v>1000</v>
      </c>
      <c r="D266" s="281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30">
        <f t="shared" si="46"/>
        <v>-0.63027672885081443</v>
      </c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33" priority="74">
      <formula>F12&gt;0</formula>
    </cfRule>
    <cfRule type="expression" dxfId="83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1" priority="67">
      <formula>F124&gt;0</formula>
    </cfRule>
    <cfRule type="expression" dxfId="830" priority="68">
      <formula>F124&lt;0</formula>
    </cfRule>
  </conditionalFormatting>
  <conditionalFormatting sqref="H124:H130">
    <cfRule type="expression" dxfId="829" priority="55">
      <formula>H124&gt;0</formula>
    </cfRule>
    <cfRule type="expression" dxfId="828" priority="56">
      <formula>H124&lt;0</formula>
    </cfRule>
  </conditionalFormatting>
  <conditionalFormatting sqref="H131">
    <cfRule type="expression" dxfId="827" priority="53">
      <formula>H131&gt;0</formula>
    </cfRule>
    <cfRule type="expression" dxfId="826" priority="54">
      <formula>H131&lt;0</formula>
    </cfRule>
  </conditionalFormatting>
  <conditionalFormatting sqref="H132">
    <cfRule type="expression" dxfId="825" priority="51">
      <formula>H132&gt;0</formula>
    </cfRule>
    <cfRule type="expression" dxfId="824" priority="52">
      <formula>H132&lt;0</formula>
    </cfRule>
  </conditionalFormatting>
  <conditionalFormatting sqref="H133:H135">
    <cfRule type="expression" dxfId="823" priority="49">
      <formula>H133&gt;0</formula>
    </cfRule>
    <cfRule type="expression" dxfId="822" priority="50">
      <formula>H133&lt;0</formula>
    </cfRule>
  </conditionalFormatting>
  <conditionalFormatting sqref="H136">
    <cfRule type="expression" dxfId="821" priority="45">
      <formula>H136&gt;0</formula>
    </cfRule>
    <cfRule type="expression" dxfId="820" priority="46">
      <formula>H136&lt;0</formula>
    </cfRule>
  </conditionalFormatting>
  <conditionalFormatting sqref="Q7">
    <cfRule type="expression" dxfId="819" priority="39">
      <formula>Q7&gt;0</formula>
    </cfRule>
    <cfRule type="expression" dxfId="818" priority="40">
      <formula>Q7&lt;0</formula>
    </cfRule>
  </conditionalFormatting>
  <conditionalFormatting sqref="Q8">
    <cfRule type="expression" dxfId="817" priority="37">
      <formula>Q8&gt;0</formula>
    </cfRule>
    <cfRule type="expression" dxfId="816" priority="38">
      <formula>Q8&lt;0</formula>
    </cfRule>
  </conditionalFormatting>
  <conditionalFormatting sqref="F167:F178 H167:H178">
    <cfRule type="expression" dxfId="815" priority="35">
      <formula>F167&gt;0</formula>
    </cfRule>
    <cfRule type="expression" dxfId="814" priority="36">
      <formula>F167&lt;0</formula>
    </cfRule>
  </conditionalFormatting>
  <conditionalFormatting sqref="F183:F197 H183:H197">
    <cfRule type="expression" dxfId="813" priority="33">
      <formula>F183&gt;0</formula>
    </cfRule>
    <cfRule type="expression" dxfId="812" priority="34">
      <formula>F183&lt;0</formula>
    </cfRule>
  </conditionalFormatting>
  <conditionalFormatting sqref="F198:F206 H198:H206">
    <cfRule type="expression" dxfId="811" priority="31">
      <formula>F198&gt;0</formula>
    </cfRule>
    <cfRule type="expression" dxfId="810" priority="32">
      <formula>F198&lt;0</formula>
    </cfRule>
  </conditionalFormatting>
  <conditionalFormatting sqref="F141:F147 H141:H147">
    <cfRule type="expression" dxfId="809" priority="29">
      <formula>F141&gt;0</formula>
    </cfRule>
    <cfRule type="expression" dxfId="808" priority="30">
      <formula>F141&lt;0</formula>
    </cfRule>
  </conditionalFormatting>
  <conditionalFormatting sqref="H149:H152 F149:F152">
    <cfRule type="expression" dxfId="807" priority="27">
      <formula>F149&gt;0</formula>
    </cfRule>
    <cfRule type="expression" dxfId="806" priority="28">
      <formula>F149&lt;0</formula>
    </cfRule>
  </conditionalFormatting>
  <conditionalFormatting sqref="F226 H215:H218 H257:H260 F257:F260 H226 H231:H233 F231:F233 F235:F244 H235:H244">
    <cfRule type="expression" dxfId="805" priority="25">
      <formula>F215&gt;0</formula>
    </cfRule>
    <cfRule type="expression" dxfId="804" priority="26">
      <formula>F215&lt;0</formula>
    </cfRule>
  </conditionalFormatting>
  <conditionalFormatting sqref="F207:F218">
    <cfRule type="expression" dxfId="803" priority="23">
      <formula>F207&gt;0</formula>
    </cfRule>
    <cfRule type="expression" dxfId="802" priority="24">
      <formula>F207&lt;0</formula>
    </cfRule>
  </conditionalFormatting>
  <conditionalFormatting sqref="H207:H208">
    <cfRule type="expression" dxfId="801" priority="21">
      <formula>H207&gt;0</formula>
    </cfRule>
    <cfRule type="expression" dxfId="800" priority="22">
      <formula>H207&lt;0</formula>
    </cfRule>
  </conditionalFormatting>
  <conditionalFormatting sqref="H209">
    <cfRule type="expression" dxfId="799" priority="19">
      <formula>H209&gt;0</formula>
    </cfRule>
    <cfRule type="expression" dxfId="798" priority="20">
      <formula>H209&lt;0</formula>
    </cfRule>
  </conditionalFormatting>
  <conditionalFormatting sqref="H210">
    <cfRule type="expression" dxfId="797" priority="17">
      <formula>H210&gt;0</formula>
    </cfRule>
    <cfRule type="expression" dxfId="796" priority="18">
      <formula>H210&lt;0</formula>
    </cfRule>
  </conditionalFormatting>
  <conditionalFormatting sqref="H211:H213">
    <cfRule type="expression" dxfId="795" priority="15">
      <formula>H211&gt;0</formula>
    </cfRule>
    <cfRule type="expression" dxfId="794" priority="16">
      <formula>H211&lt;0</formula>
    </cfRule>
  </conditionalFormatting>
  <conditionalFormatting sqref="H214">
    <cfRule type="expression" dxfId="793" priority="13">
      <formula>H214&gt;0</formula>
    </cfRule>
    <cfRule type="expression" dxfId="792" priority="14">
      <formula>H214&lt;0</formula>
    </cfRule>
  </conditionalFormatting>
  <conditionalFormatting sqref="F245:F256 H245:H256">
    <cfRule type="expression" dxfId="791" priority="11">
      <formula>F245&gt;0</formula>
    </cfRule>
    <cfRule type="expression" dxfId="790" priority="12">
      <formula>F245&lt;0</formula>
    </cfRule>
  </conditionalFormatting>
  <conditionalFormatting sqref="F261:F275 H261:H275">
    <cfRule type="expression" dxfId="789" priority="9">
      <formula>F261&gt;0</formula>
    </cfRule>
    <cfRule type="expression" dxfId="788" priority="10">
      <formula>F261&lt;0</formula>
    </cfRule>
  </conditionalFormatting>
  <conditionalFormatting sqref="F276:F283 H276:H283">
    <cfRule type="expression" dxfId="787" priority="7">
      <formula>F276&gt;0</formula>
    </cfRule>
    <cfRule type="expression" dxfId="786" priority="8">
      <formula>F276&lt;0</formula>
    </cfRule>
  </conditionalFormatting>
  <conditionalFormatting sqref="F219:F225 H219:H225">
    <cfRule type="expression" dxfId="785" priority="5">
      <formula>F219&gt;0</formula>
    </cfRule>
    <cfRule type="expression" dxfId="784" priority="6">
      <formula>F219&lt;0</formula>
    </cfRule>
  </conditionalFormatting>
  <conditionalFormatting sqref="H227:H230 F227:F230">
    <cfRule type="expression" dxfId="783" priority="3">
      <formula>F227&gt;0</formula>
    </cfRule>
    <cfRule type="expression" dxfId="782" priority="4">
      <formula>F227&lt;0</formula>
    </cfRule>
  </conditionalFormatting>
  <conditionalFormatting sqref="H234 F234">
    <cfRule type="expression" dxfId="781" priority="1">
      <formula>F234&gt;0</formula>
    </cfRule>
    <cfRule type="expression" dxfId="78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116.84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116.84</v>
      </c>
      <c r="R4" s="498">
        <v>-8.9999999999999998E-4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697" t="s">
        <v>78</v>
      </c>
      <c r="P40" s="697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128.524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127.35560000000001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126.18720000000002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125.01880000000001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123.85040000000001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122.682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121.51360000000001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120.34520000000001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119.1768</v>
      </c>
      <c r="Q49" s="2"/>
      <c r="T49" s="92" t="s">
        <v>121</v>
      </c>
      <c r="U49" s="129" t="s">
        <v>410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118.00840000000001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116.84</v>
      </c>
      <c r="Q51" s="2"/>
      <c r="T51" s="92" t="s">
        <v>104</v>
      </c>
      <c r="U51" s="129" t="s">
        <v>664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115.6716</v>
      </c>
      <c r="Q52" s="2"/>
      <c r="T52" s="92" t="s">
        <v>105</v>
      </c>
      <c r="U52" s="129" t="s">
        <v>443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114.50320000000001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113.3348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112.1664</v>
      </c>
      <c r="T55" s="92" t="s">
        <v>107</v>
      </c>
      <c r="U55" s="129" t="s">
        <v>665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110.998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109.8296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108.66120000000001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107.4928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106.32440000000001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105.15600000000001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72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72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72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72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72"/>
      <c r="C76" s="660"/>
      <c r="D76" s="658"/>
      <c r="E76" s="658"/>
      <c r="F76" s="658"/>
      <c r="G76" s="672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79" priority="43">
      <formula>F33&gt;0</formula>
    </cfRule>
    <cfRule type="expression" dxfId="778" priority="44">
      <formula>F33&lt;0</formula>
    </cfRule>
  </conditionalFormatting>
  <conditionalFormatting sqref="Q7">
    <cfRule type="expression" dxfId="777" priority="41">
      <formula>Q7&gt;0</formula>
    </cfRule>
    <cfRule type="expression" dxfId="776" priority="42">
      <formula>Q7&lt;0</formula>
    </cfRule>
  </conditionalFormatting>
  <conditionalFormatting sqref="Q8">
    <cfRule type="expression" dxfId="775" priority="39">
      <formula>Q8&gt;0</formula>
    </cfRule>
    <cfRule type="expression" dxfId="774" priority="40">
      <formula>Q8&lt;0</formula>
    </cfRule>
  </conditionalFormatting>
  <conditionalFormatting sqref="F29 F32">
    <cfRule type="expression" dxfId="773" priority="37">
      <formula>F29&gt;0</formula>
    </cfRule>
    <cfRule type="expression" dxfId="772" priority="38">
      <formula>F29&lt;0</formula>
    </cfRule>
  </conditionalFormatting>
  <conditionalFormatting sqref="H29 H32">
    <cfRule type="expression" dxfId="771" priority="35">
      <formula>H29&gt;0</formula>
    </cfRule>
    <cfRule type="expression" dxfId="770" priority="36">
      <formula>H29&lt;0</formula>
    </cfRule>
  </conditionalFormatting>
  <conditionalFormatting sqref="F30:F31">
    <cfRule type="expression" dxfId="769" priority="33">
      <formula>F30&gt;0</formula>
    </cfRule>
    <cfRule type="expression" dxfId="768" priority="34">
      <formula>F30&lt;0</formula>
    </cfRule>
  </conditionalFormatting>
  <conditionalFormatting sqref="H30:H31">
    <cfRule type="expression" dxfId="767" priority="31">
      <formula>H30&gt;0</formula>
    </cfRule>
    <cfRule type="expression" dxfId="766" priority="32">
      <formula>H30&lt;0</formula>
    </cfRule>
  </conditionalFormatting>
  <conditionalFormatting sqref="F105:F140 H105:H140">
    <cfRule type="expression" dxfId="765" priority="29">
      <formula>F105&gt;0</formula>
    </cfRule>
    <cfRule type="expression" dxfId="764" priority="30">
      <formula>F105&lt;0</formula>
    </cfRule>
  </conditionalFormatting>
  <conditionalFormatting sqref="F96:F99">
    <cfRule type="expression" dxfId="763" priority="27">
      <formula>F96&gt;0</formula>
    </cfRule>
    <cfRule type="expression" dxfId="762" priority="28">
      <formula>F96&lt;0</formula>
    </cfRule>
  </conditionalFormatting>
  <conditionalFormatting sqref="H96:H99">
    <cfRule type="expression" dxfId="761" priority="25">
      <formula>H96&gt;0</formula>
    </cfRule>
    <cfRule type="expression" dxfId="760" priority="26">
      <formula>H96&lt;0</formula>
    </cfRule>
  </conditionalFormatting>
  <conditionalFormatting sqref="F25:F28">
    <cfRule type="expression" dxfId="759" priority="19">
      <formula>F25&gt;0</formula>
    </cfRule>
    <cfRule type="expression" dxfId="758" priority="20">
      <formula>F25&lt;0</formula>
    </cfRule>
  </conditionalFormatting>
  <conditionalFormatting sqref="H25:H28">
    <cfRule type="expression" dxfId="757" priority="17">
      <formula>H25&gt;0</formula>
    </cfRule>
    <cfRule type="expression" dxfId="756" priority="18">
      <formula>H25&lt;0</formula>
    </cfRule>
  </conditionalFormatting>
  <conditionalFormatting sqref="J27">
    <cfRule type="expression" dxfId="755" priority="15">
      <formula>J27&gt;0</formula>
    </cfRule>
    <cfRule type="expression" dxfId="754" priority="16">
      <formula>J27&lt;0</formula>
    </cfRule>
  </conditionalFormatting>
  <conditionalFormatting sqref="F104">
    <cfRule type="expression" dxfId="753" priority="13">
      <formula>F104&gt;0</formula>
    </cfRule>
    <cfRule type="expression" dxfId="752" priority="14">
      <formula>F104&lt;0</formula>
    </cfRule>
  </conditionalFormatting>
  <conditionalFormatting sqref="H104">
    <cfRule type="expression" dxfId="751" priority="11">
      <formula>H104&gt;0</formula>
    </cfRule>
    <cfRule type="expression" dxfId="750" priority="12">
      <formula>H104&lt;0</formula>
    </cfRule>
  </conditionalFormatting>
  <conditionalFormatting sqref="F100:F103">
    <cfRule type="expression" dxfId="749" priority="9">
      <formula>F100&gt;0</formula>
    </cfRule>
    <cfRule type="expression" dxfId="748" priority="10">
      <formula>F100&lt;0</formula>
    </cfRule>
  </conditionalFormatting>
  <conditionalFormatting sqref="H100:H103">
    <cfRule type="expression" dxfId="747" priority="7">
      <formula>H100&gt;0</formula>
    </cfRule>
    <cfRule type="expression" dxfId="746" priority="8">
      <formula>H100&lt;0</formula>
    </cfRule>
  </conditionalFormatting>
  <conditionalFormatting sqref="J102">
    <cfRule type="expression" dxfId="745" priority="5">
      <formula>J102&gt;0</formula>
    </cfRule>
    <cfRule type="expression" dxfId="744" priority="6">
      <formula>J102&lt;0</formula>
    </cfRule>
  </conditionalFormatting>
  <conditionalFormatting sqref="Q10">
    <cfRule type="expression" dxfId="743" priority="3">
      <formula>Q10&gt;0</formula>
    </cfRule>
    <cfRule type="expression" dxfId="742" priority="4">
      <formula>Q10&lt;0</formula>
    </cfRule>
  </conditionalFormatting>
  <conditionalFormatting sqref="M71">
    <cfRule type="expression" dxfId="741" priority="1">
      <formula>M71&gt;0</formula>
    </cfRule>
    <cfRule type="expression" dxfId="74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497">
        <v>42873</v>
      </c>
      <c r="C2" s="4">
        <v>50</v>
      </c>
      <c r="D2" s="3">
        <v>51.65</v>
      </c>
      <c r="E2" s="3">
        <v>0</v>
      </c>
      <c r="F2" s="3">
        <f>C2*D2+E2</f>
        <v>2582.5</v>
      </c>
      <c r="G2" s="73"/>
      <c r="H2" s="183"/>
      <c r="I2" s="3"/>
      <c r="J2" s="3"/>
      <c r="K2" s="3"/>
      <c r="L2" s="73"/>
      <c r="M2" s="3"/>
      <c r="O2" s="11" t="s">
        <v>57</v>
      </c>
      <c r="Q2">
        <v>50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51.65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52.48</v>
      </c>
      <c r="R4" s="498">
        <v>-0.01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2624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2582.5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516.97999999999956</v>
      </c>
      <c r="R7" s="30">
        <v>42905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41.5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1.6069699903194578E-2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SUM(C2:C17)</f>
        <v>50</v>
      </c>
      <c r="D18" s="12"/>
      <c r="E18" s="12"/>
      <c r="F18" s="13">
        <f>SUM(F2:F17)</f>
        <v>2582.5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3" t="s">
        <v>65</v>
      </c>
      <c r="G22" s="227" t="s">
        <v>151</v>
      </c>
      <c r="H22" s="227" t="s">
        <v>154</v>
      </c>
      <c r="I22" s="227" t="s">
        <v>534</v>
      </c>
      <c r="J22" s="227" t="s">
        <v>150</v>
      </c>
      <c r="K22" s="227" t="s">
        <v>751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191">
        <v>42873</v>
      </c>
      <c r="C23" s="10">
        <v>50</v>
      </c>
      <c r="D23" s="198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191"/>
      <c r="C24" s="10"/>
      <c r="D24" s="198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191"/>
      <c r="C25" s="10"/>
      <c r="D25" s="198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191"/>
      <c r="C26" s="10"/>
      <c r="D26" s="198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191"/>
      <c r="C27" s="10"/>
      <c r="D27" s="198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191"/>
      <c r="C28" s="10"/>
      <c r="D28" s="198"/>
      <c r="E28" s="40"/>
      <c r="F28" s="40"/>
      <c r="G28" s="40"/>
      <c r="H28" s="230"/>
      <c r="I28" s="40"/>
      <c r="J28" s="40"/>
      <c r="K28" s="40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191"/>
      <c r="C29" s="10"/>
      <c r="D29" s="198"/>
      <c r="E29" s="40"/>
      <c r="F29" s="40"/>
      <c r="G29" s="40"/>
      <c r="H29" s="230"/>
      <c r="I29" s="40"/>
      <c r="J29" s="40"/>
      <c r="K29" s="40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191"/>
      <c r="C30" s="10"/>
      <c r="D30" s="198"/>
      <c r="E30" s="40"/>
      <c r="F30" s="40"/>
      <c r="G30" s="40"/>
      <c r="H30" s="230"/>
      <c r="I30" s="40"/>
      <c r="J30" s="40"/>
      <c r="K30" s="40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191"/>
      <c r="C31" s="10"/>
      <c r="D31" s="198"/>
      <c r="E31" s="40"/>
      <c r="F31" s="40"/>
      <c r="G31" s="40"/>
      <c r="H31" s="230"/>
      <c r="I31" s="40"/>
      <c r="J31" s="40"/>
      <c r="K31" s="40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191"/>
      <c r="C32" s="10"/>
      <c r="D32" s="198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191"/>
      <c r="C33" s="10"/>
      <c r="D33" s="198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191"/>
      <c r="C34" s="10"/>
      <c r="D34" s="198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697" t="s">
        <v>78</v>
      </c>
      <c r="P44" s="697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1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1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57.728000000000002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1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1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57.203200000000002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56.678400000000003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576"/>
      <c r="C48" s="259"/>
      <c r="D48" s="259"/>
      <c r="E48" s="259"/>
      <c r="F48" s="259"/>
      <c r="G48" s="576"/>
      <c r="H48" s="265"/>
      <c r="I48" s="260"/>
      <c r="J48" s="260"/>
      <c r="K48" s="260"/>
      <c r="L48" s="259"/>
      <c r="M48" s="259"/>
      <c r="O48" s="82">
        <v>1.07</v>
      </c>
      <c r="P48" s="82">
        <f t="shared" si="1"/>
        <v>56.153599999999997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55.628799999999998</v>
      </c>
      <c r="T49" s="92" t="s">
        <v>121</v>
      </c>
      <c r="U49" s="129" t="s">
        <v>567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55.103999999999999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54.5792</v>
      </c>
      <c r="T51" s="92" t="s">
        <v>104</v>
      </c>
      <c r="U51" s="129" t="s">
        <v>666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54.054400000000001</v>
      </c>
      <c r="T52" s="92" t="s">
        <v>105</v>
      </c>
      <c r="U52" s="129" t="s">
        <v>667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53.529599999999995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53.004799999999996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52.48</v>
      </c>
      <c r="T55" s="92" t="s">
        <v>107</v>
      </c>
      <c r="U55" s="129" t="s">
        <v>668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51.955199999999998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51.430399999999999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50.905599999999993</v>
      </c>
      <c r="T58" s="92" t="s">
        <v>108</v>
      </c>
      <c r="U58" s="129" t="s">
        <v>589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50.380799999999994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49.855999999999995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49.331199999999995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48.806399999999996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48.281599999999997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47.756799999999998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47.231999999999999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39" priority="57">
      <formula>F27&gt;0</formula>
    </cfRule>
    <cfRule type="expression" dxfId="738" priority="58">
      <formula>F27&lt;0</formula>
    </cfRule>
  </conditionalFormatting>
  <conditionalFormatting sqref="H28:H33">
    <cfRule type="expression" dxfId="737" priority="53">
      <formula>H28&gt;0</formula>
    </cfRule>
    <cfRule type="expression" dxfId="736" priority="54">
      <formula>H28&lt;0</formula>
    </cfRule>
  </conditionalFormatting>
  <conditionalFormatting sqref="F24:F26">
    <cfRule type="expression" dxfId="735" priority="39">
      <formula>F24&gt;0</formula>
    </cfRule>
    <cfRule type="expression" dxfId="734" priority="40">
      <formula>F24&lt;0</formula>
    </cfRule>
  </conditionalFormatting>
  <conditionalFormatting sqref="Q8">
    <cfRule type="expression" dxfId="733" priority="33">
      <formula>Q8&gt;0</formula>
    </cfRule>
    <cfRule type="expression" dxfId="732" priority="34">
      <formula>Q8&lt;0</formula>
    </cfRule>
  </conditionalFormatting>
  <conditionalFormatting sqref="Q7">
    <cfRule type="expression" dxfId="731" priority="35">
      <formula>Q7&gt;0</formula>
    </cfRule>
    <cfRule type="expression" dxfId="730" priority="36">
      <formula>Q7&lt;0</formula>
    </cfRule>
  </conditionalFormatting>
  <conditionalFormatting sqref="F34">
    <cfRule type="expression" dxfId="729" priority="31">
      <formula>F34&gt;0</formula>
    </cfRule>
    <cfRule type="expression" dxfId="728" priority="32">
      <formula>F34&lt;0</formula>
    </cfRule>
  </conditionalFormatting>
  <conditionalFormatting sqref="H34">
    <cfRule type="expression" dxfId="727" priority="29">
      <formula>H34&gt;0</formula>
    </cfRule>
    <cfRule type="expression" dxfId="726" priority="30">
      <formula>H34&lt;0</formula>
    </cfRule>
  </conditionalFormatting>
  <conditionalFormatting sqref="M36">
    <cfRule type="expression" dxfId="725" priority="19">
      <formula>M36&gt;0</formula>
    </cfRule>
    <cfRule type="expression" dxfId="724" priority="20">
      <formula>M36&lt;0</formula>
    </cfRule>
  </conditionalFormatting>
  <conditionalFormatting sqref="Q10">
    <cfRule type="expression" dxfId="723" priority="15">
      <formula>Q10&gt;0</formula>
    </cfRule>
    <cfRule type="expression" dxfId="722" priority="16">
      <formula>Q10&lt;0</formula>
    </cfRule>
  </conditionalFormatting>
  <conditionalFormatting sqref="F23">
    <cfRule type="expression" dxfId="721" priority="13">
      <formula>F23&gt;0</formula>
    </cfRule>
    <cfRule type="expression" dxfId="720" priority="14">
      <formula>F23&lt;0</formula>
    </cfRule>
  </conditionalFormatting>
  <conditionalFormatting sqref="I25:J25">
    <cfRule type="expression" dxfId="719" priority="9">
      <formula>I25&gt;0</formula>
    </cfRule>
    <cfRule type="expression" dxfId="718" priority="10">
      <formula>I25&lt;0</formula>
    </cfRule>
  </conditionalFormatting>
  <conditionalFormatting sqref="I26:J27">
    <cfRule type="expression" dxfId="717" priority="7">
      <formula>I26&gt;0</formula>
    </cfRule>
    <cfRule type="expression" dxfId="716" priority="8">
      <formula>I26&lt;0</formula>
    </cfRule>
  </conditionalFormatting>
  <conditionalFormatting sqref="K25:K27">
    <cfRule type="expression" dxfId="715" priority="5">
      <formula>K25&gt;0</formula>
    </cfRule>
    <cfRule type="expression" dxfId="714" priority="6">
      <formula>K25&lt;0</formula>
    </cfRule>
  </conditionalFormatting>
  <conditionalFormatting sqref="I23:J23">
    <cfRule type="expression" dxfId="713" priority="3">
      <formula>I23&gt;0</formula>
    </cfRule>
    <cfRule type="expression" dxfId="71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 t="shared" ref="F2:F7" si="0"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600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73"/>
      <c r="H3" s="183"/>
      <c r="I3" s="3"/>
      <c r="J3" s="3"/>
      <c r="K3" s="3"/>
      <c r="L3" s="4" t="s">
        <v>537</v>
      </c>
      <c r="M3" s="4"/>
      <c r="O3" s="11" t="s">
        <v>58</v>
      </c>
      <c r="Q3" s="228">
        <f>IF(Q2=0, Q4, (F18-K18-M18)/Q2)</f>
        <v>25.629266666666666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6">
        <f t="shared" ref="AE3:AE66" si="2">AC3/AC4-1</f>
        <v>8.6475268073331613E-3</v>
      </c>
    </row>
    <row r="4" spans="1:31" x14ac:dyDescent="0.25">
      <c r="B4" s="73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73"/>
      <c r="H4" s="183"/>
      <c r="I4" s="3"/>
      <c r="J4" s="3"/>
      <c r="K4" s="3"/>
      <c r="L4" s="4"/>
      <c r="O4" s="11" t="s">
        <v>66</v>
      </c>
      <c r="Q4" s="55">
        <v>22.6</v>
      </c>
      <c r="R4" s="498">
        <v>0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6">
        <f t="shared" si="2"/>
        <v>-9.2529129540781518E-3</v>
      </c>
    </row>
    <row r="5" spans="1:31" x14ac:dyDescent="0.25">
      <c r="B5" s="73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13560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6">
        <f t="shared" si="2"/>
        <v>-5.7921635434412533E-3</v>
      </c>
    </row>
    <row r="6" spans="1:31" x14ac:dyDescent="0.25">
      <c r="B6" s="73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15377.56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6">
        <f t="shared" si="2"/>
        <v>-4.4097693351424772E-3</v>
      </c>
    </row>
    <row r="7" spans="1:31" x14ac:dyDescent="0.25">
      <c r="B7" s="497">
        <v>42867</v>
      </c>
      <c r="C7" s="4">
        <v>200</v>
      </c>
      <c r="D7" s="3">
        <v>22.98</v>
      </c>
      <c r="E7" s="3">
        <v>0</v>
      </c>
      <c r="F7" s="3">
        <f t="shared" si="0"/>
        <v>4596</v>
      </c>
      <c r="G7" s="4"/>
      <c r="H7" s="183"/>
      <c r="I7" s="3"/>
      <c r="J7" s="3"/>
      <c r="K7" s="3"/>
      <c r="L7" s="4"/>
      <c r="O7" s="11" t="s">
        <v>180</v>
      </c>
      <c r="Q7" s="2">
        <f>Q10+Q8</f>
        <v>-365.30000000000109</v>
      </c>
      <c r="R7">
        <v>400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6">
        <f t="shared" si="2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-1817.5599999999995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6">
        <f t="shared" si="2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-0.11819560450422562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6">
        <f t="shared" si="2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211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6">
        <f t="shared" si="2"/>
        <v>-8.6206896551723755E-3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6">
        <f t="shared" si="2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6">
        <f t="shared" si="2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6">
        <f t="shared" si="2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6">
        <f t="shared" si="2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6">
        <f t="shared" si="2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6">
        <f t="shared" si="2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6">
        <f t="shared" si="2"/>
        <v>1.8881118881118875E-2</v>
      </c>
    </row>
    <row r="18" spans="1:31" x14ac:dyDescent="0.25">
      <c r="A18" s="32" t="s">
        <v>81</v>
      </c>
      <c r="B18" s="14"/>
      <c r="C18" s="14">
        <f>SUM(C2:C7)</f>
        <v>700</v>
      </c>
      <c r="D18" s="18"/>
      <c r="E18" s="18"/>
      <c r="F18" s="18">
        <f>SUM(F2:F7)</f>
        <v>18296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6">
        <f t="shared" si="2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2848</v>
      </c>
      <c r="G19" s="354"/>
      <c r="H19" s="354">
        <f>SumByColor($A$19,H2:H17)</f>
        <v>100</v>
      </c>
      <c r="I19" s="354"/>
      <c r="J19" s="354"/>
      <c r="K19" s="355">
        <f>SumByColor($A$19,K2:K17)</f>
        <v>2891</v>
      </c>
      <c r="L19" s="354"/>
      <c r="M19" s="355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6">
        <f t="shared" si="2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6">
        <f t="shared" si="2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6">
        <f t="shared" si="2"/>
        <v>1.1510289501220683E-2</v>
      </c>
    </row>
    <row r="22" spans="1:31" x14ac:dyDescent="0.25">
      <c r="B22" s="510" t="s">
        <v>113</v>
      </c>
      <c r="C22" s="510" t="s">
        <v>146</v>
      </c>
      <c r="D22" s="511" t="s">
        <v>145</v>
      </c>
      <c r="E22" s="512" t="s">
        <v>147</v>
      </c>
      <c r="F22" s="512" t="s">
        <v>65</v>
      </c>
      <c r="G22" s="514" t="s">
        <v>151</v>
      </c>
      <c r="H22" s="514" t="s">
        <v>88</v>
      </c>
      <c r="I22" s="514" t="s">
        <v>154</v>
      </c>
      <c r="J22" s="514" t="s">
        <v>534</v>
      </c>
      <c r="K22" s="514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6">
        <f t="shared" si="2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3">C23*(E23-D23)</f>
        <v>267.00000000000017</v>
      </c>
      <c r="G23" s="556">
        <f t="shared" ref="G23:G28" si="4">D23*C23</f>
        <v>2758</v>
      </c>
      <c r="H23" s="598">
        <f t="shared" ref="H23:H28" si="5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6">
        <f t="shared" si="2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3"/>
        <v>436.92999999999989</v>
      </c>
      <c r="G24" s="556">
        <f t="shared" si="4"/>
        <v>2718.07</v>
      </c>
      <c r="H24" s="598">
        <f t="shared" si="5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6">
        <f t="shared" si="2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9">
        <f t="shared" si="5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6">
        <f t="shared" si="2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9">
        <f t="shared" si="5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6">
        <f t="shared" si="2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9">
        <f t="shared" si="5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6">
        <f t="shared" si="2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9">
        <f t="shared" si="5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6" t="e">
        <f t="shared" si="2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9">
        <f t="shared" ref="H29" si="8">(E29-D29)/D29</f>
        <v>-5.2376213797454295E-2</v>
      </c>
      <c r="I29" s="40"/>
      <c r="J29" s="40"/>
      <c r="K29" s="40">
        <v>1291</v>
      </c>
      <c r="W29" s="132">
        <v>42794</v>
      </c>
      <c r="X29" s="10" t="s">
        <v>502</v>
      </c>
      <c r="Y29" s="10"/>
      <c r="Z29" s="10"/>
      <c r="AA29" s="10"/>
      <c r="AB29" s="94"/>
      <c r="AC29" s="10"/>
      <c r="AD29" s="2">
        <f t="shared" si="1"/>
        <v>0</v>
      </c>
      <c r="AE29" s="136">
        <f t="shared" si="2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5" si="9">C30*(E30-D30)</f>
        <v>-130.55999999999983</v>
      </c>
      <c r="G30" s="40">
        <f t="shared" ref="G30:G35" si="10">D30*C30</f>
        <v>3047.56</v>
      </c>
      <c r="H30" s="229">
        <f t="shared" ref="H30:H35" si="11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6">
        <f t="shared" si="2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9">
        <f t="shared" si="11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6">
        <f t="shared" si="2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9">
        <f t="shared" si="11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6">
        <f t="shared" si="2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9">
        <f t="shared" si="11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6">
        <f t="shared" si="2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9">
        <f t="shared" si="11"/>
        <v>-0.12999603025907203</v>
      </c>
      <c r="I34" s="40"/>
      <c r="J34" s="40"/>
      <c r="K34" s="40">
        <v>50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6">
        <f t="shared" si="2"/>
        <v>1.5015015015016342E-3</v>
      </c>
    </row>
    <row r="35" spans="1:31" x14ac:dyDescent="0.25">
      <c r="A35">
        <v>200</v>
      </c>
      <c r="B35" s="191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9">
        <f t="shared" si="11"/>
        <v>-0.10612563402262969</v>
      </c>
      <c r="I35" s="40"/>
      <c r="J35" s="40"/>
      <c r="K35" s="40">
        <v>-179</v>
      </c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6">
        <f t="shared" si="2"/>
        <v>1.3390139987827121E-2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6">
        <f t="shared" si="2"/>
        <v>-1.8811585547924836E-2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6">
        <f t="shared" si="2"/>
        <v>-6.8208778173189932E-3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6">
        <f t="shared" si="2"/>
        <v>7.7704722056186615E-3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6">
        <f t="shared" si="2"/>
        <v>2.7325759901750013E-2</v>
      </c>
    </row>
    <row r="40" spans="1:31" ht="20.25" thickBot="1" x14ac:dyDescent="0.35">
      <c r="O40" s="697" t="s">
        <v>78</v>
      </c>
      <c r="P40" s="697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6">
        <f t="shared" si="2"/>
        <v>3.2329635499207532E-2</v>
      </c>
    </row>
    <row r="41" spans="1:31" ht="15.75" thickTop="1" x14ac:dyDescent="0.25">
      <c r="B41" s="510" t="s">
        <v>113</v>
      </c>
      <c r="C41" s="510" t="s">
        <v>146</v>
      </c>
      <c r="D41" s="511" t="s">
        <v>145</v>
      </c>
      <c r="E41" s="512" t="s">
        <v>147</v>
      </c>
      <c r="F41" s="512" t="s">
        <v>65</v>
      </c>
      <c r="G41" s="514" t="s">
        <v>151</v>
      </c>
      <c r="H41" s="514" t="s">
        <v>88</v>
      </c>
      <c r="I41" s="514" t="s">
        <v>154</v>
      </c>
      <c r="O41" s="82">
        <v>1.1000000000000001</v>
      </c>
      <c r="P41" s="82">
        <f>O41*$Q$4</f>
        <v>24.860000000000003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6">
        <f t="shared" si="2"/>
        <v>-1.1901033510804848E-2</v>
      </c>
    </row>
    <row r="42" spans="1:31" ht="20.25" thickBot="1" x14ac:dyDescent="0.35">
      <c r="B42" s="376">
        <v>42548</v>
      </c>
      <c r="C42" s="377">
        <v>100</v>
      </c>
      <c r="D42" s="378">
        <v>25</v>
      </c>
      <c r="E42" s="378">
        <v>24.69</v>
      </c>
      <c r="F42" s="378">
        <f t="shared" ref="F42:F47" si="12">C42*(E42-D42)</f>
        <v>-30.999999999999872</v>
      </c>
      <c r="G42" s="378">
        <f t="shared" ref="G42:G47" si="13">D42*C42</f>
        <v>2500</v>
      </c>
      <c r="H42" s="379">
        <f t="shared" ref="H42:H47" si="14">(E42-D42)/D42</f>
        <v>-1.2399999999999949E-2</v>
      </c>
      <c r="I42" s="378"/>
      <c r="O42" s="82">
        <v>1.0900000000000001</v>
      </c>
      <c r="P42" s="82">
        <f t="shared" ref="P42:P61" si="15">O42*$Q$4</f>
        <v>24.634000000000004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6">
        <f t="shared" si="2"/>
        <v>-6.2597809076680999E-4</v>
      </c>
    </row>
    <row r="43" spans="1:31" ht="15.75" thickTop="1" x14ac:dyDescent="0.25">
      <c r="B43" s="376">
        <v>42549</v>
      </c>
      <c r="C43" s="377">
        <v>100</v>
      </c>
      <c r="D43" s="378">
        <v>25</v>
      </c>
      <c r="E43" s="378">
        <v>25.26</v>
      </c>
      <c r="F43" s="378">
        <f t="shared" si="12"/>
        <v>26.000000000000156</v>
      </c>
      <c r="G43" s="378">
        <f t="shared" si="13"/>
        <v>2500</v>
      </c>
      <c r="H43" s="379">
        <f t="shared" si="14"/>
        <v>1.0400000000000062E-2</v>
      </c>
      <c r="I43" s="378"/>
      <c r="O43" s="82">
        <v>1.08</v>
      </c>
      <c r="P43" s="82">
        <f t="shared" si="15"/>
        <v>24.408000000000005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6">
        <f t="shared" si="2"/>
        <v>6.2992125984251413E-3</v>
      </c>
    </row>
    <row r="44" spans="1:31" x14ac:dyDescent="0.25">
      <c r="B44" s="376">
        <v>42552</v>
      </c>
      <c r="C44" s="377">
        <v>100</v>
      </c>
      <c r="D44" s="378">
        <v>25</v>
      </c>
      <c r="E44" s="378">
        <v>26.57</v>
      </c>
      <c r="F44" s="378">
        <f t="shared" si="12"/>
        <v>157.00000000000003</v>
      </c>
      <c r="G44" s="378">
        <f t="shared" si="13"/>
        <v>2500</v>
      </c>
      <c r="H44" s="379">
        <f t="shared" si="14"/>
        <v>6.2800000000000009E-2</v>
      </c>
      <c r="I44" s="378"/>
      <c r="O44" s="82">
        <v>1.07</v>
      </c>
      <c r="P44" s="82">
        <f t="shared" si="15"/>
        <v>24.182000000000002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6">
        <f t="shared" si="2"/>
        <v>5.7016154577129718E-3</v>
      </c>
    </row>
    <row r="45" spans="1:31" x14ac:dyDescent="0.25">
      <c r="B45" s="376">
        <v>42556</v>
      </c>
      <c r="C45" s="377">
        <v>100</v>
      </c>
      <c r="D45" s="378">
        <v>25</v>
      </c>
      <c r="E45" s="378">
        <v>25.47</v>
      </c>
      <c r="F45" s="378">
        <f t="shared" si="12"/>
        <v>46.999999999999886</v>
      </c>
      <c r="G45" s="378">
        <f t="shared" si="13"/>
        <v>2500</v>
      </c>
      <c r="H45" s="379">
        <f t="shared" si="14"/>
        <v>1.8799999999999956E-2</v>
      </c>
      <c r="I45" s="378"/>
      <c r="O45" s="82">
        <v>1.06</v>
      </c>
      <c r="P45" s="82">
        <f t="shared" si="15"/>
        <v>23.956000000000003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6">
        <f t="shared" si="2"/>
        <v>1.2508017960231044E-2</v>
      </c>
    </row>
    <row r="46" spans="1:31" x14ac:dyDescent="0.25">
      <c r="B46" s="376">
        <v>42562</v>
      </c>
      <c r="C46" s="377">
        <v>100</v>
      </c>
      <c r="D46" s="378">
        <v>25</v>
      </c>
      <c r="E46" s="378">
        <v>25.69</v>
      </c>
      <c r="F46" s="378">
        <f t="shared" si="12"/>
        <v>69.000000000000128</v>
      </c>
      <c r="G46" s="378">
        <f t="shared" si="13"/>
        <v>2500</v>
      </c>
      <c r="H46" s="379">
        <f t="shared" si="14"/>
        <v>2.7600000000000052E-2</v>
      </c>
      <c r="I46" s="378"/>
      <c r="O46" s="82">
        <v>1.05</v>
      </c>
      <c r="P46" s="82">
        <f t="shared" si="15"/>
        <v>23.730000000000004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6">
        <f t="shared" si="2"/>
        <v>-7.0063694267515908E-3</v>
      </c>
    </row>
    <row r="47" spans="1:31" x14ac:dyDescent="0.25">
      <c r="B47" s="376">
        <v>42563</v>
      </c>
      <c r="C47" s="377">
        <v>100</v>
      </c>
      <c r="D47" s="378">
        <v>25</v>
      </c>
      <c r="E47" s="378">
        <v>26.48</v>
      </c>
      <c r="F47" s="378">
        <f t="shared" si="12"/>
        <v>148.00000000000006</v>
      </c>
      <c r="G47" s="378">
        <f t="shared" si="13"/>
        <v>2500</v>
      </c>
      <c r="H47" s="379">
        <f t="shared" si="14"/>
        <v>5.9200000000000016E-2</v>
      </c>
      <c r="I47" s="378"/>
      <c r="O47" s="82">
        <v>1.04</v>
      </c>
      <c r="P47" s="82">
        <f t="shared" si="15"/>
        <v>23.504000000000001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6">
        <f t="shared" si="2"/>
        <v>9.6463022508037621E-3</v>
      </c>
    </row>
    <row r="48" spans="1:31" x14ac:dyDescent="0.25">
      <c r="B48" s="376">
        <v>42569</v>
      </c>
      <c r="C48" s="377">
        <v>100</v>
      </c>
      <c r="D48" s="378">
        <v>25</v>
      </c>
      <c r="E48" s="378">
        <v>29.28</v>
      </c>
      <c r="F48" s="378">
        <f t="shared" ref="F48:F54" si="16">C48*(E48-D48)</f>
        <v>428.00000000000011</v>
      </c>
      <c r="G48" s="378">
        <f t="shared" ref="G48:G54" si="17">D48*C48</f>
        <v>2500</v>
      </c>
      <c r="H48" s="379">
        <f t="shared" ref="H48:H54" si="18">(E48-D48)/D48</f>
        <v>0.17120000000000005</v>
      </c>
      <c r="I48" s="378"/>
      <c r="O48" s="82">
        <v>1.03</v>
      </c>
      <c r="P48" s="82">
        <f t="shared" si="15"/>
        <v>23.278000000000002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6">
        <f t="shared" si="2"/>
        <v>1.3029315960912058E-2</v>
      </c>
    </row>
    <row r="49" spans="2:31" x14ac:dyDescent="0.25">
      <c r="B49" s="376">
        <v>42570</v>
      </c>
      <c r="C49" s="377">
        <v>100</v>
      </c>
      <c r="D49" s="378">
        <v>25</v>
      </c>
      <c r="E49" s="378">
        <v>28.68</v>
      </c>
      <c r="F49" s="378">
        <f t="shared" si="16"/>
        <v>368</v>
      </c>
      <c r="G49" s="378">
        <f t="shared" si="17"/>
        <v>2500</v>
      </c>
      <c r="H49" s="379">
        <f t="shared" si="18"/>
        <v>0.1472</v>
      </c>
      <c r="I49" s="378"/>
      <c r="O49" s="82">
        <v>1.02</v>
      </c>
      <c r="P49" s="82">
        <f t="shared" si="15"/>
        <v>23.052000000000003</v>
      </c>
      <c r="Q49" s="2"/>
      <c r="T49" s="92" t="s">
        <v>121</v>
      </c>
      <c r="U49" s="129" t="s">
        <v>447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6">
        <f t="shared" si="2"/>
        <v>-1.4446227929374E-2</v>
      </c>
    </row>
    <row r="50" spans="2:31" x14ac:dyDescent="0.25">
      <c r="B50" s="376">
        <v>42571</v>
      </c>
      <c r="C50" s="377">
        <v>100</v>
      </c>
      <c r="D50" s="378">
        <v>25</v>
      </c>
      <c r="E50" s="378">
        <v>29.01</v>
      </c>
      <c r="F50" s="378">
        <f t="shared" si="16"/>
        <v>401.00000000000017</v>
      </c>
      <c r="G50" s="378">
        <f t="shared" si="17"/>
        <v>2500</v>
      </c>
      <c r="H50" s="379">
        <f t="shared" si="18"/>
        <v>0.16040000000000007</v>
      </c>
      <c r="I50" s="378"/>
      <c r="O50" s="82">
        <v>1.01</v>
      </c>
      <c r="P50" s="82">
        <f t="shared" si="15"/>
        <v>22.826000000000001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6">
        <f t="shared" si="2"/>
        <v>-1.2991128010139463E-2</v>
      </c>
    </row>
    <row r="51" spans="2:31" x14ac:dyDescent="0.25">
      <c r="B51" s="376">
        <v>42572</v>
      </c>
      <c r="C51" s="377">
        <v>100</v>
      </c>
      <c r="D51" s="378">
        <v>25</v>
      </c>
      <c r="E51" s="378">
        <v>28.89</v>
      </c>
      <c r="F51" s="378">
        <f t="shared" si="16"/>
        <v>389.00000000000006</v>
      </c>
      <c r="G51" s="378">
        <f t="shared" si="17"/>
        <v>2500</v>
      </c>
      <c r="H51" s="379">
        <f t="shared" si="18"/>
        <v>0.15560000000000002</v>
      </c>
      <c r="I51" s="378"/>
      <c r="O51" s="82">
        <v>1</v>
      </c>
      <c r="P51" s="82">
        <f t="shared" si="15"/>
        <v>22.6</v>
      </c>
      <c r="Q51" s="2"/>
      <c r="T51" s="92" t="s">
        <v>104</v>
      </c>
      <c r="U51" s="129" t="s">
        <v>669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6">
        <f t="shared" si="2"/>
        <v>-4.2766151046405798E-2</v>
      </c>
    </row>
    <row r="52" spans="2:31" x14ac:dyDescent="0.25">
      <c r="B52" s="376">
        <v>42576</v>
      </c>
      <c r="C52" s="377">
        <v>100</v>
      </c>
      <c r="D52" s="378">
        <v>25</v>
      </c>
      <c r="E52" s="378">
        <v>28.63</v>
      </c>
      <c r="F52" s="378">
        <f t="shared" si="16"/>
        <v>362.99999999999989</v>
      </c>
      <c r="G52" s="378">
        <f t="shared" si="17"/>
        <v>2500</v>
      </c>
      <c r="H52" s="379">
        <f t="shared" si="18"/>
        <v>0.14519999999999997</v>
      </c>
      <c r="I52" s="378"/>
      <c r="O52" s="82">
        <v>0.99</v>
      </c>
      <c r="P52" s="82">
        <f t="shared" si="15"/>
        <v>22.374000000000002</v>
      </c>
      <c r="Q52" s="2"/>
      <c r="T52" s="92" t="s">
        <v>105</v>
      </c>
      <c r="U52" s="129" t="s">
        <v>461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6">
        <f t="shared" si="2"/>
        <v>-5.7297949336548859E-3</v>
      </c>
    </row>
    <row r="53" spans="2:31" x14ac:dyDescent="0.25">
      <c r="B53" s="376">
        <v>42577</v>
      </c>
      <c r="C53" s="377">
        <v>100</v>
      </c>
      <c r="D53" s="378">
        <v>25</v>
      </c>
      <c r="E53" s="378">
        <v>29.34</v>
      </c>
      <c r="F53" s="378">
        <f t="shared" si="16"/>
        <v>434</v>
      </c>
      <c r="G53" s="378">
        <f t="shared" si="17"/>
        <v>2500</v>
      </c>
      <c r="H53" s="379">
        <f t="shared" si="18"/>
        <v>0.1736</v>
      </c>
      <c r="I53" s="378"/>
      <c r="O53" s="82">
        <v>0.98</v>
      </c>
      <c r="P53" s="82">
        <f t="shared" si="15"/>
        <v>22.148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6">
        <f t="shared" si="2"/>
        <v>6.0441317556763519E-2</v>
      </c>
    </row>
    <row r="54" spans="2:31" x14ac:dyDescent="0.25">
      <c r="B54" s="376">
        <v>42580</v>
      </c>
      <c r="C54" s="377">
        <v>100</v>
      </c>
      <c r="D54" s="378">
        <v>25</v>
      </c>
      <c r="E54" s="378">
        <v>27</v>
      </c>
      <c r="F54" s="378">
        <f t="shared" si="16"/>
        <v>200</v>
      </c>
      <c r="G54" s="378">
        <f t="shared" si="17"/>
        <v>2500</v>
      </c>
      <c r="H54" s="379">
        <f t="shared" si="18"/>
        <v>0.08</v>
      </c>
      <c r="I54" s="378"/>
      <c r="O54" s="82">
        <v>0.97</v>
      </c>
      <c r="P54" s="82">
        <f t="shared" si="15"/>
        <v>21.922000000000001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6">
        <f t="shared" si="2"/>
        <v>8.384392131570495E-3</v>
      </c>
    </row>
    <row r="55" spans="2:31" x14ac:dyDescent="0.25">
      <c r="B55" s="376">
        <v>42584</v>
      </c>
      <c r="C55" s="377">
        <v>0</v>
      </c>
      <c r="D55" s="378"/>
      <c r="E55" s="378"/>
      <c r="F55" s="378">
        <v>287.94</v>
      </c>
      <c r="G55" s="378"/>
      <c r="H55" s="379"/>
      <c r="I55" s="378"/>
      <c r="O55" s="82">
        <v>0.96</v>
      </c>
      <c r="P55" s="82">
        <f t="shared" si="15"/>
        <v>21.696000000000002</v>
      </c>
      <c r="T55" s="92" t="s">
        <v>107</v>
      </c>
      <c r="U55" s="129" t="s">
        <v>670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6">
        <f t="shared" si="2"/>
        <v>3.4011337112370921E-2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15"/>
        <v>21.47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6">
        <f t="shared" si="2"/>
        <v>-1.1210023079459286E-2</v>
      </c>
    </row>
    <row r="57" spans="2:31" x14ac:dyDescent="0.25">
      <c r="B57" s="189" t="s">
        <v>113</v>
      </c>
      <c r="C57" s="189" t="s">
        <v>146</v>
      </c>
      <c r="D57" s="190" t="s">
        <v>145</v>
      </c>
      <c r="E57" s="192" t="s">
        <v>147</v>
      </c>
      <c r="F57" s="192" t="s">
        <v>65</v>
      </c>
      <c r="G57" s="227" t="s">
        <v>151</v>
      </c>
      <c r="H57" s="227" t="s">
        <v>88</v>
      </c>
      <c r="I57" s="227" t="s">
        <v>154</v>
      </c>
      <c r="O57" s="82">
        <v>0.94</v>
      </c>
      <c r="P57" s="82">
        <f t="shared" si="15"/>
        <v>21.244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6">
        <f t="shared" si="2"/>
        <v>-5.5737704918032982E-3</v>
      </c>
    </row>
    <row r="58" spans="2:31" x14ac:dyDescent="0.25">
      <c r="B58" s="264">
        <v>42627</v>
      </c>
      <c r="C58" s="259">
        <v>50</v>
      </c>
      <c r="D58" s="260">
        <v>25.74</v>
      </c>
      <c r="E58" s="260">
        <v>25.83</v>
      </c>
      <c r="F58" s="260">
        <f>C58*(E58-D58)</f>
        <v>4.4999999999999929</v>
      </c>
      <c r="G58" s="260">
        <f>D58*C58</f>
        <v>1287</v>
      </c>
      <c r="H58" s="274">
        <f>(E58-D58)/D58</f>
        <v>3.4965034965034913E-3</v>
      </c>
      <c r="I58" s="260"/>
      <c r="O58" s="82">
        <v>0.93</v>
      </c>
      <c r="P58" s="82">
        <f t="shared" si="15"/>
        <v>21.018000000000001</v>
      </c>
      <c r="T58" s="92" t="s">
        <v>108</v>
      </c>
      <c r="U58" s="129" t="s">
        <v>590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6">
        <f t="shared" si="2"/>
        <v>-1.5493867010974882E-2</v>
      </c>
    </row>
    <row r="59" spans="2:31" x14ac:dyDescent="0.25">
      <c r="B59" s="264">
        <v>42629</v>
      </c>
      <c r="C59" s="259">
        <v>50</v>
      </c>
      <c r="D59" s="260">
        <v>25.74</v>
      </c>
      <c r="E59" s="260">
        <v>25.54</v>
      </c>
      <c r="F59" s="260">
        <f t="shared" ref="F59:F64" si="19">C59*(E59-D59)</f>
        <v>-9.9999999999999645</v>
      </c>
      <c r="G59" s="260">
        <f t="shared" ref="G59:G64" si="20">D59*C59</f>
        <v>1287</v>
      </c>
      <c r="H59" s="274">
        <f t="shared" ref="H59:H64" si="21">(E59-D59)/D59</f>
        <v>-7.7700077700077431E-3</v>
      </c>
      <c r="I59" s="260"/>
      <c r="O59" s="82">
        <v>0.92</v>
      </c>
      <c r="P59" s="82">
        <f t="shared" si="15"/>
        <v>20.792000000000002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6">
        <f t="shared" si="2"/>
        <v>-5.138086062941527E-3</v>
      </c>
    </row>
    <row r="60" spans="2:31" x14ac:dyDescent="0.25">
      <c r="B60" s="264">
        <v>42636</v>
      </c>
      <c r="C60" s="259">
        <v>50</v>
      </c>
      <c r="D60" s="260">
        <v>25.74</v>
      </c>
      <c r="E60" s="260">
        <v>24.82</v>
      </c>
      <c r="F60" s="260">
        <f t="shared" si="19"/>
        <v>-45.999999999999908</v>
      </c>
      <c r="G60" s="260">
        <f t="shared" si="20"/>
        <v>1287</v>
      </c>
      <c r="H60" s="274">
        <f t="shared" si="21"/>
        <v>-3.5742035742035674E-2</v>
      </c>
      <c r="I60" s="260"/>
      <c r="O60" s="82">
        <v>0.91</v>
      </c>
      <c r="P60" s="82">
        <f t="shared" si="15"/>
        <v>20.566000000000003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6">
        <f t="shared" si="2"/>
        <v>-6.4184852374837842E-4</v>
      </c>
    </row>
    <row r="61" spans="2:31" x14ac:dyDescent="0.25">
      <c r="B61" s="264">
        <v>42639</v>
      </c>
      <c r="C61" s="259">
        <v>100</v>
      </c>
      <c r="D61" s="260">
        <v>24.96</v>
      </c>
      <c r="E61" s="260">
        <v>24.14</v>
      </c>
      <c r="F61" s="260">
        <f t="shared" si="19"/>
        <v>-82.000000000000028</v>
      </c>
      <c r="G61" s="260">
        <f t="shared" si="20"/>
        <v>2496</v>
      </c>
      <c r="H61" s="274">
        <f t="shared" si="21"/>
        <v>-3.2852564102564111E-2</v>
      </c>
      <c r="I61" s="260"/>
      <c r="O61" s="82">
        <v>0.9</v>
      </c>
      <c r="P61" s="82">
        <f t="shared" si="15"/>
        <v>20.340000000000003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6">
        <f t="shared" si="2"/>
        <v>2.331691297208538E-2</v>
      </c>
    </row>
    <row r="62" spans="2:31" x14ac:dyDescent="0.25">
      <c r="B62" s="264">
        <v>42639</v>
      </c>
      <c r="C62" s="259">
        <v>150</v>
      </c>
      <c r="D62" s="260">
        <v>24.8</v>
      </c>
      <c r="E62" s="260">
        <v>24.14</v>
      </c>
      <c r="F62" s="260">
        <f t="shared" si="19"/>
        <v>-99.000000000000028</v>
      </c>
      <c r="G62" s="260">
        <f t="shared" si="20"/>
        <v>3720</v>
      </c>
      <c r="H62" s="274">
        <f t="shared" si="21"/>
        <v>-2.6612903225806457E-2</v>
      </c>
      <c r="I62" s="260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6">
        <f t="shared" si="2"/>
        <v>3.2851511169518233E-4</v>
      </c>
    </row>
    <row r="63" spans="2:31" x14ac:dyDescent="0.25">
      <c r="B63" s="264">
        <v>42640</v>
      </c>
      <c r="C63" s="259">
        <v>150</v>
      </c>
      <c r="D63" s="260">
        <v>24.8</v>
      </c>
      <c r="E63" s="260">
        <v>23.99</v>
      </c>
      <c r="F63" s="260">
        <f t="shared" si="19"/>
        <v>-121.50000000000034</v>
      </c>
      <c r="G63" s="260">
        <f t="shared" si="20"/>
        <v>3720</v>
      </c>
      <c r="H63" s="274">
        <f t="shared" si="21"/>
        <v>-3.2661290322580736E-2</v>
      </c>
      <c r="I63" s="260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6">
        <f t="shared" si="2"/>
        <v>-2.9479200786112214E-3</v>
      </c>
    </row>
    <row r="64" spans="2:31" x14ac:dyDescent="0.25">
      <c r="B64" s="264">
        <v>42643</v>
      </c>
      <c r="C64" s="259">
        <v>150</v>
      </c>
      <c r="D64" s="260">
        <v>24.8</v>
      </c>
      <c r="E64" s="260">
        <v>24.46</v>
      </c>
      <c r="F64" s="260">
        <f t="shared" si="19"/>
        <v>-50.999999999999979</v>
      </c>
      <c r="G64" s="260">
        <f t="shared" si="20"/>
        <v>3720</v>
      </c>
      <c r="H64" s="274">
        <f t="shared" si="21"/>
        <v>-1.3709677419354832E-2</v>
      </c>
      <c r="I64" s="260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6">
        <f t="shared" si="2"/>
        <v>-2.2875816993463971E-3</v>
      </c>
    </row>
    <row r="65" spans="2:31" x14ac:dyDescent="0.25">
      <c r="B65" s="264">
        <v>42646</v>
      </c>
      <c r="C65" s="259">
        <v>150</v>
      </c>
      <c r="D65" s="260">
        <v>24.8</v>
      </c>
      <c r="E65" s="260">
        <v>24.89</v>
      </c>
      <c r="F65" s="260">
        <f t="shared" ref="F65:F76" si="22">C65*(E65-D65)</f>
        <v>13.499999999999979</v>
      </c>
      <c r="G65" s="260">
        <f t="shared" ref="G65:G76" si="23">D65*C65</f>
        <v>3720</v>
      </c>
      <c r="H65" s="274">
        <f t="shared" ref="H65:H76" si="24">(E65-D65)/D65</f>
        <v>3.6290322580645102E-3</v>
      </c>
      <c r="I65" s="260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6">
        <f t="shared" si="2"/>
        <v>1.9646365422396617E-3</v>
      </c>
    </row>
    <row r="66" spans="2:31" x14ac:dyDescent="0.25">
      <c r="B66" s="264">
        <v>42648</v>
      </c>
      <c r="C66" s="259">
        <v>150</v>
      </c>
      <c r="D66" s="260">
        <v>24.8</v>
      </c>
      <c r="E66" s="260">
        <v>25.07</v>
      </c>
      <c r="F66" s="260">
        <f t="shared" si="22"/>
        <v>40.499999999999936</v>
      </c>
      <c r="G66" s="260">
        <f t="shared" si="23"/>
        <v>3720</v>
      </c>
      <c r="H66" s="274">
        <f t="shared" si="24"/>
        <v>1.0887096774193531E-2</v>
      </c>
      <c r="I66" s="26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6">
        <f t="shared" si="2"/>
        <v>4.3389135633754794E-2</v>
      </c>
    </row>
    <row r="67" spans="2:31" x14ac:dyDescent="0.25">
      <c r="B67" s="264">
        <v>42649</v>
      </c>
      <c r="C67" s="259">
        <v>150</v>
      </c>
      <c r="D67" s="260">
        <v>24.8</v>
      </c>
      <c r="E67" s="260">
        <v>24.85</v>
      </c>
      <c r="F67" s="260">
        <f t="shared" si="22"/>
        <v>7.5000000000001066</v>
      </c>
      <c r="G67" s="260">
        <f t="shared" si="23"/>
        <v>3720</v>
      </c>
      <c r="H67" s="274">
        <f t="shared" si="24"/>
        <v>2.0161290322580931E-3</v>
      </c>
      <c r="I67" s="260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42650</v>
      </c>
      <c r="C68" s="259">
        <v>150</v>
      </c>
      <c r="D68" s="260">
        <v>24.8</v>
      </c>
      <c r="E68" s="260">
        <v>24.58</v>
      </c>
      <c r="F68" s="260">
        <f t="shared" si="22"/>
        <v>-33.000000000000362</v>
      </c>
      <c r="G68" s="260">
        <f t="shared" si="23"/>
        <v>3720</v>
      </c>
      <c r="H68" s="274">
        <f t="shared" si="24"/>
        <v>-8.8709677419355811E-3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42661</v>
      </c>
      <c r="C69" s="259">
        <v>150</v>
      </c>
      <c r="D69" s="260">
        <v>24.8</v>
      </c>
      <c r="E69" s="260">
        <v>23.39</v>
      </c>
      <c r="F69" s="260">
        <f t="shared" si="22"/>
        <v>-211.50000000000003</v>
      </c>
      <c r="G69" s="260">
        <f t="shared" si="23"/>
        <v>3720</v>
      </c>
      <c r="H69" s="274">
        <f t="shared" si="24"/>
        <v>-5.6854838709677426E-2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42662</v>
      </c>
      <c r="C70" s="259">
        <v>150</v>
      </c>
      <c r="D70" s="260">
        <v>24.8</v>
      </c>
      <c r="E70" s="260">
        <v>23.84</v>
      </c>
      <c r="F70" s="260">
        <f t="shared" si="22"/>
        <v>-144.00000000000011</v>
      </c>
      <c r="G70" s="260">
        <f t="shared" si="23"/>
        <v>3720</v>
      </c>
      <c r="H70" s="274">
        <f t="shared" si="24"/>
        <v>-3.8709677419354875E-2</v>
      </c>
      <c r="I70" s="260"/>
    </row>
    <row r="71" spans="2:31" x14ac:dyDescent="0.25">
      <c r="B71" s="264">
        <v>42664</v>
      </c>
      <c r="C71" s="259">
        <v>150</v>
      </c>
      <c r="D71" s="260">
        <v>24.8</v>
      </c>
      <c r="E71" s="260">
        <v>24.31</v>
      </c>
      <c r="F71" s="260">
        <f t="shared" si="22"/>
        <v>-73.500000000000298</v>
      </c>
      <c r="G71" s="260">
        <f t="shared" si="23"/>
        <v>3720</v>
      </c>
      <c r="H71" s="274">
        <f t="shared" si="24"/>
        <v>-1.975806451612911E-2</v>
      </c>
      <c r="I71" s="260"/>
    </row>
    <row r="72" spans="2:31" x14ac:dyDescent="0.25">
      <c r="B72" s="264">
        <v>42670</v>
      </c>
      <c r="C72" s="259">
        <v>150</v>
      </c>
      <c r="D72" s="260">
        <v>24.626899999999999</v>
      </c>
      <c r="E72" s="260">
        <v>23.93</v>
      </c>
      <c r="F72" s="260">
        <f t="shared" si="22"/>
        <v>-104.53499999999991</v>
      </c>
      <c r="G72" s="260">
        <f t="shared" si="23"/>
        <v>3694.0349999999999</v>
      </c>
      <c r="H72" s="274">
        <f t="shared" si="24"/>
        <v>-2.8298324190214743E-2</v>
      </c>
      <c r="I72" s="260"/>
    </row>
    <row r="73" spans="2:31" x14ac:dyDescent="0.25">
      <c r="B73" s="264">
        <v>42674</v>
      </c>
      <c r="C73" s="259">
        <v>150</v>
      </c>
      <c r="D73" s="260">
        <v>24.626899999999999</v>
      </c>
      <c r="E73" s="260">
        <v>23.53</v>
      </c>
      <c r="F73" s="260">
        <f t="shared" si="22"/>
        <v>-164.53499999999968</v>
      </c>
      <c r="G73" s="260">
        <f t="shared" si="23"/>
        <v>3694.0349999999999</v>
      </c>
      <c r="H73" s="274">
        <f t="shared" si="24"/>
        <v>-4.4540725791715481E-2</v>
      </c>
      <c r="I73" s="260"/>
    </row>
    <row r="74" spans="2:31" x14ac:dyDescent="0.25">
      <c r="B74" s="264">
        <v>42675</v>
      </c>
      <c r="C74" s="259">
        <v>150</v>
      </c>
      <c r="D74" s="260">
        <v>24.264700000000001</v>
      </c>
      <c r="E74" s="260">
        <v>24.32</v>
      </c>
      <c r="F74" s="260">
        <f t="shared" si="22"/>
        <v>8.2949999999998525</v>
      </c>
      <c r="G74" s="260">
        <f t="shared" si="23"/>
        <v>3639.7050000000004</v>
      </c>
      <c r="H74" s="274">
        <f t="shared" si="24"/>
        <v>2.2790308555225912E-3</v>
      </c>
      <c r="I74" s="260"/>
    </row>
    <row r="75" spans="2:31" x14ac:dyDescent="0.25">
      <c r="B75" s="264">
        <v>42676</v>
      </c>
      <c r="C75" s="259">
        <v>150</v>
      </c>
      <c r="D75" s="260">
        <v>24.264700000000001</v>
      </c>
      <c r="E75" s="260">
        <v>24.73</v>
      </c>
      <c r="F75" s="260">
        <f t="shared" si="22"/>
        <v>69.794999999999874</v>
      </c>
      <c r="G75" s="260">
        <f t="shared" si="23"/>
        <v>3639.7050000000004</v>
      </c>
      <c r="H75" s="274">
        <f t="shared" si="24"/>
        <v>1.9176004648728363E-2</v>
      </c>
      <c r="I75" s="260"/>
    </row>
    <row r="76" spans="2:31" x14ac:dyDescent="0.25">
      <c r="B76" s="264">
        <v>42704</v>
      </c>
      <c r="C76" s="259">
        <v>100</v>
      </c>
      <c r="D76" s="260">
        <v>22.507400000000001</v>
      </c>
      <c r="E76" s="260">
        <v>28.4</v>
      </c>
      <c r="F76" s="260">
        <f t="shared" si="22"/>
        <v>589.25999999999976</v>
      </c>
      <c r="G76" s="260">
        <f t="shared" si="23"/>
        <v>2250.7400000000002</v>
      </c>
      <c r="H76" s="274">
        <f t="shared" si="24"/>
        <v>0.26180722784506422</v>
      </c>
      <c r="I76" s="260"/>
    </row>
    <row r="77" spans="2:31" x14ac:dyDescent="0.25">
      <c r="B77" s="264">
        <v>42711</v>
      </c>
      <c r="C77" s="259">
        <v>0</v>
      </c>
      <c r="D77" s="260"/>
      <c r="E77" s="260"/>
      <c r="F77" s="260">
        <v>727.2</v>
      </c>
      <c r="G77" s="260"/>
      <c r="H77" s="274"/>
      <c r="I77" s="260"/>
    </row>
    <row r="78" spans="2:31" x14ac:dyDescent="0.25">
      <c r="B78" s="191"/>
      <c r="C78" s="10"/>
      <c r="D78" s="40"/>
      <c r="E78" s="40"/>
      <c r="F78" s="40"/>
      <c r="G78" s="40"/>
      <c r="H78" s="229"/>
      <c r="I78" s="40"/>
    </row>
    <row r="79" spans="2:31" x14ac:dyDescent="0.25">
      <c r="B79" s="191"/>
      <c r="C79" s="10"/>
      <c r="D79" s="40"/>
      <c r="E79" s="40"/>
      <c r="F79" s="40"/>
      <c r="G79" s="40"/>
      <c r="H79" s="229"/>
      <c r="I79" s="40"/>
    </row>
    <row r="80" spans="2:31" x14ac:dyDescent="0.25">
      <c r="B80" s="191"/>
      <c r="C80" s="10"/>
      <c r="D80" s="40"/>
      <c r="E80" s="40"/>
      <c r="F80" s="40"/>
      <c r="G80" s="40"/>
      <c r="H80" s="229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1" t="s">
        <v>1</v>
      </c>
      <c r="B85" s="471" t="s">
        <v>2</v>
      </c>
      <c r="C85" s="471" t="s">
        <v>4</v>
      </c>
      <c r="D85" s="472" t="s">
        <v>5</v>
      </c>
      <c r="E85" s="472" t="s">
        <v>94</v>
      </c>
      <c r="F85" s="472" t="s">
        <v>60</v>
      </c>
      <c r="G85" s="471" t="s">
        <v>3</v>
      </c>
      <c r="H85" s="471" t="s">
        <v>6</v>
      </c>
      <c r="I85" s="472" t="s">
        <v>7</v>
      </c>
      <c r="J85" s="472" t="s">
        <v>95</v>
      </c>
      <c r="K85" s="472" t="s">
        <v>61</v>
      </c>
      <c r="L85" s="471" t="s">
        <v>37</v>
      </c>
      <c r="M85" s="471" t="s">
        <v>38</v>
      </c>
    </row>
    <row r="86" spans="1:13" x14ac:dyDescent="0.25">
      <c r="A86" s="473" t="s">
        <v>229</v>
      </c>
      <c r="B86" s="474">
        <v>42548</v>
      </c>
      <c r="C86" s="475">
        <v>100</v>
      </c>
      <c r="D86" s="476">
        <v>25</v>
      </c>
      <c r="E86" s="476">
        <v>0</v>
      </c>
      <c r="F86" s="476">
        <f>D86*C86+E86</f>
        <v>2500</v>
      </c>
      <c r="G86" s="474">
        <v>42584</v>
      </c>
      <c r="H86" s="477">
        <v>100</v>
      </c>
      <c r="I86" s="476">
        <v>27.88</v>
      </c>
      <c r="J86" s="476">
        <v>0.06</v>
      </c>
      <c r="K86" s="476">
        <f>H86*I86-J86</f>
        <v>2787.94</v>
      </c>
      <c r="L86" s="474">
        <v>42719</v>
      </c>
      <c r="M86" s="475">
        <v>41.25</v>
      </c>
    </row>
    <row r="87" spans="1:13" x14ac:dyDescent="0.25">
      <c r="A87" s="478" t="s">
        <v>71</v>
      </c>
      <c r="B87" s="474">
        <v>42627</v>
      </c>
      <c r="C87" s="475">
        <v>50</v>
      </c>
      <c r="D87" s="476">
        <v>25.74</v>
      </c>
      <c r="E87" s="476">
        <v>0</v>
      </c>
      <c r="F87" s="476">
        <v>1287</v>
      </c>
      <c r="G87" s="474" t="s">
        <v>353</v>
      </c>
      <c r="H87" s="477">
        <v>50</v>
      </c>
      <c r="I87" s="476">
        <v>25</v>
      </c>
      <c r="J87" s="476">
        <v>0.03</v>
      </c>
      <c r="K87" s="476">
        <v>1249.97</v>
      </c>
      <c r="L87" s="475"/>
      <c r="M87" s="475"/>
    </row>
    <row r="88" spans="1:13" x14ac:dyDescent="0.25">
      <c r="A88" s="475"/>
      <c r="B88" s="474">
        <v>42639</v>
      </c>
      <c r="C88" s="475">
        <v>50</v>
      </c>
      <c r="D88" s="476">
        <v>24.48</v>
      </c>
      <c r="E88" s="476">
        <v>0</v>
      </c>
      <c r="F88" s="476">
        <v>1224</v>
      </c>
      <c r="G88" s="474" t="s">
        <v>353</v>
      </c>
      <c r="H88" s="477">
        <v>100</v>
      </c>
      <c r="I88" s="476">
        <v>24.88</v>
      </c>
      <c r="J88" s="476">
        <v>0.05</v>
      </c>
      <c r="K88" s="476">
        <v>2487.9499999999998</v>
      </c>
      <c r="L88" s="475"/>
      <c r="M88" s="475"/>
    </row>
    <row r="89" spans="1:13" x14ac:dyDescent="0.25">
      <c r="A89" s="475"/>
      <c r="B89" s="474">
        <v>42639</v>
      </c>
      <c r="C89" s="475">
        <v>50</v>
      </c>
      <c r="D89" s="476">
        <v>24.18</v>
      </c>
      <c r="E89" s="476">
        <v>0</v>
      </c>
      <c r="F89" s="476">
        <v>1209</v>
      </c>
      <c r="G89" s="474" t="s">
        <v>353</v>
      </c>
      <c r="H89" s="477">
        <v>50</v>
      </c>
      <c r="I89" s="476">
        <v>27.78</v>
      </c>
      <c r="J89" s="476">
        <v>0.03</v>
      </c>
      <c r="K89" s="476">
        <v>1388.97</v>
      </c>
      <c r="L89" s="475"/>
      <c r="M89" s="475"/>
    </row>
    <row r="90" spans="1:13" x14ac:dyDescent="0.25">
      <c r="A90" s="475"/>
      <c r="B90" s="474">
        <v>42670</v>
      </c>
      <c r="C90" s="475">
        <v>50</v>
      </c>
      <c r="D90" s="476">
        <v>24.48</v>
      </c>
      <c r="E90" s="476">
        <v>0</v>
      </c>
      <c r="F90" s="476">
        <v>1224</v>
      </c>
      <c r="G90" s="474" t="s">
        <v>353</v>
      </c>
      <c r="H90" s="477">
        <v>100</v>
      </c>
      <c r="I90" s="476">
        <v>29.78</v>
      </c>
      <c r="J90" s="476">
        <v>0.06</v>
      </c>
      <c r="K90" s="476">
        <v>2977.94</v>
      </c>
      <c r="L90" s="475"/>
      <c r="M90" s="475"/>
    </row>
    <row r="91" spans="1:13" x14ac:dyDescent="0.25">
      <c r="A91" s="475"/>
      <c r="B91" s="474" t="s">
        <v>353</v>
      </c>
      <c r="C91" s="475">
        <v>100</v>
      </c>
      <c r="D91" s="476">
        <v>24.34</v>
      </c>
      <c r="E91" s="476">
        <v>-0.37</v>
      </c>
      <c r="F91" s="476">
        <v>2433.63</v>
      </c>
      <c r="G91" s="475"/>
      <c r="H91" s="477"/>
      <c r="I91" s="476"/>
      <c r="J91" s="476"/>
      <c r="K91" s="476"/>
      <c r="L91" s="475"/>
      <c r="M91" s="475"/>
    </row>
    <row r="92" spans="1:13" x14ac:dyDescent="0.25">
      <c r="A92" s="475"/>
      <c r="B92" s="522">
        <v>42723</v>
      </c>
      <c r="C92" s="523">
        <v>100</v>
      </c>
      <c r="D92" s="525">
        <v>27.98</v>
      </c>
      <c r="E92" s="525">
        <v>0</v>
      </c>
      <c r="F92" s="525">
        <f>D92*C92+E92</f>
        <v>2798</v>
      </c>
      <c r="G92" s="522">
        <v>42724</v>
      </c>
      <c r="H92" s="523">
        <v>100</v>
      </c>
      <c r="I92" s="525">
        <v>27.94</v>
      </c>
      <c r="J92" s="525">
        <v>0.06</v>
      </c>
      <c r="K92" s="525">
        <f>I92*H92-J92</f>
        <v>2793.94</v>
      </c>
      <c r="L92" s="475"/>
      <c r="M92" s="475"/>
    </row>
    <row r="93" spans="1:13" x14ac:dyDescent="0.25">
      <c r="A93" s="475"/>
      <c r="B93" s="453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3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5"/>
      <c r="M93" s="475"/>
    </row>
    <row r="94" spans="1:13" x14ac:dyDescent="0.25">
      <c r="A94" s="475"/>
      <c r="B94" s="475"/>
      <c r="C94" s="475"/>
      <c r="D94" s="476"/>
      <c r="E94" s="476"/>
      <c r="F94" s="476"/>
      <c r="G94" s="475"/>
      <c r="H94" s="477"/>
      <c r="I94" s="476"/>
      <c r="J94" s="476"/>
      <c r="K94" s="476"/>
      <c r="L94" s="475"/>
      <c r="M94" s="475"/>
    </row>
    <row r="95" spans="1:13" x14ac:dyDescent="0.25">
      <c r="A95" s="475"/>
      <c r="B95" s="475"/>
      <c r="C95" s="475"/>
      <c r="D95" s="476"/>
      <c r="E95" s="476"/>
      <c r="F95" s="476"/>
      <c r="G95" s="475"/>
      <c r="H95" s="477"/>
      <c r="I95" s="476"/>
      <c r="J95" s="476"/>
      <c r="K95" s="476"/>
      <c r="L95" s="475"/>
      <c r="M95" s="475"/>
    </row>
    <row r="96" spans="1:13" x14ac:dyDescent="0.25">
      <c r="A96" s="475"/>
      <c r="B96" s="475"/>
      <c r="C96" s="475"/>
      <c r="D96" s="476"/>
      <c r="E96" s="476"/>
      <c r="F96" s="476"/>
      <c r="G96" s="475"/>
      <c r="H96" s="477"/>
      <c r="I96" s="476"/>
      <c r="J96" s="476"/>
      <c r="K96" s="476"/>
      <c r="L96" s="475"/>
      <c r="M96" s="475"/>
    </row>
    <row r="97" spans="1:13" x14ac:dyDescent="0.25">
      <c r="A97" s="475"/>
      <c r="B97" s="475"/>
      <c r="C97" s="475"/>
      <c r="D97" s="476"/>
      <c r="E97" s="476"/>
      <c r="F97" s="476"/>
      <c r="G97" s="475"/>
      <c r="H97" s="477"/>
      <c r="I97" s="476"/>
      <c r="J97" s="476"/>
      <c r="K97" s="476"/>
      <c r="L97" s="475"/>
      <c r="M97" s="475"/>
    </row>
    <row r="98" spans="1:13" x14ac:dyDescent="0.25">
      <c r="A98" s="475"/>
      <c r="B98" s="475"/>
      <c r="C98" s="475"/>
      <c r="D98" s="476"/>
      <c r="E98" s="476"/>
      <c r="F98" s="476"/>
      <c r="G98" s="475"/>
      <c r="H98" s="477"/>
      <c r="I98" s="476"/>
      <c r="J98" s="476"/>
      <c r="K98" s="476"/>
      <c r="L98" s="475"/>
      <c r="M98" s="475"/>
    </row>
    <row r="99" spans="1:13" x14ac:dyDescent="0.25">
      <c r="A99" s="475"/>
      <c r="B99" s="475"/>
      <c r="C99" s="475"/>
      <c r="D99" s="476"/>
      <c r="E99" s="476"/>
      <c r="F99" s="476"/>
      <c r="G99" s="475"/>
      <c r="H99" s="477"/>
      <c r="I99" s="476"/>
      <c r="J99" s="476"/>
      <c r="K99" s="476"/>
      <c r="L99" s="475"/>
      <c r="M99" s="475"/>
    </row>
    <row r="100" spans="1:13" x14ac:dyDescent="0.25">
      <c r="A100" s="475"/>
      <c r="B100" s="475"/>
      <c r="C100" s="475"/>
      <c r="D100" s="476"/>
      <c r="E100" s="476"/>
      <c r="F100" s="476"/>
      <c r="G100" s="475"/>
      <c r="H100" s="477"/>
      <c r="I100" s="476"/>
      <c r="J100" s="476"/>
      <c r="K100" s="476"/>
      <c r="L100" s="475"/>
      <c r="M100" s="475"/>
    </row>
    <row r="101" spans="1:13" x14ac:dyDescent="0.25">
      <c r="A101" s="475"/>
      <c r="B101" s="475"/>
      <c r="C101" s="475"/>
      <c r="D101" s="476"/>
      <c r="E101" s="476"/>
      <c r="F101" s="476"/>
      <c r="G101" s="475"/>
      <c r="H101" s="475"/>
      <c r="I101" s="476"/>
      <c r="J101" s="476"/>
      <c r="K101" s="476"/>
      <c r="L101" s="475"/>
      <c r="M101" s="475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3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79" t="s">
        <v>196</v>
      </c>
      <c r="B103" s="480"/>
      <c r="C103" s="481">
        <f>SumByColor($A$19,C86:C101)</f>
        <v>100</v>
      </c>
      <c r="D103" s="481"/>
      <c r="E103" s="481"/>
      <c r="F103" s="482">
        <f>SumByColor($A$19,F86:F101)</f>
        <v>2758</v>
      </c>
      <c r="G103" s="481"/>
      <c r="H103" s="481">
        <f>SumByColor($A$19,H86:H101)</f>
        <v>100</v>
      </c>
      <c r="I103" s="481"/>
      <c r="J103" s="481"/>
      <c r="K103" s="482">
        <f>SumByColor($A$19,K86:K101)</f>
        <v>3158</v>
      </c>
      <c r="L103" s="481"/>
      <c r="M103" s="482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11" priority="37">
      <formula>F55&gt;0</formula>
    </cfRule>
    <cfRule type="expression" dxfId="710" priority="38">
      <formula>F55&lt;0</formula>
    </cfRule>
  </conditionalFormatting>
  <conditionalFormatting sqref="Q7">
    <cfRule type="expression" dxfId="709" priority="25">
      <formula>Q7&gt;0</formula>
    </cfRule>
    <cfRule type="expression" dxfId="708" priority="26">
      <formula>Q7&lt;0</formula>
    </cfRule>
  </conditionalFormatting>
  <conditionalFormatting sqref="Q8">
    <cfRule type="expression" dxfId="707" priority="23">
      <formula>Q8&gt;0</formula>
    </cfRule>
    <cfRule type="expression" dxfId="706" priority="24">
      <formula>Q8&lt;0</formula>
    </cfRule>
  </conditionalFormatting>
  <conditionalFormatting sqref="F42:F54">
    <cfRule type="expression" dxfId="705" priority="21">
      <formula>F42&gt;0</formula>
    </cfRule>
    <cfRule type="expression" dxfId="704" priority="22">
      <formula>F42&lt;0</formula>
    </cfRule>
  </conditionalFormatting>
  <conditionalFormatting sqref="H42:H54">
    <cfRule type="expression" dxfId="703" priority="19">
      <formula>H42&gt;0</formula>
    </cfRule>
    <cfRule type="expression" dxfId="702" priority="20">
      <formula>H42&lt;0</formula>
    </cfRule>
  </conditionalFormatting>
  <conditionalFormatting sqref="H58:H61">
    <cfRule type="expression" dxfId="701" priority="15">
      <formula>H58&gt;0</formula>
    </cfRule>
    <cfRule type="expression" dxfId="700" priority="16">
      <formula>H58&lt;0</formula>
    </cfRule>
  </conditionalFormatting>
  <conditionalFormatting sqref="F58:F61">
    <cfRule type="expression" dxfId="699" priority="17">
      <formula>F58&gt;0</formula>
    </cfRule>
    <cfRule type="expression" dxfId="698" priority="18">
      <formula>F58&lt;0</formula>
    </cfRule>
  </conditionalFormatting>
  <conditionalFormatting sqref="M84">
    <cfRule type="expression" dxfId="697" priority="13">
      <formula>M84&gt;0</formula>
    </cfRule>
    <cfRule type="expression" dxfId="696" priority="14">
      <formula>M84&lt;0</formula>
    </cfRule>
  </conditionalFormatting>
  <conditionalFormatting sqref="F23:F24 F31:F39">
    <cfRule type="expression" dxfId="695" priority="11">
      <formula>F23&gt;0</formula>
    </cfRule>
    <cfRule type="expression" dxfId="694" priority="12">
      <formula>F23&lt;0</formula>
    </cfRule>
  </conditionalFormatting>
  <conditionalFormatting sqref="H23:H24 H31:H39">
    <cfRule type="expression" dxfId="693" priority="9">
      <formula>H23&gt;0</formula>
    </cfRule>
    <cfRule type="expression" dxfId="692" priority="10">
      <formula>H23&lt;0</formula>
    </cfRule>
  </conditionalFormatting>
  <conditionalFormatting sqref="Q10">
    <cfRule type="expression" dxfId="691" priority="7">
      <formula>Q10&gt;0</formula>
    </cfRule>
    <cfRule type="expression" dxfId="690" priority="8">
      <formula>Q10&lt;0</formula>
    </cfRule>
  </conditionalFormatting>
  <conditionalFormatting sqref="F25:F30">
    <cfRule type="expression" dxfId="689" priority="5">
      <formula>F25&gt;0</formula>
    </cfRule>
    <cfRule type="expression" dxfId="688" priority="6">
      <formula>F25&lt;0</formula>
    </cfRule>
  </conditionalFormatting>
  <conditionalFormatting sqref="H25:H30">
    <cfRule type="expression" dxfId="687" priority="3">
      <formula>H25&gt;0</formula>
    </cfRule>
    <cfRule type="expression" dxfId="686" priority="4">
      <formula>H25&lt;0</formula>
    </cfRule>
  </conditionalFormatting>
  <conditionalFormatting sqref="K28:K35">
    <cfRule type="expression" dxfId="685" priority="1">
      <formula>K28&gt;0</formula>
    </cfRule>
    <cfRule type="expression" dxfId="684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56.37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56.37</v>
      </c>
      <c r="R4" s="498">
        <v>-3.8999999999999998E-3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557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62.007000000000005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61.443300000000001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60.879600000000003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60.315899999999999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59.752200000000002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59.188499999999998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58.6248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58.061099999999996</v>
      </c>
      <c r="Q48" s="2"/>
      <c r="T48" s="92" t="s">
        <v>331</v>
      </c>
      <c r="U48" s="87" t="s">
        <v>538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57.497399999999999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56.933699999999995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56.37</v>
      </c>
      <c r="Q51" s="2"/>
      <c r="T51" s="92" t="s">
        <v>104</v>
      </c>
      <c r="U51" s="87" t="s">
        <v>671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55.8063</v>
      </c>
      <c r="Q52" s="2"/>
      <c r="T52" s="92" t="s">
        <v>105</v>
      </c>
      <c r="U52" s="87" t="s">
        <v>556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55.242599999999996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54.678899999999999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54.115199999999994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53.551499999999997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52.987799999999993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52.424100000000003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51.860399999999998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51.296700000000001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50.732999999999997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3" priority="9">
      <formula>F39&gt;0</formula>
    </cfRule>
    <cfRule type="expression" dxfId="682" priority="10">
      <formula>F39&lt;0</formula>
    </cfRule>
  </conditionalFormatting>
  <conditionalFormatting sqref="F25:F38">
    <cfRule type="expression" dxfId="681" priority="7">
      <formula>F25&gt;0</formula>
    </cfRule>
    <cfRule type="expression" dxfId="680" priority="8">
      <formula>F25&lt;0</formula>
    </cfRule>
  </conditionalFormatting>
  <conditionalFormatting sqref="H25:H38">
    <cfRule type="expression" dxfId="679" priority="5">
      <formula>H25&gt;0</formula>
    </cfRule>
    <cfRule type="expression" dxfId="678" priority="6">
      <formula>H25&lt;0</formula>
    </cfRule>
  </conditionalFormatting>
  <conditionalFormatting sqref="Q7">
    <cfRule type="expression" dxfId="677" priority="3">
      <formula>Q7&gt;0</formula>
    </cfRule>
    <cfRule type="expression" dxfId="676" priority="4">
      <formula>Q7&lt;0</formula>
    </cfRule>
  </conditionalFormatting>
  <conditionalFormatting sqref="Q8">
    <cfRule type="expression" dxfId="675" priority="1">
      <formula>Q8&gt;0</formula>
    </cfRule>
    <cfRule type="expression" dxfId="67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</row>
    <row r="2" spans="1:33" x14ac:dyDescent="0.25">
      <c r="A2" s="6" t="s">
        <v>34</v>
      </c>
      <c r="B2" s="499">
        <v>42796</v>
      </c>
      <c r="C2" s="7">
        <v>50</v>
      </c>
      <c r="D2" s="44">
        <v>24.74</v>
      </c>
      <c r="E2" s="44">
        <v>0</v>
      </c>
      <c r="F2" s="44">
        <f t="shared" ref="F2:F3" si="0">C2*D2+E2</f>
        <v>1237</v>
      </c>
      <c r="G2" s="499">
        <v>42845</v>
      </c>
      <c r="H2" s="81">
        <v>200</v>
      </c>
      <c r="I2" s="44">
        <v>27.95</v>
      </c>
      <c r="J2" s="44">
        <v>0.12</v>
      </c>
      <c r="K2" s="44">
        <f t="shared" ref="K2:K8" si="1">I2*H2-J2</f>
        <v>5589.88</v>
      </c>
      <c r="L2" s="4"/>
      <c r="M2" s="4"/>
      <c r="N2" s="4"/>
      <c r="O2" s="11" t="s">
        <v>57</v>
      </c>
      <c r="Q2">
        <f>C22-H22</f>
        <v>400</v>
      </c>
      <c r="T2" s="456">
        <v>42568</v>
      </c>
      <c r="U2" s="126" t="s">
        <v>247</v>
      </c>
      <c r="V2" s="16"/>
    </row>
    <row r="3" spans="1:33" x14ac:dyDescent="0.25">
      <c r="A3" s="23" t="s">
        <v>71</v>
      </c>
      <c r="B3" s="499">
        <v>42796</v>
      </c>
      <c r="C3" s="7">
        <v>550</v>
      </c>
      <c r="D3" s="7">
        <v>24.74</v>
      </c>
      <c r="E3" s="7">
        <v>0</v>
      </c>
      <c r="F3" s="44">
        <f t="shared" si="0"/>
        <v>13607</v>
      </c>
      <c r="G3" s="499">
        <v>42853</v>
      </c>
      <c r="H3" s="81">
        <v>200</v>
      </c>
      <c r="I3" s="44">
        <v>28.18</v>
      </c>
      <c r="J3" s="44">
        <v>0.12</v>
      </c>
      <c r="K3" s="44">
        <f t="shared" si="1"/>
        <v>5635.88</v>
      </c>
      <c r="L3" s="4"/>
      <c r="M3" s="4"/>
      <c r="N3" s="4"/>
      <c r="O3" s="11" t="s">
        <v>58</v>
      </c>
      <c r="Q3" s="506">
        <f>(F22-K22)/Q2</f>
        <v>18.652675000000016</v>
      </c>
      <c r="T3" s="1">
        <v>42621</v>
      </c>
      <c r="U3" s="34" t="s">
        <v>265</v>
      </c>
      <c r="AC3" s="232"/>
      <c r="AF3" s="232"/>
    </row>
    <row r="4" spans="1:33" x14ac:dyDescent="0.25">
      <c r="B4" s="499">
        <v>42803</v>
      </c>
      <c r="C4" s="7">
        <v>100</v>
      </c>
      <c r="D4" s="44">
        <v>25.05</v>
      </c>
      <c r="E4" s="44">
        <v>0</v>
      </c>
      <c r="F4" s="44">
        <f t="shared" ref="F4:F11" si="2">C4*D4+E4</f>
        <v>2505</v>
      </c>
      <c r="G4" s="499">
        <v>42856</v>
      </c>
      <c r="H4" s="81">
        <v>50</v>
      </c>
      <c r="I4" s="44">
        <v>28.32</v>
      </c>
      <c r="J4" s="44">
        <v>0.03</v>
      </c>
      <c r="K4" s="44">
        <f t="shared" si="1"/>
        <v>1415.97</v>
      </c>
      <c r="L4" s="4"/>
      <c r="M4" s="4"/>
      <c r="N4" s="4"/>
      <c r="O4" s="11" t="s">
        <v>66</v>
      </c>
      <c r="Q4" s="199">
        <v>31.57</v>
      </c>
      <c r="R4" s="498">
        <v>1.15E-2</v>
      </c>
      <c r="T4" s="1">
        <v>42627</v>
      </c>
      <c r="U4" s="34" t="s">
        <v>265</v>
      </c>
      <c r="AC4" s="232"/>
      <c r="AF4" s="232"/>
    </row>
    <row r="5" spans="1:33" x14ac:dyDescent="0.25">
      <c r="B5" s="499">
        <v>42809</v>
      </c>
      <c r="C5" s="7">
        <v>200</v>
      </c>
      <c r="D5" s="44">
        <v>24.98</v>
      </c>
      <c r="E5" s="44">
        <v>0</v>
      </c>
      <c r="F5" s="44">
        <f t="shared" si="2"/>
        <v>4996</v>
      </c>
      <c r="G5" s="453">
        <v>42864</v>
      </c>
      <c r="H5" s="81">
        <v>450</v>
      </c>
      <c r="I5" s="44">
        <v>28.38</v>
      </c>
      <c r="J5" s="44">
        <v>0.28000000000000003</v>
      </c>
      <c r="K5" s="44">
        <f t="shared" si="1"/>
        <v>12770.72</v>
      </c>
      <c r="L5" s="4"/>
      <c r="M5" s="4"/>
      <c r="N5" s="4"/>
      <c r="O5" s="11" t="s">
        <v>67</v>
      </c>
      <c r="Q5" s="3">
        <f>Q4*Q2</f>
        <v>12628</v>
      </c>
      <c r="T5" t="s">
        <v>339</v>
      </c>
      <c r="AC5" s="232"/>
      <c r="AF5" s="232"/>
    </row>
    <row r="6" spans="1:33" x14ac:dyDescent="0.25">
      <c r="B6" s="499">
        <v>42818</v>
      </c>
      <c r="C6" s="7">
        <v>100</v>
      </c>
      <c r="D6" s="44">
        <v>28.48</v>
      </c>
      <c r="E6" s="44">
        <v>0</v>
      </c>
      <c r="F6" s="44">
        <f t="shared" si="2"/>
        <v>2848</v>
      </c>
      <c r="G6" s="453">
        <v>42864</v>
      </c>
      <c r="H6" s="81">
        <v>100</v>
      </c>
      <c r="I6" s="44">
        <v>28.67</v>
      </c>
      <c r="J6" s="44">
        <v>0.06</v>
      </c>
      <c r="K6" s="44">
        <f t="shared" si="1"/>
        <v>2866.94</v>
      </c>
      <c r="L6" s="4"/>
      <c r="M6" s="4"/>
      <c r="N6" s="4"/>
      <c r="O6" s="11" t="s">
        <v>64</v>
      </c>
      <c r="Q6" s="2">
        <f>Q3*Q2</f>
        <v>7461.070000000007</v>
      </c>
      <c r="T6" s="23" t="s">
        <v>492</v>
      </c>
      <c r="AC6" s="232"/>
      <c r="AF6" s="232"/>
    </row>
    <row r="7" spans="1:33" x14ac:dyDescent="0.25">
      <c r="B7" s="499">
        <v>42835</v>
      </c>
      <c r="C7" s="7">
        <v>100</v>
      </c>
      <c r="D7" s="44">
        <v>28.08</v>
      </c>
      <c r="E7" s="44">
        <v>0</v>
      </c>
      <c r="F7" s="44">
        <f t="shared" si="2"/>
        <v>2808</v>
      </c>
      <c r="G7" s="453">
        <v>42874</v>
      </c>
      <c r="H7" s="81">
        <v>200</v>
      </c>
      <c r="I7" s="44">
        <v>28.08</v>
      </c>
      <c r="J7" s="44">
        <v>0.12</v>
      </c>
      <c r="K7" s="44">
        <f t="shared" si="1"/>
        <v>5615.88</v>
      </c>
      <c r="L7" s="4"/>
      <c r="M7" s="4"/>
      <c r="N7" s="4"/>
      <c r="O7" s="11" t="s">
        <v>180</v>
      </c>
      <c r="Q7" s="2">
        <f>Q10+Q8</f>
        <v>20662.796999999846</v>
      </c>
      <c r="R7" s="30">
        <v>42905</v>
      </c>
    </row>
    <row r="8" spans="1:33" x14ac:dyDescent="0.25">
      <c r="B8" s="499">
        <v>42836</v>
      </c>
      <c r="C8" s="7">
        <v>100</v>
      </c>
      <c r="D8" s="44">
        <v>27.06</v>
      </c>
      <c r="E8" s="44">
        <v>0</v>
      </c>
      <c r="F8" s="44">
        <f t="shared" si="2"/>
        <v>2706</v>
      </c>
      <c r="G8" s="453">
        <v>42879</v>
      </c>
      <c r="H8" s="81">
        <v>200</v>
      </c>
      <c r="I8" s="44">
        <v>28.65</v>
      </c>
      <c r="J8" s="44">
        <v>0.12</v>
      </c>
      <c r="K8" s="44">
        <f t="shared" si="1"/>
        <v>5729.88</v>
      </c>
      <c r="L8" s="4"/>
      <c r="M8" s="4"/>
      <c r="N8" s="4"/>
      <c r="O8" s="11" t="s">
        <v>182</v>
      </c>
      <c r="P8" s="34"/>
      <c r="Q8" s="2">
        <f>K22+M22-F22+Q2*Q4</f>
        <v>5166.929999999993</v>
      </c>
      <c r="T8" t="s">
        <v>561</v>
      </c>
      <c r="AC8" s="232"/>
      <c r="AF8" s="232"/>
      <c r="AG8" s="232"/>
    </row>
    <row r="9" spans="1:33" x14ac:dyDescent="0.25">
      <c r="B9" s="499">
        <v>42846</v>
      </c>
      <c r="C9" s="7">
        <v>200</v>
      </c>
      <c r="D9" s="44">
        <v>27.34</v>
      </c>
      <c r="E9" s="44">
        <v>-0.78</v>
      </c>
      <c r="F9" s="44">
        <f t="shared" si="2"/>
        <v>5467.22</v>
      </c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0.69251863338636255</v>
      </c>
    </row>
    <row r="10" spans="1:33" x14ac:dyDescent="0.25">
      <c r="B10" s="501">
        <v>42872</v>
      </c>
      <c r="C10" s="4">
        <v>200</v>
      </c>
      <c r="D10" s="3">
        <v>27.48</v>
      </c>
      <c r="E10" s="3">
        <v>0</v>
      </c>
      <c r="F10" s="3">
        <f t="shared" si="2"/>
        <v>5496</v>
      </c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M230</f>
        <v>15495.866999999853</v>
      </c>
      <c r="T10" s="11"/>
      <c r="AC10" s="232"/>
      <c r="AF10" s="232"/>
    </row>
    <row r="11" spans="1:33" x14ac:dyDescent="0.25">
      <c r="B11" s="501">
        <v>42872</v>
      </c>
      <c r="C11" s="4">
        <v>200</v>
      </c>
      <c r="D11" s="3">
        <v>27.08</v>
      </c>
      <c r="E11" s="3">
        <v>0</v>
      </c>
      <c r="F11" s="3">
        <f t="shared" si="2"/>
        <v>5416</v>
      </c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v>0</v>
      </c>
      <c r="T11" s="1"/>
    </row>
    <row r="12" spans="1:33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2"/>
      <c r="AF12" s="232"/>
    </row>
    <row r="13" spans="1:33" x14ac:dyDescent="0.25">
      <c r="B13" s="500"/>
      <c r="C13" s="4"/>
      <c r="D13" s="3"/>
      <c r="E13" s="3"/>
      <c r="F13" s="3"/>
      <c r="G13" s="70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500"/>
      <c r="C14" s="4"/>
      <c r="D14" s="3"/>
      <c r="E14" s="3"/>
      <c r="F14" s="3"/>
      <c r="G14" s="704"/>
      <c r="H14" s="4"/>
      <c r="I14" s="3"/>
      <c r="J14" s="3"/>
      <c r="K14" s="3"/>
      <c r="L14" s="4"/>
      <c r="M14" s="4"/>
      <c r="N14" s="4"/>
      <c r="AC14" s="232"/>
      <c r="AF14" s="232"/>
      <c r="AG14" s="232"/>
    </row>
    <row r="15" spans="1:33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2"/>
      <c r="AF18" s="232"/>
    </row>
    <row r="19" spans="1:32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1800</v>
      </c>
      <c r="D22" s="12"/>
      <c r="E22" s="12"/>
      <c r="F22" s="13">
        <f>SUM(F2:F21)</f>
        <v>47086.22</v>
      </c>
      <c r="G22" s="12"/>
      <c r="H22" s="12">
        <f>SUM(H2:H21)</f>
        <v>1400</v>
      </c>
      <c r="I22" s="13"/>
      <c r="J22" s="13"/>
      <c r="K22" s="13">
        <f>SUM(K2:K21)</f>
        <v>39625.149999999994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2" t="s">
        <v>196</v>
      </c>
      <c r="B23" s="353"/>
      <c r="C23" s="354">
        <f>SumByColor($A$23,C2:C21)</f>
        <v>1400</v>
      </c>
      <c r="D23" s="354"/>
      <c r="E23" s="354"/>
      <c r="F23" s="355">
        <f>SumByColor($A$23,F2:F21)</f>
        <v>36174</v>
      </c>
      <c r="G23" s="354"/>
      <c r="H23" s="354">
        <f>SumByColor($A$23,H2:H21)</f>
        <v>1400</v>
      </c>
      <c r="I23" s="354"/>
      <c r="J23" s="354"/>
      <c r="K23" s="355">
        <f>SumByColor($A$23,K2:K21)</f>
        <v>39626</v>
      </c>
      <c r="L23" s="354"/>
      <c r="M23" s="355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5" t="s">
        <v>78</v>
      </c>
      <c r="P24" s="695"/>
      <c r="Q24" s="2"/>
    </row>
    <row r="25" spans="1:32" ht="15.75" thickTop="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34.727000000000004</v>
      </c>
      <c r="Q25" s="2"/>
    </row>
    <row r="26" spans="1:32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3">O26*$Q$4</f>
        <v>34.411300000000004</v>
      </c>
      <c r="Q26" s="2"/>
    </row>
    <row r="27" spans="1:32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82">
        <v>1.08</v>
      </c>
      <c r="P27" s="82">
        <f t="shared" si="3"/>
        <v>34.095600000000005</v>
      </c>
      <c r="Q27" s="2"/>
    </row>
    <row r="28" spans="1:32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82">
        <v>1.07</v>
      </c>
      <c r="P28" s="82">
        <f t="shared" si="3"/>
        <v>33.779900000000005</v>
      </c>
      <c r="Q28" s="2"/>
    </row>
    <row r="29" spans="1:32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494</v>
      </c>
      <c r="L29" s="227" t="s">
        <v>751</v>
      </c>
      <c r="M29" s="4"/>
      <c r="N29" s="4"/>
      <c r="O29" s="82">
        <v>1.06</v>
      </c>
      <c r="P29" s="82">
        <f t="shared" si="3"/>
        <v>33.464200000000005</v>
      </c>
    </row>
    <row r="30" spans="1:32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4">-C30*(D30-E30)</f>
        <v>2329.0005499999988</v>
      </c>
      <c r="G30" s="378">
        <f t="shared" ref="G30:G39" si="5">IF(C30=0, 0,D30*C30)</f>
        <v>31321.499450000003</v>
      </c>
      <c r="H30" s="380">
        <f t="shared" ref="H30:H39" si="6">IF(C30=0, D30, (E30-D30)/D30)</f>
        <v>7.4357888060815641E-2</v>
      </c>
      <c r="I30" s="378"/>
      <c r="J30" s="378"/>
      <c r="K30" s="378"/>
      <c r="L30" s="378"/>
      <c r="M30" s="4"/>
      <c r="N30" s="4"/>
      <c r="O30" s="82">
        <v>1.05</v>
      </c>
      <c r="P30" s="82">
        <f t="shared" si="3"/>
        <v>33.148499999999999</v>
      </c>
    </row>
    <row r="31" spans="1:32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4"/>
        <v>4315.650300000003</v>
      </c>
      <c r="G31" s="378">
        <f t="shared" si="5"/>
        <v>26727.599699999999</v>
      </c>
      <c r="H31" s="380">
        <f t="shared" si="6"/>
        <v>0.16146793383769523</v>
      </c>
      <c r="I31" s="378"/>
      <c r="J31" s="378"/>
      <c r="K31" s="378"/>
      <c r="L31" s="378"/>
      <c r="M31" s="4"/>
      <c r="N31" s="4"/>
      <c r="O31" s="82">
        <v>1.04</v>
      </c>
      <c r="P31" s="82">
        <f t="shared" si="3"/>
        <v>32.832799999999999</v>
      </c>
    </row>
    <row r="32" spans="1:32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4"/>
        <v>4135.3999999999987</v>
      </c>
      <c r="G32" s="378">
        <f t="shared" si="5"/>
        <v>31297.599999999999</v>
      </c>
      <c r="H32" s="380">
        <f t="shared" si="6"/>
        <v>0.13213153724247223</v>
      </c>
      <c r="I32" s="378"/>
      <c r="J32" s="378"/>
      <c r="K32" s="378"/>
      <c r="L32" s="378"/>
      <c r="M32" s="4"/>
      <c r="N32" s="4"/>
      <c r="O32" s="82">
        <v>1.03</v>
      </c>
      <c r="P32" s="82">
        <f t="shared" si="3"/>
        <v>32.517099999999999</v>
      </c>
    </row>
    <row r="33" spans="1:32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4"/>
        <v>5561.0910000000003</v>
      </c>
      <c r="G33" s="378">
        <f t="shared" si="5"/>
        <v>17029.909</v>
      </c>
      <c r="H33" s="380">
        <f t="shared" si="6"/>
        <v>0.32654848596078817</v>
      </c>
      <c r="I33" s="378"/>
      <c r="J33" s="378"/>
      <c r="K33" s="378"/>
      <c r="L33" s="378"/>
      <c r="M33" s="4"/>
      <c r="N33" s="4"/>
      <c r="O33" s="82">
        <v>1.02</v>
      </c>
      <c r="P33" s="82">
        <f t="shared" si="3"/>
        <v>32.2014</v>
      </c>
    </row>
    <row r="34" spans="1:32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4"/>
        <v>5181.0919999999987</v>
      </c>
      <c r="G34" s="378">
        <f t="shared" si="5"/>
        <v>31057.907999999999</v>
      </c>
      <c r="H34" s="380">
        <f t="shared" si="6"/>
        <v>0.16682037953103598</v>
      </c>
      <c r="I34" s="378">
        <v>20</v>
      </c>
      <c r="J34" s="378"/>
      <c r="K34" s="378"/>
      <c r="L34" s="378"/>
      <c r="M34" s="4"/>
      <c r="N34" s="4"/>
      <c r="O34" s="82">
        <v>1.01</v>
      </c>
      <c r="P34" s="82">
        <f t="shared" si="3"/>
        <v>31.8857</v>
      </c>
    </row>
    <row r="35" spans="1:32" x14ac:dyDescent="0.25">
      <c r="A35" s="523" t="s">
        <v>396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4"/>
        <v>1467.000449999998</v>
      </c>
      <c r="G35" s="525">
        <f t="shared" si="5"/>
        <v>31175.99955</v>
      </c>
      <c r="H35" s="526">
        <f t="shared" si="6"/>
        <v>4.7055442365118903E-2</v>
      </c>
      <c r="I35" s="525"/>
      <c r="J35" s="525"/>
      <c r="K35" s="525"/>
      <c r="L35" s="525"/>
      <c r="M35" s="4"/>
      <c r="N35" s="4"/>
      <c r="O35" s="82">
        <v>1</v>
      </c>
      <c r="P35" s="82">
        <f t="shared" si="3"/>
        <v>31.57</v>
      </c>
    </row>
    <row r="36" spans="1:32" x14ac:dyDescent="0.25">
      <c r="A36" s="523" t="s">
        <v>413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4"/>
        <v>2079.2700000000032</v>
      </c>
      <c r="G36" s="525">
        <f t="shared" si="5"/>
        <v>31130.73</v>
      </c>
      <c r="H36" s="526">
        <f t="shared" si="6"/>
        <v>6.679155933702817E-2</v>
      </c>
      <c r="I36" s="525"/>
      <c r="J36" s="525"/>
      <c r="K36" s="525"/>
      <c r="L36" s="525"/>
      <c r="M36" s="4"/>
      <c r="N36" s="4"/>
      <c r="O36" s="82">
        <v>0.99</v>
      </c>
      <c r="P36" s="82">
        <f t="shared" si="3"/>
        <v>31.254300000000001</v>
      </c>
      <c r="AC36" s="232"/>
    </row>
    <row r="37" spans="1:32" x14ac:dyDescent="0.25">
      <c r="A37" s="523" t="s">
        <v>439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4"/>
        <v>1356.7692499999996</v>
      </c>
      <c r="G37" s="525">
        <f t="shared" si="5"/>
        <v>35920.730750000002</v>
      </c>
      <c r="H37" s="526">
        <f t="shared" si="6"/>
        <v>3.7771204028191979E-2</v>
      </c>
      <c r="I37" s="525">
        <v>23</v>
      </c>
      <c r="J37" s="525"/>
      <c r="K37" s="525"/>
      <c r="L37" s="525"/>
      <c r="M37" s="4"/>
      <c r="N37" s="4"/>
      <c r="O37" s="82">
        <v>0.98</v>
      </c>
      <c r="P37" s="82">
        <f t="shared" si="3"/>
        <v>30.938600000000001</v>
      </c>
    </row>
    <row r="38" spans="1:32" x14ac:dyDescent="0.25">
      <c r="A38" s="523" t="s">
        <v>444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4"/>
        <v>-90.19724999999994</v>
      </c>
      <c r="G38" s="525">
        <f t="shared" si="5"/>
        <v>38238.197250000005</v>
      </c>
      <c r="H38" s="526">
        <f t="shared" si="6"/>
        <v>-2.3588258988856995E-3</v>
      </c>
      <c r="I38" s="525"/>
      <c r="J38" s="525"/>
      <c r="K38" s="525"/>
      <c r="L38" s="525"/>
      <c r="M38" s="3"/>
      <c r="N38" s="4"/>
      <c r="O38" s="82">
        <v>0.97</v>
      </c>
      <c r="P38" s="82">
        <f t="shared" si="3"/>
        <v>30.622899999999998</v>
      </c>
    </row>
    <row r="39" spans="1:32" x14ac:dyDescent="0.25">
      <c r="A39" s="523" t="s">
        <v>458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4"/>
        <v>-261.77950000000169</v>
      </c>
      <c r="G39" s="525">
        <f t="shared" si="5"/>
        <v>35880.779500000004</v>
      </c>
      <c r="H39" s="526">
        <f t="shared" si="6"/>
        <v>-7.2958141837470864E-3</v>
      </c>
      <c r="I39" s="525">
        <v>23</v>
      </c>
      <c r="J39" s="525"/>
      <c r="K39" s="525"/>
      <c r="L39" s="525"/>
      <c r="M39" s="4"/>
      <c r="N39" s="4"/>
      <c r="O39" s="82">
        <v>0.96</v>
      </c>
      <c r="P39" s="82">
        <f t="shared" si="3"/>
        <v>30.307199999999998</v>
      </c>
    </row>
    <row r="40" spans="1:32" x14ac:dyDescent="0.25">
      <c r="A40" s="664" t="s">
        <v>458</v>
      </c>
      <c r="B40" s="665">
        <v>42788</v>
      </c>
      <c r="C40" s="664">
        <v>1550</v>
      </c>
      <c r="D40" s="675">
        <v>23.390999999999998</v>
      </c>
      <c r="E40" s="666">
        <v>23.75</v>
      </c>
      <c r="F40" s="666">
        <f t="shared" ref="F40" si="7">-C40*(D40-E40)</f>
        <v>556.45000000000277</v>
      </c>
      <c r="G40" s="666">
        <f t="shared" ref="G40" si="8">IF(C40=0, 0,D40*C40)</f>
        <v>36256.049999999996</v>
      </c>
      <c r="H40" s="676">
        <f t="shared" ref="H40" si="9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O40" s="82">
        <v>0.95</v>
      </c>
      <c r="P40" s="82">
        <f t="shared" si="3"/>
        <v>29.991499999999998</v>
      </c>
    </row>
    <row r="41" spans="1:32" x14ac:dyDescent="0.25">
      <c r="A41" s="664" t="s">
        <v>478</v>
      </c>
      <c r="B41" s="665">
        <v>42790</v>
      </c>
      <c r="C41" s="664">
        <v>1550</v>
      </c>
      <c r="D41" s="675">
        <v>23.390999999999998</v>
      </c>
      <c r="E41" s="666">
        <v>23.24</v>
      </c>
      <c r="F41" s="666">
        <f t="shared" ref="F41" si="10">-C41*(D41-E41)</f>
        <v>-234.0499999999997</v>
      </c>
      <c r="G41" s="666">
        <f t="shared" ref="G41" si="11">IF(C41=0, 0,D41*C41)</f>
        <v>36256.049999999996</v>
      </c>
      <c r="H41" s="676">
        <f t="shared" ref="H41" si="12">IF(C41=0, D41, (E41-D41)/D41)</f>
        <v>-6.4554743277328809E-3</v>
      </c>
      <c r="I41" s="666"/>
      <c r="J41" s="666"/>
      <c r="K41" s="666"/>
      <c r="L41" s="666"/>
      <c r="M41" s="4"/>
      <c r="N41" s="4"/>
      <c r="O41" s="82">
        <v>0.94</v>
      </c>
      <c r="P41" s="82">
        <f t="shared" si="3"/>
        <v>29.675799999999999</v>
      </c>
    </row>
    <row r="42" spans="1:32" x14ac:dyDescent="0.25">
      <c r="A42" s="664"/>
      <c r="B42" s="665">
        <v>42793</v>
      </c>
      <c r="C42" s="664">
        <v>1550</v>
      </c>
      <c r="D42" s="675">
        <v>23.390999999999998</v>
      </c>
      <c r="E42" s="666">
        <v>23.76</v>
      </c>
      <c r="F42" s="666">
        <f t="shared" ref="F42:F43" si="13">-C42*(D42-E42)</f>
        <v>571.95000000000516</v>
      </c>
      <c r="G42" s="666">
        <f t="shared" ref="G42:G43" si="14">IF(C42=0, 0,D42*C42)</f>
        <v>36256.049999999996</v>
      </c>
      <c r="H42" s="676">
        <f t="shared" ref="H42:H43" si="15">IF(C42=0, D42, (E42-D42)/D42)</f>
        <v>1.5775298191612303E-2</v>
      </c>
      <c r="I42" s="666"/>
      <c r="J42" s="666"/>
      <c r="K42" s="666"/>
      <c r="L42" s="666"/>
      <c r="M42" s="4"/>
      <c r="N42" s="4"/>
      <c r="O42" s="82">
        <v>0.93</v>
      </c>
      <c r="P42" s="82">
        <f t="shared" si="3"/>
        <v>29.360100000000003</v>
      </c>
      <c r="AC42" s="232"/>
      <c r="AF42" s="232"/>
    </row>
    <row r="43" spans="1:32" x14ac:dyDescent="0.25">
      <c r="A43" s="664">
        <v>600</v>
      </c>
      <c r="B43" s="665">
        <v>42795</v>
      </c>
      <c r="C43" s="664">
        <v>1200</v>
      </c>
      <c r="D43" s="675">
        <v>23.166550000000001</v>
      </c>
      <c r="E43" s="666">
        <v>24.55</v>
      </c>
      <c r="F43" s="666">
        <f t="shared" si="13"/>
        <v>1660.1399999999999</v>
      </c>
      <c r="G43" s="666">
        <f t="shared" si="14"/>
        <v>27799.86</v>
      </c>
      <c r="H43" s="676">
        <f t="shared" si="15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O43" s="82">
        <v>0.92</v>
      </c>
      <c r="P43" s="82">
        <f t="shared" si="3"/>
        <v>29.044400000000003</v>
      </c>
    </row>
    <row r="44" spans="1:32" x14ac:dyDescent="0.25">
      <c r="A44" s="664">
        <v>200</v>
      </c>
      <c r="B44" s="665">
        <v>42796</v>
      </c>
      <c r="C44" s="664">
        <v>1200</v>
      </c>
      <c r="D44" s="675">
        <v>22.916799999999999</v>
      </c>
      <c r="E44" s="666">
        <v>24.7</v>
      </c>
      <c r="F44" s="666">
        <f t="shared" ref="F44:F45" si="16">-C44*(D44-E44)</f>
        <v>2139.8400000000011</v>
      </c>
      <c r="G44" s="666">
        <f t="shared" ref="G44:G45" si="17">IF(C44=0, 0,D44*C44)</f>
        <v>27500.16</v>
      </c>
      <c r="H44" s="676">
        <f t="shared" ref="H44:H45" si="18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9">(G44-K44)/C44</f>
        <v>10.675133333333333</v>
      </c>
      <c r="N44" s="4"/>
      <c r="O44" s="82">
        <v>0.91</v>
      </c>
      <c r="P44" s="82">
        <f t="shared" si="3"/>
        <v>28.7287</v>
      </c>
    </row>
    <row r="45" spans="1:32" x14ac:dyDescent="0.25">
      <c r="A45" s="664">
        <v>100</v>
      </c>
      <c r="B45" s="665">
        <v>42798</v>
      </c>
      <c r="C45" s="664">
        <v>1000</v>
      </c>
      <c r="D45" s="675">
        <v>22.424299999999999</v>
      </c>
      <c r="E45" s="666">
        <v>25.57</v>
      </c>
      <c r="F45" s="666">
        <f t="shared" si="16"/>
        <v>3145.7000000000016</v>
      </c>
      <c r="G45" s="666">
        <f t="shared" si="17"/>
        <v>22424.3</v>
      </c>
      <c r="H45" s="676">
        <f t="shared" si="18"/>
        <v>0.14028085603563997</v>
      </c>
      <c r="I45" s="666"/>
      <c r="J45" s="666"/>
      <c r="K45" s="666">
        <v>15696</v>
      </c>
      <c r="L45" s="666">
        <f t="shared" si="19"/>
        <v>6.7282999999999991</v>
      </c>
      <c r="N45" s="4"/>
      <c r="O45" s="82">
        <v>0.9</v>
      </c>
      <c r="P45" s="82">
        <f t="shared" si="3"/>
        <v>28.413</v>
      </c>
    </row>
    <row r="46" spans="1:32" x14ac:dyDescent="0.25">
      <c r="A46" s="664">
        <v>100</v>
      </c>
      <c r="B46" s="665">
        <v>42803</v>
      </c>
      <c r="C46" s="664">
        <v>1100</v>
      </c>
      <c r="D46" s="675">
        <v>22.663</v>
      </c>
      <c r="E46" s="666">
        <v>25.15</v>
      </c>
      <c r="F46" s="666">
        <f t="shared" ref="F46" si="20">-C46*(D46-E46)</f>
        <v>2735.699999999998</v>
      </c>
      <c r="G46" s="666">
        <f t="shared" ref="G46" si="21">IF(C46=0, 0,D46*C46)</f>
        <v>24929.3</v>
      </c>
      <c r="H46" s="676">
        <f t="shared" ref="H46" si="22">IF(C46=0, D46, (E46-D46)/D46)</f>
        <v>0.1097383400255923</v>
      </c>
      <c r="I46" s="666"/>
      <c r="J46" s="666"/>
      <c r="K46" s="666">
        <v>15286</v>
      </c>
      <c r="L46" s="666">
        <f t="shared" si="19"/>
        <v>8.7666363636363638</v>
      </c>
      <c r="N46" s="4"/>
      <c r="S46" s="4"/>
      <c r="T46" s="4"/>
      <c r="U46" s="108"/>
    </row>
    <row r="47" spans="1:32" x14ac:dyDescent="0.25">
      <c r="A47" s="664">
        <v>0</v>
      </c>
      <c r="B47" s="665">
        <v>42804</v>
      </c>
      <c r="C47" s="664">
        <v>1000</v>
      </c>
      <c r="D47" s="675">
        <v>22.371400000000001</v>
      </c>
      <c r="E47" s="666">
        <v>25.18</v>
      </c>
      <c r="F47" s="666">
        <f t="shared" ref="F47" si="23">-C47*(D47-E47)</f>
        <v>2808.5999999999985</v>
      </c>
      <c r="G47" s="666">
        <f t="shared" ref="G47" si="24">IF(C47=0, 0,D47*C47)</f>
        <v>22371.4</v>
      </c>
      <c r="H47" s="676">
        <f t="shared" ref="H47" si="25">IF(C47=0, D47, (E47-D47)/D47)</f>
        <v>0.12554422164012974</v>
      </c>
      <c r="I47" s="666"/>
      <c r="J47" s="666"/>
      <c r="K47" s="666">
        <v>15359</v>
      </c>
      <c r="L47" s="666">
        <f t="shared" si="19"/>
        <v>7.0124000000000013</v>
      </c>
      <c r="N47" s="4"/>
      <c r="S47" s="4"/>
      <c r="T47" s="4"/>
      <c r="U47" s="108"/>
    </row>
    <row r="48" spans="1:32" x14ac:dyDescent="0.25">
      <c r="A48" s="664">
        <v>200</v>
      </c>
      <c r="B48" s="665">
        <v>42808</v>
      </c>
      <c r="C48" s="664">
        <v>1000</v>
      </c>
      <c r="D48" s="675">
        <v>22.371400000000001</v>
      </c>
      <c r="E48" s="666">
        <v>25.58</v>
      </c>
      <c r="F48" s="666">
        <f t="shared" ref="F48" si="26">-C48*(D48-E48)</f>
        <v>3208.5999999999972</v>
      </c>
      <c r="G48" s="666">
        <f t="shared" ref="G48" si="27">IF(C48=0, 0,D48*C48)</f>
        <v>22371.4</v>
      </c>
      <c r="H48" s="676">
        <f t="shared" ref="H48" si="28">IF(C48=0, D48, (E48-D48)/D48)</f>
        <v>0.1434241933897743</v>
      </c>
      <c r="I48" s="666">
        <v>22</v>
      </c>
      <c r="J48" s="666"/>
      <c r="K48" s="666">
        <v>15759</v>
      </c>
      <c r="L48" s="666">
        <f t="shared" si="19"/>
        <v>6.6124000000000018</v>
      </c>
      <c r="M48" s="4"/>
      <c r="N48" s="4"/>
      <c r="S48" s="427"/>
      <c r="T48" s="427"/>
      <c r="U48" s="428"/>
    </row>
    <row r="49" spans="1:32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29">-C49*(D49-E49)</f>
        <v>1484.9999999999995</v>
      </c>
      <c r="G49" s="476">
        <f t="shared" ref="G49" si="30">IF(C49=0, 0,D49*C49)</f>
        <v>24635</v>
      </c>
      <c r="H49" s="681">
        <f t="shared" ref="H49" si="31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9"/>
        <v>8.2620000000000005</v>
      </c>
      <c r="M49" s="4"/>
      <c r="N49" s="4"/>
      <c r="S49" s="4"/>
      <c r="T49" s="4"/>
      <c r="U49" s="231"/>
    </row>
    <row r="50" spans="1:32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2">-C50*(D50-E50)</f>
        <v>2086.199999999998</v>
      </c>
      <c r="G50" s="476">
        <f t="shared" ref="G50" si="33">IF(C50=0, 0,D50*C50)</f>
        <v>21736.799999999999</v>
      </c>
      <c r="H50" s="681">
        <f t="shared" ref="H50" si="34">IF(C50=0, D50, (E50-D50)/D50)</f>
        <v>9.5975488572374867E-2</v>
      </c>
      <c r="I50" s="476"/>
      <c r="J50" s="476"/>
      <c r="K50" s="476">
        <v>16974</v>
      </c>
      <c r="L50" s="476">
        <f t="shared" si="19"/>
        <v>5.2919999999999989</v>
      </c>
      <c r="M50" s="4"/>
      <c r="N50" s="4"/>
      <c r="S50" s="4"/>
      <c r="T50" s="4"/>
      <c r="U50" s="231"/>
      <c r="AC50" s="232"/>
      <c r="AF50" s="232"/>
    </row>
    <row r="51" spans="1:32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5">-C51*(D51-E51)</f>
        <v>3844.9999999999991</v>
      </c>
      <c r="G51" s="476">
        <f t="shared" ref="G51:G52" si="36">IF(C51=0, 0,D51*C51)</f>
        <v>24585</v>
      </c>
      <c r="H51" s="681">
        <f t="shared" ref="H51:H52" si="37">IF(C51=0, D51, (E51-D51)/D51)</f>
        <v>0.15639617653040466</v>
      </c>
      <c r="I51" s="476">
        <v>24</v>
      </c>
      <c r="J51" s="476"/>
      <c r="K51" s="476">
        <v>18733</v>
      </c>
      <c r="L51" s="476">
        <f t="shared" si="19"/>
        <v>5.8520000000000003</v>
      </c>
      <c r="M51" s="4"/>
      <c r="N51" s="4"/>
      <c r="S51" s="4"/>
      <c r="T51" s="4"/>
      <c r="U51" s="231"/>
    </row>
    <row r="52" spans="1:32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0">
        <f t="shared" si="37"/>
        <v>0.12848807208351518</v>
      </c>
      <c r="I52" s="40">
        <v>25</v>
      </c>
      <c r="J52" s="40"/>
      <c r="K52" s="40">
        <v>18733</v>
      </c>
      <c r="L52" s="40">
        <f t="shared" si="19"/>
        <v>6.46</v>
      </c>
      <c r="M52" s="4"/>
      <c r="N52" s="4"/>
      <c r="S52" s="4"/>
      <c r="T52" s="4"/>
      <c r="U52" s="231"/>
    </row>
    <row r="53" spans="1:32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2" si="38">-C53*(D53-E53)</f>
        <v>3326.9999999999982</v>
      </c>
      <c r="G53" s="40">
        <f t="shared" ref="G53:G62" si="39">IF(C53=0, 0,D53*C53)</f>
        <v>25193</v>
      </c>
      <c r="H53" s="230">
        <f t="shared" ref="H53:H62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S53" s="4"/>
      <c r="T53" s="4"/>
      <c r="U53" s="231"/>
    </row>
    <row r="54" spans="1:32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0">
        <f t="shared" si="40"/>
        <v>8.583775289726979E-2</v>
      </c>
      <c r="I54" s="40"/>
      <c r="J54" s="40"/>
      <c r="K54" s="40">
        <v>17899</v>
      </c>
      <c r="L54" s="40">
        <f t="shared" ref="L54:L62" si="42">(G54-K54)/C54</f>
        <v>9.183181818181815</v>
      </c>
      <c r="M54" s="4"/>
      <c r="N54" s="4"/>
      <c r="S54" s="4"/>
      <c r="T54" s="4"/>
      <c r="U54" s="429"/>
      <c r="AC54" s="232"/>
      <c r="AF54" s="232"/>
    </row>
    <row r="55" spans="1:32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0">
        <f t="shared" si="40"/>
        <v>6.2175153386220684E-2</v>
      </c>
      <c r="I55" s="40"/>
      <c r="J55" s="40"/>
      <c r="K55" s="40">
        <v>17405</v>
      </c>
      <c r="L55" s="40">
        <f t="shared" si="42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8"/>
        <v>2843</v>
      </c>
      <c r="G56" s="40">
        <f t="shared" si="39"/>
        <v>25117</v>
      </c>
      <c r="H56" s="230">
        <f t="shared" si="40"/>
        <v>0.11319026953855954</v>
      </c>
      <c r="I56" s="40">
        <v>25</v>
      </c>
      <c r="J56" s="40"/>
      <c r="K56" s="40">
        <v>18339</v>
      </c>
      <c r="L56" s="40">
        <f t="shared" si="42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8"/>
        <v>2199.6000000000022</v>
      </c>
      <c r="G57" s="40">
        <f t="shared" si="39"/>
        <v>30584.399999999998</v>
      </c>
      <c r="H57" s="230">
        <f t="shared" si="40"/>
        <v>7.1919017538352961E-2</v>
      </c>
      <c r="I57" s="40"/>
      <c r="J57" s="40"/>
      <c r="K57" s="40">
        <v>17695</v>
      </c>
      <c r="L57" s="40">
        <f t="shared" si="42"/>
        <v>10.741166666666665</v>
      </c>
      <c r="M57" s="4"/>
      <c r="N57" s="4"/>
      <c r="S57" s="427"/>
      <c r="T57" s="427"/>
      <c r="U57" s="428"/>
    </row>
    <row r="58" spans="1:32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8"/>
        <v>2722.0000000000014</v>
      </c>
      <c r="G58" s="40">
        <f t="shared" si="39"/>
        <v>24948</v>
      </c>
      <c r="H58" s="230">
        <f t="shared" si="40"/>
        <v>0.10910694244027583</v>
      </c>
      <c r="I58" s="200" t="s">
        <v>338</v>
      </c>
      <c r="J58" s="40"/>
      <c r="K58" s="40">
        <v>18217</v>
      </c>
      <c r="L58" s="40">
        <f t="shared" si="42"/>
        <v>6.7309999999999999</v>
      </c>
      <c r="M58" s="4"/>
      <c r="N58" s="4"/>
      <c r="S58" s="4"/>
      <c r="T58" s="4"/>
      <c r="U58" s="231"/>
      <c r="AC58" s="232"/>
      <c r="AF58" s="232"/>
    </row>
    <row r="59" spans="1:32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8"/>
        <v>3343.0499999999984</v>
      </c>
      <c r="G59" s="40">
        <f t="shared" si="39"/>
        <v>23532.45</v>
      </c>
      <c r="H59" s="230">
        <f t="shared" si="40"/>
        <v>0.14206128133704729</v>
      </c>
      <c r="I59" s="40"/>
      <c r="J59" s="40"/>
      <c r="K59" s="40">
        <v>18839</v>
      </c>
      <c r="L59" s="40">
        <f t="shared" si="42"/>
        <v>4.9404736842105272</v>
      </c>
      <c r="M59" s="4"/>
      <c r="N59" s="4"/>
      <c r="S59" s="4"/>
      <c r="T59" s="4"/>
      <c r="U59" s="231"/>
    </row>
    <row r="60" spans="1:32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8"/>
        <v>3329.2000000000003</v>
      </c>
      <c r="G60" s="40">
        <f t="shared" si="39"/>
        <v>7894.7999999999993</v>
      </c>
      <c r="H60" s="230">
        <f t="shared" si="40"/>
        <v>0.42169529310432191</v>
      </c>
      <c r="I60" s="40"/>
      <c r="J60" s="40"/>
      <c r="K60" s="40">
        <v>18825</v>
      </c>
      <c r="L60" s="40">
        <f t="shared" si="42"/>
        <v>-27.325500000000002</v>
      </c>
      <c r="M60" s="4"/>
      <c r="N60" s="4"/>
      <c r="S60" s="4"/>
      <c r="T60" s="4"/>
      <c r="U60" s="429"/>
    </row>
    <row r="61" spans="1:32" x14ac:dyDescent="0.25">
      <c r="A61" s="4">
        <v>200</v>
      </c>
      <c r="B61" s="191">
        <v>42872</v>
      </c>
      <c r="C61" s="10">
        <v>800</v>
      </c>
      <c r="D61" s="198">
        <v>23.509</v>
      </c>
      <c r="E61" s="40">
        <v>27</v>
      </c>
      <c r="F61" s="40">
        <f t="shared" si="38"/>
        <v>2792.7999999999997</v>
      </c>
      <c r="G61" s="40">
        <f t="shared" si="39"/>
        <v>18807.2</v>
      </c>
      <c r="H61" s="230">
        <f t="shared" si="40"/>
        <v>0.14849632055808412</v>
      </c>
      <c r="I61" s="40"/>
      <c r="J61" s="40"/>
      <c r="K61" s="40">
        <v>18289</v>
      </c>
      <c r="L61" s="40">
        <f t="shared" si="42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1">
        <v>42874</v>
      </c>
      <c r="C62" s="10">
        <v>600</v>
      </c>
      <c r="D62" s="198">
        <v>21.98</v>
      </c>
      <c r="E62" s="40">
        <v>27.84</v>
      </c>
      <c r="F62" s="40">
        <f t="shared" si="38"/>
        <v>3515.9999999999995</v>
      </c>
      <c r="G62" s="40">
        <f t="shared" si="39"/>
        <v>13188</v>
      </c>
      <c r="H62" s="230">
        <f t="shared" si="40"/>
        <v>0.26660600545950863</v>
      </c>
      <c r="I62" s="40"/>
      <c r="J62" s="40"/>
      <c r="K62" s="40">
        <v>18793</v>
      </c>
      <c r="L62" s="40">
        <f t="shared" si="42"/>
        <v>-9.3416666666666668</v>
      </c>
      <c r="M62" s="4"/>
      <c r="N62" s="4"/>
      <c r="S62" s="4"/>
      <c r="T62" s="4"/>
      <c r="U62" s="108"/>
    </row>
    <row r="63" spans="1:32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S63" s="4"/>
      <c r="T63" s="4"/>
      <c r="U63" s="108"/>
    </row>
    <row r="64" spans="1:32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</row>
    <row r="65" spans="2:18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</row>
    <row r="66" spans="2:18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</row>
    <row r="67" spans="2:18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</row>
    <row r="68" spans="2:18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</row>
    <row r="69" spans="2:18" x14ac:dyDescent="0.25">
      <c r="B69" s="189" t="s">
        <v>113</v>
      </c>
      <c r="C69" s="189" t="s">
        <v>146</v>
      </c>
      <c r="D69" s="190" t="s">
        <v>145</v>
      </c>
      <c r="E69" s="192" t="s">
        <v>147</v>
      </c>
      <c r="F69" s="193" t="s">
        <v>65</v>
      </c>
      <c r="G69" s="227" t="s">
        <v>151</v>
      </c>
      <c r="H69" s="193" t="s">
        <v>88</v>
      </c>
      <c r="I69" s="227" t="s">
        <v>154</v>
      </c>
      <c r="J69" s="227" t="s">
        <v>299</v>
      </c>
      <c r="Q69" s="427"/>
      <c r="R69" s="427"/>
    </row>
    <row r="70" spans="2:18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3">-C70*(D70-E70)</f>
        <v>-3110.9999999999973</v>
      </c>
      <c r="G70" s="556">
        <f t="shared" ref="G70:G79" si="44">IF(C70=0, 0,D70*C70)</f>
        <v>88179</v>
      </c>
      <c r="H70" s="604">
        <f t="shared" ref="H70:H84" si="45">IF(C70=0, D70, (E70-D70)/D70)</f>
        <v>-3.5280508964719459E-2</v>
      </c>
      <c r="I70" s="556"/>
      <c r="J70" s="556"/>
      <c r="Q70" s="4"/>
      <c r="R70" s="4"/>
    </row>
    <row r="71" spans="2:18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3"/>
        <v>-1812.9999999999875</v>
      </c>
      <c r="G71" s="556">
        <f t="shared" si="44"/>
        <v>84721</v>
      </c>
      <c r="H71" s="604">
        <f t="shared" si="45"/>
        <v>-2.1399652978600199E-2</v>
      </c>
      <c r="I71" s="556"/>
      <c r="J71" s="556"/>
      <c r="Q71" s="4"/>
      <c r="R71" s="4"/>
    </row>
    <row r="72" spans="2:18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3"/>
        <v>-5303.9999999999955</v>
      </c>
      <c r="G72" s="556">
        <f t="shared" si="44"/>
        <v>87975</v>
      </c>
      <c r="H72" s="604">
        <f t="shared" si="45"/>
        <v>-6.0289855072463719E-2</v>
      </c>
      <c r="I72" s="556"/>
      <c r="J72" s="556"/>
      <c r="Q72" s="4"/>
      <c r="R72" s="4"/>
    </row>
    <row r="73" spans="2:18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3"/>
        <v>2303.5000000000036</v>
      </c>
      <c r="G73" s="556">
        <f t="shared" si="44"/>
        <v>46042.899999999994</v>
      </c>
      <c r="H73" s="604">
        <f t="shared" si="45"/>
        <v>5.0029429075927105E-2</v>
      </c>
      <c r="I73" s="556"/>
      <c r="J73" s="556"/>
      <c r="Q73" s="4"/>
      <c r="R73" s="4"/>
    </row>
    <row r="74" spans="2:18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3"/>
        <v>1305.9000000000083</v>
      </c>
      <c r="G74" s="556">
        <f t="shared" si="44"/>
        <v>49304.979999999996</v>
      </c>
      <c r="H74" s="604">
        <f t="shared" si="45"/>
        <v>2.6486168334314473E-2</v>
      </c>
      <c r="I74" s="556"/>
      <c r="J74" s="556"/>
      <c r="Q74" s="4"/>
      <c r="R74" s="4"/>
    </row>
    <row r="75" spans="2:18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3"/>
        <v>-2283.9999999999918</v>
      </c>
      <c r="G75" s="556">
        <f t="shared" si="44"/>
        <v>96556.1</v>
      </c>
      <c r="H75" s="604">
        <f t="shared" si="45"/>
        <v>-2.3654642223536283E-2</v>
      </c>
      <c r="I75" s="556"/>
      <c r="J75" s="556"/>
      <c r="Q75" s="4"/>
      <c r="R75" s="4"/>
    </row>
    <row r="76" spans="2:18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3"/>
        <v>-2355</v>
      </c>
      <c r="G76" s="556">
        <f t="shared" si="44"/>
        <v>79834.5</v>
      </c>
      <c r="H76" s="604">
        <f t="shared" si="45"/>
        <v>-2.9498525073746312E-2</v>
      </c>
      <c r="I76" s="556"/>
      <c r="J76" s="556"/>
      <c r="Q76" s="4"/>
      <c r="R76" s="4"/>
    </row>
    <row r="77" spans="2:18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3"/>
        <v>-5211.8000000000056</v>
      </c>
      <c r="G77" s="556">
        <f t="shared" si="44"/>
        <v>85362.200000000012</v>
      </c>
      <c r="H77" s="604">
        <f t="shared" si="45"/>
        <v>-6.1055127445169E-2</v>
      </c>
      <c r="I77" s="556"/>
      <c r="J77" s="556"/>
      <c r="Q77" s="4"/>
      <c r="R77" s="4"/>
    </row>
    <row r="78" spans="2:18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3"/>
        <v>-9899.9999999999909</v>
      </c>
      <c r="G78" s="556">
        <f t="shared" si="44"/>
        <v>99240</v>
      </c>
      <c r="H78" s="604">
        <f t="shared" si="45"/>
        <v>-9.9758162031438849E-2</v>
      </c>
      <c r="I78" s="556"/>
      <c r="J78" s="556"/>
      <c r="Q78" s="427"/>
      <c r="R78" s="427"/>
    </row>
    <row r="79" spans="2:18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3"/>
        <v>-7337.0000000000055</v>
      </c>
      <c r="G79" s="556">
        <f t="shared" si="44"/>
        <v>84653.8</v>
      </c>
      <c r="H79" s="604">
        <f t="shared" si="45"/>
        <v>-8.6670651524208067E-2</v>
      </c>
      <c r="I79" s="556"/>
      <c r="J79" s="556"/>
      <c r="Q79" s="4"/>
      <c r="R79" s="4"/>
    </row>
    <row r="80" spans="2:18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3"/>
        <v>-6779.9999999999936</v>
      </c>
      <c r="G80" s="556">
        <f t="shared" ref="G80:G107" si="46">IF(C80=0, 0,D80*C80)</f>
        <v>99120</v>
      </c>
      <c r="H80" s="604">
        <f t="shared" si="45"/>
        <v>-6.8401937046004779E-2</v>
      </c>
      <c r="I80" s="556"/>
      <c r="J80" s="556"/>
      <c r="Q80" s="4"/>
      <c r="R80" s="4"/>
    </row>
    <row r="81" spans="2:18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3"/>
        <v>-6881.5999999999967</v>
      </c>
      <c r="G81" s="556">
        <f t="shared" si="46"/>
        <v>84400.8</v>
      </c>
      <c r="H81" s="604">
        <f t="shared" si="45"/>
        <v>-8.1534772182254162E-2</v>
      </c>
      <c r="I81" s="556"/>
      <c r="J81" s="556"/>
      <c r="Q81" s="4"/>
      <c r="R81" s="4"/>
    </row>
    <row r="82" spans="2:18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3"/>
        <v>-3768.0000000000032</v>
      </c>
      <c r="G82" s="556">
        <f t="shared" si="46"/>
        <v>78798.3</v>
      </c>
      <c r="H82" s="604">
        <f t="shared" si="45"/>
        <v>-4.7818290496114808E-2</v>
      </c>
      <c r="I82" s="556"/>
      <c r="J82" s="556"/>
      <c r="Q82" s="4"/>
      <c r="R82" s="4"/>
    </row>
    <row r="83" spans="2:18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3"/>
        <v>-4301.0000000000073</v>
      </c>
      <c r="G83" s="556">
        <f t="shared" si="46"/>
        <v>84350.200000000012</v>
      </c>
      <c r="H83" s="604">
        <f t="shared" si="45"/>
        <v>-5.0989802039592164E-2</v>
      </c>
      <c r="I83" s="556"/>
      <c r="J83" s="556"/>
      <c r="Q83" s="4"/>
      <c r="R83" s="4"/>
    </row>
    <row r="84" spans="2:18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3"/>
        <v>-5211.8000000000056</v>
      </c>
      <c r="G84" s="556">
        <f t="shared" si="46"/>
        <v>84198.400000000009</v>
      </c>
      <c r="H84" s="604">
        <f t="shared" si="45"/>
        <v>-6.1899038461538526E-2</v>
      </c>
      <c r="I84" s="556"/>
      <c r="J84" s="556"/>
      <c r="Q84" s="4"/>
      <c r="R84" s="4"/>
    </row>
    <row r="85" spans="2:18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3"/>
        <v>-11782.399999999992</v>
      </c>
      <c r="G85" s="556">
        <f t="shared" si="46"/>
        <v>87105.599999999991</v>
      </c>
      <c r="H85" s="604">
        <f t="shared" ref="H85:H107" si="47">IF(C85=0, D85, (E85-D85)/D85)</f>
        <v>-0.13526570048309169</v>
      </c>
      <c r="I85" s="556"/>
      <c r="J85" s="556"/>
    </row>
    <row r="86" spans="2:18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3"/>
        <v>-9968.1999999999935</v>
      </c>
      <c r="G86" s="556">
        <f t="shared" si="46"/>
        <v>84147.799999999988</v>
      </c>
      <c r="H86" s="604">
        <f t="shared" si="47"/>
        <v>-0.11846061334936855</v>
      </c>
      <c r="I86" s="556"/>
      <c r="J86" s="556"/>
    </row>
    <row r="87" spans="2:18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3"/>
        <v>-13054.80000000001</v>
      </c>
      <c r="G87" s="556">
        <f t="shared" si="46"/>
        <v>84097.200000000012</v>
      </c>
      <c r="H87" s="604">
        <f t="shared" si="47"/>
        <v>-0.15523465703971129</v>
      </c>
      <c r="I87" s="556"/>
      <c r="J87" s="556"/>
    </row>
    <row r="88" spans="2:18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3"/>
        <v>-13079.999999999998</v>
      </c>
      <c r="G88" s="556">
        <f t="shared" si="46"/>
        <v>97320</v>
      </c>
      <c r="H88" s="604">
        <f t="shared" si="47"/>
        <v>-0.13440197287299629</v>
      </c>
      <c r="I88" s="556"/>
      <c r="J88" s="556"/>
    </row>
    <row r="89" spans="2:18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3"/>
        <v>-13020.000000000009</v>
      </c>
      <c r="G89" s="556">
        <f t="shared" si="46"/>
        <v>100068</v>
      </c>
      <c r="H89" s="604">
        <f t="shared" si="47"/>
        <v>-0.13011152416356886</v>
      </c>
      <c r="I89" s="556"/>
      <c r="J89" s="556"/>
    </row>
    <row r="90" spans="2:18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3"/>
        <v>-13043.880000000006</v>
      </c>
      <c r="G90" s="556">
        <f t="shared" si="46"/>
        <v>93366.720000000001</v>
      </c>
      <c r="H90" s="604">
        <f t="shared" si="47"/>
        <v>-0.13970588235294124</v>
      </c>
      <c r="I90" s="556"/>
      <c r="J90" s="556"/>
    </row>
    <row r="91" spans="2:18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3"/>
        <v>-13025.958000000004</v>
      </c>
      <c r="G91" s="556">
        <f t="shared" si="46"/>
        <v>84068.358000000007</v>
      </c>
      <c r="H91" s="604">
        <f t="shared" si="47"/>
        <v>-0.15494483667683867</v>
      </c>
      <c r="I91" s="556"/>
      <c r="J91" s="556"/>
    </row>
    <row r="92" spans="2:18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3"/>
        <v>-11521.114000000007</v>
      </c>
      <c r="G92" s="556">
        <f t="shared" si="46"/>
        <v>83980.314000000013</v>
      </c>
      <c r="H92" s="604">
        <f t="shared" si="47"/>
        <v>-0.13718827009863294</v>
      </c>
      <c r="I92" s="556"/>
      <c r="J92" s="556"/>
    </row>
    <row r="93" spans="2:18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3"/>
        <v>-11410.000000000005</v>
      </c>
      <c r="G93" s="556">
        <f t="shared" si="46"/>
        <v>111790</v>
      </c>
      <c r="H93" s="604">
        <f t="shared" si="47"/>
        <v>-0.10206637445209772</v>
      </c>
      <c r="I93" s="556"/>
      <c r="J93" s="556"/>
    </row>
    <row r="94" spans="2:18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3"/>
        <v>-11220.000000000005</v>
      </c>
      <c r="G94" s="556">
        <f t="shared" si="46"/>
        <v>97380</v>
      </c>
      <c r="H94" s="604">
        <f t="shared" si="47"/>
        <v>-0.11521873074553302</v>
      </c>
      <c r="I94" s="556"/>
      <c r="J94" s="556"/>
    </row>
    <row r="95" spans="2:18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3"/>
        <v>-11211.199999999997</v>
      </c>
      <c r="G95" s="556">
        <f t="shared" si="46"/>
        <v>90191.2</v>
      </c>
      <c r="H95" s="604">
        <f t="shared" si="47"/>
        <v>-0.12430481022538781</v>
      </c>
      <c r="I95" s="556"/>
      <c r="J95" s="556"/>
    </row>
    <row r="96" spans="2:18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3"/>
        <v>-9664.6</v>
      </c>
      <c r="G96" s="556">
        <f t="shared" si="46"/>
        <v>83743</v>
      </c>
      <c r="H96" s="604">
        <f t="shared" si="47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3"/>
        <v>-9794.1360000000041</v>
      </c>
      <c r="G97" s="556">
        <f t="shared" si="46"/>
        <v>83720.736000000004</v>
      </c>
      <c r="H97" s="604">
        <f t="shared" si="47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3"/>
        <v>-16274.965999999995</v>
      </c>
      <c r="G98" s="556">
        <f t="shared" si="46"/>
        <v>86390.766000000003</v>
      </c>
      <c r="H98" s="604">
        <f t="shared" si="47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3"/>
        <v>-29899.999999999993</v>
      </c>
      <c r="G99" s="556">
        <f t="shared" si="46"/>
        <v>83600</v>
      </c>
      <c r="H99" s="604">
        <f t="shared" si="47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3"/>
        <v>-28718.02199999999</v>
      </c>
      <c r="G100" s="556">
        <f t="shared" si="46"/>
        <v>86367.621999999988</v>
      </c>
      <c r="H100" s="604">
        <f t="shared" si="47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3"/>
        <v>-30321.199999999997</v>
      </c>
      <c r="G101" s="556">
        <f t="shared" si="46"/>
        <v>81015.199999999997</v>
      </c>
      <c r="H101" s="604">
        <f t="shared" si="47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3"/>
        <v>-29806.800000000003</v>
      </c>
      <c r="G102" s="556">
        <f t="shared" si="46"/>
        <v>72786.8</v>
      </c>
      <c r="H102" s="604">
        <f t="shared" si="47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3"/>
        <v>-29239.199999999993</v>
      </c>
      <c r="G103" s="556">
        <f t="shared" si="46"/>
        <v>68155.199999999997</v>
      </c>
      <c r="H103" s="604">
        <f t="shared" si="47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3"/>
        <v>-30856.212000000007</v>
      </c>
      <c r="G104" s="556">
        <f t="shared" si="46"/>
        <v>86033.612000000008</v>
      </c>
      <c r="H104" s="604">
        <f t="shared" si="47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3"/>
        <v>-24651.563999999995</v>
      </c>
      <c r="G105" s="556">
        <f t="shared" si="46"/>
        <v>80248.363999999987</v>
      </c>
      <c r="H105" s="604">
        <f t="shared" si="47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3"/>
        <v>-24751.381000000001</v>
      </c>
      <c r="G106" s="556">
        <f t="shared" si="46"/>
        <v>86009.581000000006</v>
      </c>
      <c r="H106" s="604">
        <f t="shared" si="47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3"/>
        <v>-28613.610000000004</v>
      </c>
      <c r="G107" s="556">
        <f t="shared" si="46"/>
        <v>86010.11</v>
      </c>
      <c r="H107" s="604">
        <f t="shared" si="47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8">-C108*(D108-E108)</f>
        <v>-28406.616000000002</v>
      </c>
      <c r="G108" s="556">
        <f t="shared" ref="G108:G146" si="49">IF(C108=0, 0,D108*C108)</f>
        <v>85963.266000000003</v>
      </c>
      <c r="H108" s="604">
        <f t="shared" ref="H108:H146" si="50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8"/>
        <v>-27248.360000000008</v>
      </c>
      <c r="G109" s="556">
        <f t="shared" si="49"/>
        <v>85919.360000000015</v>
      </c>
      <c r="H109" s="604">
        <f t="shared" si="50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8"/>
        <v>-26871.468499999992</v>
      </c>
      <c r="G110" s="556">
        <f t="shared" si="49"/>
        <v>84298.1685</v>
      </c>
      <c r="H110" s="604">
        <f t="shared" si="50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8"/>
        <v>-24742.084500000001</v>
      </c>
      <c r="G111" s="556">
        <f t="shared" si="49"/>
        <v>70382.784499999994</v>
      </c>
      <c r="H111" s="604">
        <f t="shared" si="50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8"/>
        <v>-25084.414000000001</v>
      </c>
      <c r="G112" s="556">
        <f t="shared" si="49"/>
        <v>85258.813999999998</v>
      </c>
      <c r="H112" s="604">
        <f t="shared" si="50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8"/>
        <v>-29256.487999999998</v>
      </c>
      <c r="G113" s="556">
        <f t="shared" si="49"/>
        <v>86340.487999999998</v>
      </c>
      <c r="H113" s="604">
        <f t="shared" si="50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8"/>
        <v>-27809.620000000003</v>
      </c>
      <c r="G114" s="556">
        <f t="shared" si="49"/>
        <v>85248.82</v>
      </c>
      <c r="H114" s="604">
        <f t="shared" si="50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8"/>
        <v>-30544.820000000003</v>
      </c>
      <c r="G115" s="556">
        <f t="shared" si="49"/>
        <v>85248.82</v>
      </c>
      <c r="H115" s="604">
        <f t="shared" si="50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8"/>
        <v>-30549.887999999995</v>
      </c>
      <c r="G116" s="556">
        <f t="shared" si="49"/>
        <v>90453.887999999992</v>
      </c>
      <c r="H116" s="604">
        <f t="shared" si="50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8"/>
        <v>-28441.346000000009</v>
      </c>
      <c r="G117" s="556">
        <f t="shared" si="49"/>
        <v>85038.946000000011</v>
      </c>
      <c r="H117" s="604">
        <f t="shared" si="50"/>
        <v>-0.33445082915303309</v>
      </c>
      <c r="I117" s="605" t="s">
        <v>194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8"/>
        <v>-31628.763999999996</v>
      </c>
      <c r="G118" s="556">
        <f t="shared" si="49"/>
        <v>91224.963999999993</v>
      </c>
      <c r="H118" s="604">
        <f t="shared" si="50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8"/>
        <v>-27540.307999999997</v>
      </c>
      <c r="G119" s="556">
        <f t="shared" si="49"/>
        <v>84769.108000000007</v>
      </c>
      <c r="H119" s="604">
        <f t="shared" si="50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8"/>
        <v>-28697.508000000002</v>
      </c>
      <c r="G120" s="556">
        <f t="shared" si="49"/>
        <v>84769.108000000007</v>
      </c>
      <c r="H120" s="604">
        <f t="shared" si="50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8"/>
        <v>-24361.662</v>
      </c>
      <c r="G121" s="556">
        <f t="shared" si="49"/>
        <v>73394.262000000002</v>
      </c>
      <c r="H121" s="604">
        <f t="shared" si="50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8"/>
        <v>-23878.821999999989</v>
      </c>
      <c r="G122" s="556">
        <f t="shared" si="49"/>
        <v>84684.421999999991</v>
      </c>
      <c r="H122" s="604">
        <f t="shared" si="50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8"/>
        <v>-23451.183999999997</v>
      </c>
      <c r="G123" s="556">
        <f t="shared" si="49"/>
        <v>84572.383999999991</v>
      </c>
      <c r="H123" s="604">
        <f t="shared" si="50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8"/>
        <v>-28042.299999999996</v>
      </c>
      <c r="G124" s="556">
        <f t="shared" si="49"/>
        <v>87167.3</v>
      </c>
      <c r="H124" s="604">
        <f t="shared" si="50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8"/>
        <v>-32191.9</v>
      </c>
      <c r="G125" s="556">
        <f t="shared" si="49"/>
        <v>97191.900000000009</v>
      </c>
      <c r="H125" s="604">
        <f t="shared" si="50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8"/>
        <v>-31551.299999999996</v>
      </c>
      <c r="G126" s="556">
        <f t="shared" si="49"/>
        <v>86881.3</v>
      </c>
      <c r="H126" s="604">
        <f t="shared" si="50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8"/>
        <v>-34151.30000000001</v>
      </c>
      <c r="G127" s="556">
        <f t="shared" si="49"/>
        <v>115921.3</v>
      </c>
      <c r="H127" s="604">
        <f t="shared" si="50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8"/>
        <v>-33961.949999999997</v>
      </c>
      <c r="G128" s="556">
        <f t="shared" si="49"/>
        <v>86651.95</v>
      </c>
      <c r="H128" s="604">
        <f t="shared" si="50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8"/>
        <v>-27277.000000000004</v>
      </c>
      <c r="G129" s="556">
        <f t="shared" si="49"/>
        <v>81277.000000000015</v>
      </c>
      <c r="H129" s="604">
        <f t="shared" si="50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8"/>
        <v>-23679.899999999991</v>
      </c>
      <c r="G130" s="556">
        <f t="shared" si="49"/>
        <v>75384.899999999994</v>
      </c>
      <c r="H130" s="604">
        <f t="shared" si="50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8"/>
        <v>-23160.150000000005</v>
      </c>
      <c r="G131" s="556">
        <f t="shared" si="49"/>
        <v>75360.150000000009</v>
      </c>
      <c r="H131" s="604">
        <f t="shared" si="50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8"/>
        <v>-21580</v>
      </c>
      <c r="G132" s="556">
        <f t="shared" si="49"/>
        <v>69380</v>
      </c>
      <c r="H132" s="604">
        <f t="shared" si="50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8"/>
        <v>-20050.800000000003</v>
      </c>
      <c r="G133" s="556">
        <f t="shared" si="49"/>
        <v>69290.8</v>
      </c>
      <c r="H133" s="604">
        <f t="shared" si="50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8"/>
        <v>-16837.537500000002</v>
      </c>
      <c r="G134" s="556">
        <f t="shared" si="49"/>
        <v>61016.287500000006</v>
      </c>
      <c r="H134" s="604">
        <f t="shared" si="50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8"/>
        <v>-17476.399999999998</v>
      </c>
      <c r="G135" s="556">
        <f t="shared" si="49"/>
        <v>68916.399999999994</v>
      </c>
      <c r="H135" s="604">
        <f t="shared" si="50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8"/>
        <v>-18696.400000000005</v>
      </c>
      <c r="G136" s="556">
        <f t="shared" si="49"/>
        <v>68736.400000000009</v>
      </c>
      <c r="H136" s="604">
        <f t="shared" si="50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8"/>
        <v>-20214.768</v>
      </c>
      <c r="G137" s="556">
        <f t="shared" si="49"/>
        <v>78001.168000000005</v>
      </c>
      <c r="H137" s="604">
        <f t="shared" si="50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8"/>
        <v>-21262.920000000002</v>
      </c>
      <c r="G138" s="556">
        <f t="shared" si="49"/>
        <v>78002.12</v>
      </c>
      <c r="H138" s="604">
        <f t="shared" si="50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8"/>
        <v>-20999.216</v>
      </c>
      <c r="G139" s="556">
        <f t="shared" si="49"/>
        <v>77881.216</v>
      </c>
      <c r="H139" s="604">
        <f t="shared" si="50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8"/>
        <v>-19042.620000000006</v>
      </c>
      <c r="G140" s="556">
        <f t="shared" si="49"/>
        <v>75714.62000000001</v>
      </c>
      <c r="H140" s="604">
        <f t="shared" si="50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8"/>
        <v>-17040.800000000003</v>
      </c>
      <c r="G141" s="556">
        <f t="shared" si="49"/>
        <v>68040.800000000003</v>
      </c>
      <c r="H141" s="604">
        <f t="shared" si="50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8"/>
        <v>-12255.250000000002</v>
      </c>
      <c r="G142" s="556">
        <f t="shared" si="49"/>
        <v>47380.250000000007</v>
      </c>
      <c r="H142" s="604">
        <f t="shared" si="50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8"/>
        <v>-13580.100000000006</v>
      </c>
      <c r="G143" s="556">
        <f t="shared" si="49"/>
        <v>54140.100000000006</v>
      </c>
      <c r="H143" s="604">
        <f t="shared" si="50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8"/>
        <v>-13760.25</v>
      </c>
      <c r="G144" s="556">
        <f t="shared" si="49"/>
        <v>60870.25</v>
      </c>
      <c r="H144" s="604">
        <f t="shared" si="50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8"/>
        <v>-14250</v>
      </c>
      <c r="G145" s="556">
        <f t="shared" si="49"/>
        <v>67530</v>
      </c>
      <c r="H145" s="604">
        <f t="shared" si="50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8"/>
        <v>-19047.14</v>
      </c>
      <c r="G146" s="556">
        <f t="shared" si="49"/>
        <v>77261.94</v>
      </c>
      <c r="H146" s="604">
        <f t="shared" si="50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1">-C147*(D147-E147)</f>
        <v>-19222.143999999993</v>
      </c>
      <c r="G147" s="556">
        <f t="shared" ref="G147:G194" si="52">IF(C147=0, 0,D147*C147)</f>
        <v>83551.944000000003</v>
      </c>
      <c r="H147" s="604">
        <f t="shared" ref="H147:H194" si="53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1"/>
        <v>-15240.149999999998</v>
      </c>
      <c r="G148" s="556">
        <f t="shared" si="52"/>
        <v>73695.149999999994</v>
      </c>
      <c r="H148" s="604">
        <f t="shared" si="53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1"/>
        <v>-14340.15</v>
      </c>
      <c r="G149" s="556">
        <f t="shared" si="52"/>
        <v>73695.149999999994</v>
      </c>
      <c r="H149" s="604">
        <f t="shared" si="53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1"/>
        <v>-11794.000000000004</v>
      </c>
      <c r="G150" s="556">
        <f t="shared" si="52"/>
        <v>66834</v>
      </c>
      <c r="H150" s="604">
        <f t="shared" si="53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1"/>
        <v>-11115.000000000004</v>
      </c>
      <c r="G151" s="556">
        <f t="shared" si="52"/>
        <v>73035</v>
      </c>
      <c r="H151" s="604">
        <f t="shared" si="53"/>
        <v>-0.15218730745532968</v>
      </c>
      <c r="I151" s="556" t="s">
        <v>232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1"/>
        <v>-16785.000000000004</v>
      </c>
      <c r="G152" s="556">
        <f t="shared" si="52"/>
        <v>73035</v>
      </c>
      <c r="H152" s="604">
        <f t="shared" si="53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1"/>
        <v>-19431.5</v>
      </c>
      <c r="G153" s="556">
        <f t="shared" si="52"/>
        <v>78981.5</v>
      </c>
      <c r="H153" s="604">
        <f t="shared" si="53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1"/>
        <v>-17741.700000000012</v>
      </c>
      <c r="G154" s="556">
        <f t="shared" si="52"/>
        <v>72641.700000000012</v>
      </c>
      <c r="H154" s="604">
        <f t="shared" si="53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1"/>
        <v>-15851.700000000012</v>
      </c>
      <c r="G155" s="556">
        <f t="shared" si="52"/>
        <v>72641.700000000012</v>
      </c>
      <c r="H155" s="604">
        <f t="shared" si="53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1"/>
        <v>-15763.5</v>
      </c>
      <c r="G156" s="556">
        <f t="shared" si="52"/>
        <v>72643.5</v>
      </c>
      <c r="H156" s="604">
        <f t="shared" si="53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1"/>
        <v>-13333.500000000004</v>
      </c>
      <c r="G157" s="556">
        <f t="shared" si="52"/>
        <v>72643.5</v>
      </c>
      <c r="H157" s="604">
        <f t="shared" si="53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1"/>
        <v>-10052</v>
      </c>
      <c r="G158" s="556">
        <f t="shared" si="52"/>
        <v>65732</v>
      </c>
      <c r="H158" s="604">
        <f t="shared" si="53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1"/>
        <v>-7249.2800000000043</v>
      </c>
      <c r="G159" s="556">
        <f t="shared" si="52"/>
        <v>54193.280000000006</v>
      </c>
      <c r="H159" s="604">
        <f t="shared" si="53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1"/>
        <v>-8771.3200000000015</v>
      </c>
      <c r="G160" s="556">
        <f t="shared" si="52"/>
        <v>57017.32</v>
      </c>
      <c r="H160" s="604">
        <f t="shared" si="53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1"/>
        <v>-10069.200000000003</v>
      </c>
      <c r="G161" s="556">
        <f t="shared" si="52"/>
        <v>65309.200000000004</v>
      </c>
      <c r="H161" s="604">
        <f t="shared" si="53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1"/>
        <v>-10289.249999999993</v>
      </c>
      <c r="G162" s="556">
        <f t="shared" si="52"/>
        <v>72119.25</v>
      </c>
      <c r="H162" s="604">
        <f t="shared" si="53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1"/>
        <v>-11755.169999999996</v>
      </c>
      <c r="G163" s="556">
        <f t="shared" si="52"/>
        <v>74735.17</v>
      </c>
      <c r="H163" s="604">
        <f t="shared" si="53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1"/>
        <v>-8821.7999999999993</v>
      </c>
      <c r="G164" s="556">
        <f t="shared" si="52"/>
        <v>71956.800000000003</v>
      </c>
      <c r="H164" s="604">
        <f t="shared" si="53"/>
        <v>-0.12259855913548129</v>
      </c>
      <c r="I164" s="556" t="s">
        <v>270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1"/>
        <v>-6552.0000000000064</v>
      </c>
      <c r="G165" s="556">
        <f t="shared" si="52"/>
        <v>64632.000000000007</v>
      </c>
      <c r="H165" s="604">
        <f t="shared" si="53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1"/>
        <v>-7832.0000000000082</v>
      </c>
      <c r="G166" s="556">
        <f t="shared" si="52"/>
        <v>64632.000000000007</v>
      </c>
      <c r="H166" s="604">
        <f t="shared" si="53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1"/>
        <v>-3677.4000000000024</v>
      </c>
      <c r="G167" s="556">
        <f t="shared" si="52"/>
        <v>34737.4</v>
      </c>
      <c r="H167" s="604">
        <f t="shared" si="53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1"/>
        <v>-3622.5999999999985</v>
      </c>
      <c r="G168" s="556">
        <f t="shared" si="52"/>
        <v>34662.6</v>
      </c>
      <c r="H168" s="604">
        <f t="shared" si="53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1"/>
        <v>-3122.5999999999985</v>
      </c>
      <c r="G169" s="556">
        <f t="shared" si="52"/>
        <v>34662.6</v>
      </c>
      <c r="H169" s="604">
        <f t="shared" si="53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1"/>
        <v>-2162.5999999999976</v>
      </c>
      <c r="G170" s="556">
        <f t="shared" si="52"/>
        <v>34662.6</v>
      </c>
      <c r="H170" s="604">
        <f t="shared" si="53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1"/>
        <v>-2282.5999999999949</v>
      </c>
      <c r="G171" s="556">
        <f t="shared" si="52"/>
        <v>34662.6</v>
      </c>
      <c r="H171" s="604">
        <f t="shared" si="53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1"/>
        <v>-2262.599999999999</v>
      </c>
      <c r="G172" s="556">
        <f t="shared" si="52"/>
        <v>34662.6</v>
      </c>
      <c r="H172" s="604">
        <f t="shared" si="53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1"/>
        <v>-842.59999999999741</v>
      </c>
      <c r="G173" s="556">
        <f t="shared" si="52"/>
        <v>34662.6</v>
      </c>
      <c r="H173" s="604">
        <f t="shared" si="53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1"/>
        <v>-1182.6000000000008</v>
      </c>
      <c r="G174" s="556">
        <f t="shared" si="52"/>
        <v>34662.6</v>
      </c>
      <c r="H174" s="604">
        <f t="shared" si="53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1"/>
        <v>-1262.599999999999</v>
      </c>
      <c r="G175" s="556">
        <f t="shared" si="52"/>
        <v>34662.6</v>
      </c>
      <c r="H175" s="604">
        <f t="shared" si="53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1"/>
        <v>-527.79999999999916</v>
      </c>
      <c r="G176" s="556">
        <f t="shared" si="52"/>
        <v>34547.800000000003</v>
      </c>
      <c r="H176" s="604">
        <f t="shared" si="53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1"/>
        <v>-148.00000000000324</v>
      </c>
      <c r="G177" s="556">
        <f t="shared" si="52"/>
        <v>34468</v>
      </c>
      <c r="H177" s="604">
        <f t="shared" si="53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1"/>
        <v>421.79999999999751</v>
      </c>
      <c r="G178" s="556">
        <f t="shared" si="52"/>
        <v>25753.200000000001</v>
      </c>
      <c r="H178" s="604">
        <f t="shared" si="53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1"/>
        <v>-655.79999999999927</v>
      </c>
      <c r="G179" s="556">
        <f t="shared" si="52"/>
        <v>34275.799999999996</v>
      </c>
      <c r="H179" s="604">
        <f t="shared" si="53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1"/>
        <v>24.200000000000443</v>
      </c>
      <c r="G180" s="556">
        <f t="shared" si="52"/>
        <v>34275.799999999996</v>
      </c>
      <c r="H180" s="604">
        <f t="shared" si="53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1"/>
        <v>-748.650000000001</v>
      </c>
      <c r="G181" s="556">
        <f t="shared" si="52"/>
        <v>35923.65</v>
      </c>
      <c r="H181" s="604">
        <f t="shared" si="53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1"/>
        <v>-370.65000000000163</v>
      </c>
      <c r="G182" s="556">
        <f t="shared" si="52"/>
        <v>35923.65</v>
      </c>
      <c r="H182" s="604">
        <f t="shared" si="53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1"/>
        <v>721.34999999999752</v>
      </c>
      <c r="G183" s="556">
        <f t="shared" si="52"/>
        <v>35923.65</v>
      </c>
      <c r="H183" s="604">
        <f t="shared" si="53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1"/>
        <v>784.34999999999991</v>
      </c>
      <c r="G184" s="556">
        <f t="shared" si="52"/>
        <v>35923.65</v>
      </c>
      <c r="H184" s="604">
        <f t="shared" si="53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1"/>
        <v>-328.71300000000014</v>
      </c>
      <c r="G185" s="556">
        <f t="shared" si="52"/>
        <v>35923.712999999996</v>
      </c>
      <c r="H185" s="604">
        <f t="shared" si="53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1"/>
        <v>1147.1040000000016</v>
      </c>
      <c r="G186" s="556">
        <f t="shared" si="52"/>
        <v>27108.895999999997</v>
      </c>
      <c r="H186" s="604">
        <f t="shared" si="53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1"/>
        <v>1035.1040000000012</v>
      </c>
      <c r="G187" s="556">
        <f t="shared" si="52"/>
        <v>27108.895999999997</v>
      </c>
      <c r="H187" s="604">
        <f t="shared" si="53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1"/>
        <v>1691.1040000000014</v>
      </c>
      <c r="G188" s="556">
        <f t="shared" si="52"/>
        <v>27108.895999999997</v>
      </c>
      <c r="H188" s="604">
        <f t="shared" si="53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1"/>
        <v>829.27800000000434</v>
      </c>
      <c r="G189" s="556">
        <f t="shared" si="52"/>
        <v>30562.721999999998</v>
      </c>
      <c r="H189" s="604">
        <f t="shared" si="53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1"/>
        <v>1441.2780000000041</v>
      </c>
      <c r="G190" s="556">
        <f t="shared" si="52"/>
        <v>30562.721999999998</v>
      </c>
      <c r="H190" s="604">
        <f t="shared" si="53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1"/>
        <v>1621.2799999999988</v>
      </c>
      <c r="G191" s="556">
        <f t="shared" si="52"/>
        <v>33978.720000000001</v>
      </c>
      <c r="H191" s="604">
        <f t="shared" si="53"/>
        <v>4.7714569589437116E-2</v>
      </c>
      <c r="I191" s="608" t="s">
        <v>300</v>
      </c>
      <c r="J191" s="608" t="s">
        <v>298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1"/>
        <v>1421.2799999999959</v>
      </c>
      <c r="G192" s="556">
        <f t="shared" si="52"/>
        <v>33978.720000000001</v>
      </c>
      <c r="H192" s="604">
        <f t="shared" si="53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1"/>
        <v>987.2939999999993</v>
      </c>
      <c r="G193" s="556">
        <f t="shared" si="52"/>
        <v>37314.705999999998</v>
      </c>
      <c r="H193" s="604">
        <f t="shared" si="53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1"/>
        <v>563.20000000000186</v>
      </c>
      <c r="G194" s="556">
        <f t="shared" si="52"/>
        <v>33866.799999999996</v>
      </c>
      <c r="H194" s="604">
        <f t="shared" si="53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4">-C195*(D195-E195)</f>
        <v>13.200000000004763</v>
      </c>
      <c r="G195" s="556">
        <f t="shared" ref="G195:G200" si="55">IF(C195=0, 0,D195*C195)</f>
        <v>33866.799999999996</v>
      </c>
      <c r="H195" s="604">
        <f t="shared" ref="H195:H200" si="56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4"/>
        <v>1215.1259999999966</v>
      </c>
      <c r="G196" s="556">
        <f t="shared" si="55"/>
        <v>30356.874000000003</v>
      </c>
      <c r="H196" s="604">
        <f t="shared" si="56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4"/>
        <v>1490.8199999999993</v>
      </c>
      <c r="G197" s="556">
        <f t="shared" si="55"/>
        <v>16149.18</v>
      </c>
      <c r="H197" s="604">
        <f t="shared" si="56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4"/>
        <v>1396.8179999999988</v>
      </c>
      <c r="G198" s="556">
        <f t="shared" si="55"/>
        <v>30157.182000000004</v>
      </c>
      <c r="H198" s="604">
        <f t="shared" si="56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4"/>
        <v>1418.8200000000038</v>
      </c>
      <c r="G199" s="556">
        <f t="shared" si="55"/>
        <v>33641.18</v>
      </c>
      <c r="H199" s="604">
        <f t="shared" si="56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4"/>
        <v>894.66600000000085</v>
      </c>
      <c r="G200" s="556">
        <f t="shared" si="55"/>
        <v>33505.333999999995</v>
      </c>
      <c r="H200" s="604">
        <f t="shared" si="56"/>
        <v>2.6702196133905155E-2</v>
      </c>
      <c r="I200" s="608" t="s">
        <v>311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311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311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7">-C203*(D203-E203)</f>
        <v>-135.39999999999708</v>
      </c>
      <c r="G203" s="556">
        <f t="shared" ref="G203:G214" si="58">IF(C203=0, 0,D203*C203)</f>
        <v>33485.4</v>
      </c>
      <c r="H203" s="604">
        <f t="shared" ref="H203:H214" si="59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7"/>
        <v>-85.39999999999992</v>
      </c>
      <c r="G204" s="556">
        <f t="shared" si="58"/>
        <v>33445.4</v>
      </c>
      <c r="H204" s="604">
        <f t="shared" si="59"/>
        <v>-2.5534154173668102E-3</v>
      </c>
      <c r="I204" s="608" t="s">
        <v>311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7"/>
        <v>6304.4477999999999</v>
      </c>
      <c r="G205" s="556">
        <f t="shared" si="58"/>
        <v>29929.552199999998</v>
      </c>
      <c r="H205" s="604">
        <f t="shared" si="59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7"/>
        <v>6185.8829999999971</v>
      </c>
      <c r="G206" s="556">
        <f t="shared" si="58"/>
        <v>26913.117000000002</v>
      </c>
      <c r="H206" s="604">
        <f t="shared" si="59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7"/>
        <v>3488.9400000000032</v>
      </c>
      <c r="G207" s="556">
        <f t="shared" si="58"/>
        <v>29775.059999999998</v>
      </c>
      <c r="H207" s="604">
        <f t="shared" si="59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7"/>
        <v>3544.800000000002</v>
      </c>
      <c r="G208" s="556">
        <f t="shared" si="58"/>
        <v>33415.199999999997</v>
      </c>
      <c r="H208" s="604">
        <f t="shared" si="59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7"/>
        <v>4164.8400000000011</v>
      </c>
      <c r="G209" s="556">
        <f t="shared" si="58"/>
        <v>29657.159999999996</v>
      </c>
      <c r="H209" s="604">
        <f t="shared" si="59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7"/>
        <v>4696.7399999999952</v>
      </c>
      <c r="G210" s="556">
        <f t="shared" si="58"/>
        <v>29611.260000000002</v>
      </c>
      <c r="H210" s="604">
        <f t="shared" si="59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7"/>
        <v>6995.4000000000015</v>
      </c>
      <c r="G211" s="556">
        <f t="shared" si="58"/>
        <v>13444.599999999999</v>
      </c>
      <c r="H211" s="604">
        <f t="shared" si="59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7"/>
        <v>6822.3599999999979</v>
      </c>
      <c r="G212" s="556">
        <f t="shared" si="58"/>
        <v>29213.640000000003</v>
      </c>
      <c r="H212" s="604">
        <f t="shared" si="59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7"/>
        <v>6817.7999999999993</v>
      </c>
      <c r="G213" s="556">
        <f t="shared" si="58"/>
        <v>26215.200000000001</v>
      </c>
      <c r="H213" s="604">
        <f t="shared" si="59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7"/>
        <v>7021.4999999999991</v>
      </c>
      <c r="G214" s="556">
        <f t="shared" si="58"/>
        <v>24180</v>
      </c>
      <c r="H214" s="604">
        <f t="shared" si="59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60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1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60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1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60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1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60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1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60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1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60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1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60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1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60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1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60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1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60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1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60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1"/>
        <v>1795</v>
      </c>
      <c r="G243" s="701">
        <v>42314</v>
      </c>
      <c r="H243" s="259">
        <v>2200</v>
      </c>
      <c r="I243" s="260">
        <v>17.55</v>
      </c>
      <c r="J243" s="260">
        <v>0.77</v>
      </c>
      <c r="K243" s="260">
        <f t="shared" si="60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1"/>
        <v>1241.5</v>
      </c>
      <c r="G244" s="701"/>
      <c r="H244" s="259">
        <v>190</v>
      </c>
      <c r="I244" s="260">
        <v>17.55</v>
      </c>
      <c r="J244" s="260">
        <v>0</v>
      </c>
      <c r="K244" s="260">
        <f t="shared" si="60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1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60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1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60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1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60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1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60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1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60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1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60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1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60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1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60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1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60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1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60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1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60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1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60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1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60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1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60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1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60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1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60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1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60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1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60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1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60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1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60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1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60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1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60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1"/>
        <v>1610.0000000000002</v>
      </c>
      <c r="G267" s="701">
        <v>42447</v>
      </c>
      <c r="H267" s="265">
        <v>355</v>
      </c>
      <c r="I267" s="260">
        <v>11.13</v>
      </c>
      <c r="J267" s="260">
        <v>0.12</v>
      </c>
      <c r="K267" s="260">
        <f t="shared" si="60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1"/>
        <v>13119.999999999998</v>
      </c>
      <c r="G268" s="701"/>
      <c r="H268" s="265">
        <v>40</v>
      </c>
      <c r="I268" s="260">
        <v>11.13</v>
      </c>
      <c r="J268" s="260">
        <v>0</v>
      </c>
      <c r="K268" s="260">
        <f t="shared" si="60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1"/>
        <v>7900</v>
      </c>
      <c r="G269" s="701"/>
      <c r="H269" s="265">
        <v>105</v>
      </c>
      <c r="I269" s="260">
        <v>11.13</v>
      </c>
      <c r="J269" s="260">
        <v>0</v>
      </c>
      <c r="K269" s="260">
        <f t="shared" si="60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1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60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1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60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1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60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1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60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1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60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1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60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1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60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1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60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1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60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1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60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1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60"/>
        <v>19519.57</v>
      </c>
      <c r="L280" s="259"/>
      <c r="M280" s="259"/>
    </row>
    <row r="281" spans="1:13" x14ac:dyDescent="0.25">
      <c r="A281" s="259"/>
      <c r="B281" s="700">
        <v>42317</v>
      </c>
      <c r="C281" s="259">
        <v>190</v>
      </c>
      <c r="D281" s="260">
        <v>17.100000000000001</v>
      </c>
      <c r="E281" s="260">
        <v>0</v>
      </c>
      <c r="F281" s="260">
        <f t="shared" si="61"/>
        <v>3249.0000000000005</v>
      </c>
      <c r="G281" s="701">
        <v>42510</v>
      </c>
      <c r="H281" s="265">
        <v>240</v>
      </c>
      <c r="I281" s="260">
        <v>10.75</v>
      </c>
      <c r="J281" s="260">
        <v>0.12</v>
      </c>
      <c r="K281" s="260">
        <f t="shared" si="60"/>
        <v>2579.88</v>
      </c>
      <c r="L281" s="259"/>
      <c r="M281" s="259"/>
    </row>
    <row r="282" spans="1:13" x14ac:dyDescent="0.25">
      <c r="A282" s="259"/>
      <c r="B282" s="700"/>
      <c r="C282" s="259">
        <v>2</v>
      </c>
      <c r="D282" s="260">
        <v>17.100000000000001</v>
      </c>
      <c r="E282" s="260">
        <v>0</v>
      </c>
      <c r="F282" s="260">
        <f t="shared" si="61"/>
        <v>34.200000000000003</v>
      </c>
      <c r="G282" s="701"/>
      <c r="H282" s="265">
        <v>260</v>
      </c>
      <c r="I282" s="260">
        <v>10.75</v>
      </c>
      <c r="J282" s="260">
        <v>0</v>
      </c>
      <c r="K282" s="260">
        <f t="shared" si="60"/>
        <v>2795</v>
      </c>
      <c r="L282" s="259"/>
      <c r="M282" s="259"/>
    </row>
    <row r="283" spans="1:13" x14ac:dyDescent="0.25">
      <c r="A283" s="259"/>
      <c r="B283" s="700">
        <v>42318</v>
      </c>
      <c r="C283" s="259">
        <v>8</v>
      </c>
      <c r="D283" s="260">
        <v>16.989999999999998</v>
      </c>
      <c r="E283" s="260">
        <v>0</v>
      </c>
      <c r="F283" s="260">
        <f t="shared" si="61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60"/>
        <v>5684.88</v>
      </c>
      <c r="L283" s="259"/>
      <c r="M283" s="259"/>
    </row>
    <row r="284" spans="1:13" x14ac:dyDescent="0.25">
      <c r="A284" s="259"/>
      <c r="B284" s="700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60"/>
        <v>5769.87</v>
      </c>
      <c r="L284" s="259"/>
      <c r="M284" s="259"/>
    </row>
    <row r="285" spans="1:13" x14ac:dyDescent="0.25">
      <c r="A285" s="259"/>
      <c r="B285" s="700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60"/>
        <v>5879.87</v>
      </c>
      <c r="L285" s="259"/>
      <c r="M285" s="259"/>
    </row>
    <row r="286" spans="1:13" x14ac:dyDescent="0.25">
      <c r="A286" s="259"/>
      <c r="B286" s="700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60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2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60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2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60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2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60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2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60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2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2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2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2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2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2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2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2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2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2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2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2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2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2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2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2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2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2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2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2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2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2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2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2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2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2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2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2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2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2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2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02" t="s">
        <v>203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2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02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2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02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2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2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2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2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2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2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2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2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2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2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2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2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2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2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2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2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2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3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2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3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2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3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2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3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2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3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2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3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2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3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2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2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2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2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4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5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4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5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4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5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4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5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4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5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4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5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4"/>
        <v>7224.84</v>
      </c>
      <c r="L356" s="259"/>
      <c r="M356" s="703" t="s">
        <v>263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5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4"/>
        <v>7439.84</v>
      </c>
      <c r="L357" s="259"/>
      <c r="M357" s="703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5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4"/>
        <v>7489.84</v>
      </c>
      <c r="L358" s="259"/>
      <c r="M358" s="703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5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4"/>
        <v>7739.83</v>
      </c>
      <c r="L359" s="259"/>
      <c r="M359" s="703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5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4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5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4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5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4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5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4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5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4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5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4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5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4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5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4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5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4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5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4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5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4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5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4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5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4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5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4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5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4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5"/>
        <v>0</v>
      </c>
      <c r="G375" s="705" t="s">
        <v>324</v>
      </c>
      <c r="H375" s="259">
        <v>100</v>
      </c>
      <c r="I375" s="260">
        <v>19.68</v>
      </c>
      <c r="J375" s="260">
        <v>0.04</v>
      </c>
      <c r="K375" s="260">
        <f t="shared" si="64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5"/>
        <v>0</v>
      </c>
      <c r="G376" s="705"/>
      <c r="H376" s="259">
        <v>200</v>
      </c>
      <c r="I376" s="260">
        <v>19.88</v>
      </c>
      <c r="J376" s="260">
        <v>0.09</v>
      </c>
      <c r="K376" s="260">
        <f t="shared" si="64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5"/>
        <v>0</v>
      </c>
      <c r="G377" s="705"/>
      <c r="H377" s="259">
        <v>200</v>
      </c>
      <c r="I377" s="260">
        <v>20.32</v>
      </c>
      <c r="J377" s="260">
        <v>0.09</v>
      </c>
      <c r="K377" s="260">
        <f t="shared" si="64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5"/>
        <v>0</v>
      </c>
      <c r="G378" s="705"/>
      <c r="H378" s="259">
        <v>300</v>
      </c>
      <c r="I378" s="260">
        <v>20.53</v>
      </c>
      <c r="J378" s="260">
        <v>0.13</v>
      </c>
      <c r="K378" s="260">
        <f t="shared" si="64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4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4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4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4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6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6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6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6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6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6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7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7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7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7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7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196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9">
    <mergeCell ref="G243:G244"/>
    <mergeCell ref="G267:G269"/>
    <mergeCell ref="G13:G14"/>
    <mergeCell ref="G375:G378"/>
    <mergeCell ref="B281:B282"/>
    <mergeCell ref="G281:G282"/>
    <mergeCell ref="B283:B286"/>
    <mergeCell ref="A322:A324"/>
    <mergeCell ref="M356:M359"/>
  </mergeCells>
  <conditionalFormatting sqref="P16:P2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5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73" priority="93">
      <formula>F70&gt;0</formula>
    </cfRule>
    <cfRule type="expression" dxfId="672" priority="94">
      <formula>F70&lt;0</formula>
    </cfRule>
  </conditionalFormatting>
  <conditionalFormatting sqref="H70:H81">
    <cfRule type="expression" dxfId="671" priority="85">
      <formula>H70&gt;0</formula>
    </cfRule>
    <cfRule type="expression" dxfId="670" priority="86">
      <formula>H70&lt;0</formula>
    </cfRule>
  </conditionalFormatting>
  <conditionalFormatting sqref="H82">
    <cfRule type="expression" dxfId="669" priority="75">
      <formula>H82&gt;0</formula>
    </cfRule>
    <cfRule type="expression" dxfId="668" priority="76">
      <formula>H82&lt;0</formula>
    </cfRule>
  </conditionalFormatting>
  <conditionalFormatting sqref="H83">
    <cfRule type="expression" dxfId="667" priority="71">
      <formula>H83&gt;0</formula>
    </cfRule>
    <cfRule type="expression" dxfId="666" priority="72">
      <formula>H83&lt;0</formula>
    </cfRule>
  </conditionalFormatting>
  <conditionalFormatting sqref="H84:H89">
    <cfRule type="expression" dxfId="665" priority="67">
      <formula>H84&gt;0</formula>
    </cfRule>
    <cfRule type="expression" dxfId="664" priority="68">
      <formula>H84&lt;0</formula>
    </cfRule>
  </conditionalFormatting>
  <conditionalFormatting sqref="Q8">
    <cfRule type="expression" dxfId="663" priority="51">
      <formula>Q8&gt;0</formula>
    </cfRule>
    <cfRule type="expression" dxfId="662" priority="52">
      <formula>Q8&lt;0</formula>
    </cfRule>
  </conditionalFormatting>
  <conditionalFormatting sqref="Q7">
    <cfRule type="expression" dxfId="661" priority="53">
      <formula>Q7&gt;0</formula>
    </cfRule>
    <cfRule type="expression" dxfId="660" priority="54">
      <formula>Q7&lt;0</formula>
    </cfRule>
  </conditionalFormatting>
  <conditionalFormatting sqref="F201 H201">
    <cfRule type="expression" dxfId="659" priority="49">
      <formula>F201&gt;0</formula>
    </cfRule>
    <cfRule type="expression" dxfId="658" priority="50">
      <formula>F201&lt;0</formula>
    </cfRule>
  </conditionalFormatting>
  <conditionalFormatting sqref="F30:F67">
    <cfRule type="expression" dxfId="657" priority="47">
      <formula>F30&gt;0</formula>
    </cfRule>
    <cfRule type="expression" dxfId="656" priority="48">
      <formula>F30&lt;0</formula>
    </cfRule>
  </conditionalFormatting>
  <conditionalFormatting sqref="H30:H67">
    <cfRule type="expression" dxfId="655" priority="45">
      <formula>H30&gt;0</formula>
    </cfRule>
    <cfRule type="expression" dxfId="654" priority="46">
      <formula>H30&lt;0</formula>
    </cfRule>
  </conditionalFormatting>
  <conditionalFormatting sqref="Q10">
    <cfRule type="expression" dxfId="653" priority="43">
      <formula>Q10&gt;0</formula>
    </cfRule>
    <cfRule type="expression" dxfId="652" priority="44">
      <formula>Q10&lt;0</formula>
    </cfRule>
  </conditionalFormatting>
  <conditionalFormatting sqref="J37">
    <cfRule type="expression" dxfId="651" priority="41">
      <formula>J37&gt;0</formula>
    </cfRule>
    <cfRule type="expression" dxfId="650" priority="42">
      <formula>J37&lt;0</formula>
    </cfRule>
  </conditionalFormatting>
  <conditionalFormatting sqref="J43:J44">
    <cfRule type="expression" dxfId="649" priority="39">
      <formula>J43&gt;0</formula>
    </cfRule>
    <cfRule type="expression" dxfId="648" priority="40">
      <formula>J43&lt;0</formula>
    </cfRule>
  </conditionalFormatting>
  <conditionalFormatting sqref="Q9">
    <cfRule type="expression" dxfId="647" priority="37">
      <formula>Q9&gt;0</formula>
    </cfRule>
    <cfRule type="expression" dxfId="646" priority="38">
      <formula>Q9&lt;0</formula>
    </cfRule>
  </conditionalFormatting>
  <conditionalFormatting sqref="J45">
    <cfRule type="expression" dxfId="645" priority="35">
      <formula>J45&gt;0</formula>
    </cfRule>
    <cfRule type="expression" dxfId="644" priority="36">
      <formula>J45&lt;0</formula>
    </cfRule>
  </conditionalFormatting>
  <conditionalFormatting sqref="J46:J48 J50:J53">
    <cfRule type="expression" dxfId="643" priority="33">
      <formula>J46&gt;0</formula>
    </cfRule>
    <cfRule type="expression" dxfId="642" priority="34">
      <formula>J46&lt;0</formula>
    </cfRule>
  </conditionalFormatting>
  <conditionalFormatting sqref="K37">
    <cfRule type="expression" dxfId="641" priority="31">
      <formula>K37&gt;0</formula>
    </cfRule>
    <cfRule type="expression" dxfId="640" priority="32">
      <formula>K37&lt;0</formula>
    </cfRule>
  </conditionalFormatting>
  <conditionalFormatting sqref="K43:K44">
    <cfRule type="expression" dxfId="639" priority="29">
      <formula>K43&gt;0</formula>
    </cfRule>
    <cfRule type="expression" dxfId="638" priority="30">
      <formula>K43&lt;0</formula>
    </cfRule>
  </conditionalFormatting>
  <conditionalFormatting sqref="K45">
    <cfRule type="expression" dxfId="637" priority="27">
      <formula>K45&gt;0</formula>
    </cfRule>
    <cfRule type="expression" dxfId="636" priority="28">
      <formula>K45&lt;0</formula>
    </cfRule>
  </conditionalFormatting>
  <conditionalFormatting sqref="K46:K53">
    <cfRule type="expression" dxfId="635" priority="25">
      <formula>K46&gt;0</formula>
    </cfRule>
    <cfRule type="expression" dxfId="634" priority="26">
      <formula>K46&lt;0</formula>
    </cfRule>
  </conditionalFormatting>
  <conditionalFormatting sqref="L37">
    <cfRule type="expression" dxfId="633" priority="23">
      <formula>L37&gt;0</formula>
    </cfRule>
    <cfRule type="expression" dxfId="632" priority="24">
      <formula>L37&lt;0</formula>
    </cfRule>
  </conditionalFormatting>
  <conditionalFormatting sqref="L43:L44">
    <cfRule type="expression" dxfId="631" priority="21">
      <formula>L43&gt;0</formula>
    </cfRule>
    <cfRule type="expression" dxfId="630" priority="22">
      <formula>L43&lt;0</formula>
    </cfRule>
  </conditionalFormatting>
  <conditionalFormatting sqref="L45">
    <cfRule type="expression" dxfId="629" priority="19">
      <formula>L45&gt;0</formula>
    </cfRule>
    <cfRule type="expression" dxfId="628" priority="20">
      <formula>L45&lt;0</formula>
    </cfRule>
  </conditionalFormatting>
  <conditionalFormatting sqref="L46:L53">
    <cfRule type="expression" dxfId="627" priority="17">
      <formula>L46&gt;0</formula>
    </cfRule>
    <cfRule type="expression" dxfId="626" priority="18">
      <formula>L46&lt;0</formula>
    </cfRule>
  </conditionalFormatting>
  <conditionalFormatting sqref="K54">
    <cfRule type="expression" dxfId="625" priority="15">
      <formula>K54&gt;0</formula>
    </cfRule>
    <cfRule type="expression" dxfId="624" priority="16">
      <formula>K54&lt;0</formula>
    </cfRule>
  </conditionalFormatting>
  <conditionalFormatting sqref="L54:L61">
    <cfRule type="expression" dxfId="623" priority="13">
      <formula>L54&gt;0</formula>
    </cfRule>
    <cfRule type="expression" dxfId="622" priority="14">
      <formula>L54&lt;0</formula>
    </cfRule>
  </conditionalFormatting>
  <conditionalFormatting sqref="K55">
    <cfRule type="expression" dxfId="621" priority="11">
      <formula>K55&gt;0</formula>
    </cfRule>
    <cfRule type="expression" dxfId="620" priority="12">
      <formula>K55&lt;0</formula>
    </cfRule>
  </conditionalFormatting>
  <conditionalFormatting sqref="K56">
    <cfRule type="expression" dxfId="619" priority="5">
      <formula>K56&gt;0</formula>
    </cfRule>
    <cfRule type="expression" dxfId="618" priority="6">
      <formula>K56&lt;0</formula>
    </cfRule>
  </conditionalFormatting>
  <conditionalFormatting sqref="K57:K67">
    <cfRule type="expression" dxfId="617" priority="3">
      <formula>K57&gt;0</formula>
    </cfRule>
    <cfRule type="expression" dxfId="616" priority="4">
      <formula>K57&lt;0</formula>
    </cfRule>
  </conditionalFormatting>
  <conditionalFormatting sqref="L62:L66">
    <cfRule type="expression" dxfId="615" priority="1">
      <formula>L62&gt;0</formula>
    </cfRule>
    <cfRule type="expression" dxfId="614" priority="2">
      <formula>L62&lt;0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53.85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53.85</v>
      </c>
      <c r="R4" s="516">
        <v>-5.4000000000000003E-3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697" t="s">
        <v>78</v>
      </c>
      <c r="P40" s="697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59.235000000000007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58.696500000000007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58.158000000000008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57.619500000000002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57.081000000000003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56.542500000000004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56.004000000000005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55.465500000000006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54.927</v>
      </c>
      <c r="Q49" s="2"/>
      <c r="T49" s="86" t="s">
        <v>103</v>
      </c>
      <c r="U49" s="88" t="s">
        <v>416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54.388500000000001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53.85</v>
      </c>
      <c r="Q51" s="2"/>
      <c r="T51" s="86" t="s">
        <v>104</v>
      </c>
      <c r="U51" s="87" t="s">
        <v>672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53.311500000000002</v>
      </c>
      <c r="Q52" s="2"/>
      <c r="T52" s="86" t="s">
        <v>105</v>
      </c>
      <c r="U52" s="87" t="s">
        <v>539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52.773000000000003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52.234499999999997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51.695999999999998</v>
      </c>
      <c r="T55" s="86" t="s">
        <v>107</v>
      </c>
      <c r="U55" s="87" t="s">
        <v>673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51.157499999999999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50.619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50.080500000000001</v>
      </c>
      <c r="T58" s="86" t="s">
        <v>108</v>
      </c>
      <c r="U58" s="87" t="s">
        <v>591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49.542000000000002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49.003500000000003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48.465000000000003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3" priority="11">
      <formula>F27&gt;0</formula>
    </cfRule>
    <cfRule type="expression" dxfId="612" priority="12">
      <formula>F27&lt;0</formula>
    </cfRule>
  </conditionalFormatting>
  <conditionalFormatting sqref="H27:H29">
    <cfRule type="expression" dxfId="611" priority="9">
      <formula>H27&gt;0</formula>
    </cfRule>
    <cfRule type="expression" dxfId="610" priority="10">
      <formula>H27&lt;0</formula>
    </cfRule>
  </conditionalFormatting>
  <conditionalFormatting sqref="F23:F26">
    <cfRule type="expression" dxfId="609" priority="7">
      <formula>F23&gt;0</formula>
    </cfRule>
    <cfRule type="expression" dxfId="608" priority="8">
      <formula>F23&lt;0</formula>
    </cfRule>
  </conditionalFormatting>
  <conditionalFormatting sqref="H23:H26">
    <cfRule type="expression" dxfId="607" priority="5">
      <formula>H23&gt;0</formula>
    </cfRule>
    <cfRule type="expression" dxfId="606" priority="6">
      <formula>H23&lt;0</formula>
    </cfRule>
  </conditionalFormatting>
  <conditionalFormatting sqref="Q8">
    <cfRule type="expression" dxfId="605" priority="1">
      <formula>Q8&gt;0</formula>
    </cfRule>
    <cfRule type="expression" dxfId="604" priority="2">
      <formula>Q8&lt;0</formula>
    </cfRule>
  </conditionalFormatting>
  <conditionalFormatting sqref="Q7">
    <cfRule type="expression" dxfId="603" priority="3">
      <formula>Q7&gt;0</formula>
    </cfRule>
    <cfRule type="expression" dxfId="60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36.130000000000003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36.130000000000003</v>
      </c>
      <c r="R4" s="516">
        <v>-5.7999999999999996E-3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697" t="s">
        <v>78</v>
      </c>
      <c r="P40" s="697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39.743000000000009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39.381700000000002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39.020400000000002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38.659100000000002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38.297800000000002</v>
      </c>
      <c r="Q45" s="2"/>
      <c r="T45" s="86" t="s">
        <v>99</v>
      </c>
      <c r="U45" s="87" t="s">
        <v>674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37.936500000000002</v>
      </c>
      <c r="Q46" s="2"/>
      <c r="T46" s="86" t="s">
        <v>100</v>
      </c>
      <c r="U46" s="87" t="s">
        <v>675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37.575200000000002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37.213900000000002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36.852600000000002</v>
      </c>
      <c r="Q49" s="2"/>
      <c r="T49" s="86" t="s">
        <v>103</v>
      </c>
      <c r="U49" s="88" t="s">
        <v>449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36.491300000000003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36.130000000000003</v>
      </c>
      <c r="Q51" s="2"/>
      <c r="T51" s="86" t="s">
        <v>104</v>
      </c>
      <c r="U51" s="87" t="s">
        <v>676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35.768700000000003</v>
      </c>
      <c r="Q52" s="2"/>
      <c r="T52" s="86" t="s">
        <v>105</v>
      </c>
      <c r="U52" s="87" t="s">
        <v>550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35.407400000000003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35.046100000000003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34.684800000000003</v>
      </c>
      <c r="T55" s="86" t="s">
        <v>107</v>
      </c>
      <c r="U55" s="87" t="s">
        <v>677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34.323500000000003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33.962200000000003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33.600900000000003</v>
      </c>
      <c r="T58" s="86" t="s">
        <v>108</v>
      </c>
      <c r="U58" s="87" t="s">
        <v>592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33.239600000000003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32.878300000000003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32.517000000000003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1" priority="7">
      <formula>F21&gt;0</formula>
    </cfRule>
    <cfRule type="expression" dxfId="600" priority="8">
      <formula>F21&lt;0</formula>
    </cfRule>
  </conditionalFormatting>
  <conditionalFormatting sqref="F22">
    <cfRule type="expression" dxfId="599" priority="5">
      <formula>F22&gt;0</formula>
    </cfRule>
    <cfRule type="expression" dxfId="598" priority="6">
      <formula>F22&lt;0</formula>
    </cfRule>
  </conditionalFormatting>
  <conditionalFormatting sqref="Q8">
    <cfRule type="expression" dxfId="597" priority="1">
      <formula>Q8&gt;0</formula>
    </cfRule>
    <cfRule type="expression" dxfId="596" priority="2">
      <formula>Q8&lt;0</formula>
    </cfRule>
  </conditionalFormatting>
  <conditionalFormatting sqref="Q7">
    <cfRule type="expression" dxfId="595" priority="3">
      <formula>Q7&gt;0</formula>
    </cfRule>
    <cfRule type="expression" dxfId="5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46.94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46.94</v>
      </c>
      <c r="R4" s="498">
        <v>1.7999999999999999E-2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697" t="s">
        <v>78</v>
      </c>
      <c r="P44" s="697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51.634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51.1646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50.6952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50.2258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49.756399999999999</v>
      </c>
      <c r="Q49" s="2"/>
      <c r="R49" s="34"/>
      <c r="T49" s="107" t="s">
        <v>121</v>
      </c>
      <c r="U49" s="105" t="s">
        <v>394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49.286999999999999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48.817599999999999</v>
      </c>
      <c r="Q51" s="2"/>
      <c r="R51" s="34"/>
      <c r="T51" s="107" t="s">
        <v>104</v>
      </c>
      <c r="U51" s="105" t="s">
        <v>678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48.348199999999999</v>
      </c>
      <c r="Q52" s="2"/>
      <c r="R52" s="34"/>
      <c r="T52" s="107" t="s">
        <v>105</v>
      </c>
      <c r="U52" s="105" t="s">
        <v>568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47.878799999999998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47.409399999999998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46.94</v>
      </c>
      <c r="Q55" s="2"/>
      <c r="R55" s="34"/>
      <c r="T55" s="107" t="s">
        <v>107</v>
      </c>
      <c r="U55" s="105" t="s">
        <v>679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46.470599999999997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46.001199999999997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45.531799999999997</v>
      </c>
      <c r="Q58" s="2"/>
      <c r="R58" s="34"/>
      <c r="T58" s="107" t="s">
        <v>108</v>
      </c>
      <c r="U58" s="105" t="s">
        <v>593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45.062399999999997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44.592999999999996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44.123599999999996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43.654200000000003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43.184800000000003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42.715400000000002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42.246000000000002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3" priority="17">
      <formula>F38&gt;0</formula>
    </cfRule>
    <cfRule type="expression" dxfId="592" priority="18">
      <formula>F38&lt;0</formula>
    </cfRule>
  </conditionalFormatting>
  <conditionalFormatting sqref="H38:H72">
    <cfRule type="expression" dxfId="591" priority="9">
      <formula>H38&gt;0</formula>
    </cfRule>
    <cfRule type="expression" dxfId="590" priority="10">
      <formula>H38&lt;0</formula>
    </cfRule>
  </conditionalFormatting>
  <conditionalFormatting sqref="F21:F37">
    <cfRule type="expression" dxfId="589" priority="7">
      <formula>F21&gt;0</formula>
    </cfRule>
    <cfRule type="expression" dxfId="588" priority="8">
      <formula>F21&lt;0</formula>
    </cfRule>
  </conditionalFormatting>
  <conditionalFormatting sqref="H21:H37">
    <cfRule type="expression" dxfId="587" priority="5">
      <formula>H21&gt;0</formula>
    </cfRule>
    <cfRule type="expression" dxfId="586" priority="6">
      <formula>H21&lt;0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108.96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108.96</v>
      </c>
      <c r="R4" s="516">
        <v>-1.12E-2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697" t="s">
        <v>78</v>
      </c>
      <c r="P46" s="697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119.85600000000001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118.7664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117.6768</v>
      </c>
      <c r="Q49" s="34"/>
      <c r="R49"/>
      <c r="T49" s="86" t="s">
        <v>103</v>
      </c>
      <c r="U49" s="93" t="s">
        <v>680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116.5872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115.49760000000001</v>
      </c>
      <c r="Q51" s="82"/>
      <c r="R51"/>
      <c r="T51" s="86" t="s">
        <v>104</v>
      </c>
      <c r="U51" s="129" t="s">
        <v>681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114.408</v>
      </c>
      <c r="Q52" s="82"/>
      <c r="R52"/>
      <c r="T52" s="86" t="s">
        <v>105</v>
      </c>
      <c r="U52" s="129" t="s">
        <v>542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113.3184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112.22879999999999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111.1392</v>
      </c>
      <c r="Q55" s="82"/>
      <c r="R55"/>
      <c r="T55" s="86" t="s">
        <v>107</v>
      </c>
      <c r="U55" s="129" t="s">
        <v>682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110.0496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108.96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107.87039999999999</v>
      </c>
      <c r="Q58" s="82"/>
      <c r="R58"/>
      <c r="T58" s="86" t="s">
        <v>108</v>
      </c>
      <c r="U58" s="129" t="s">
        <v>594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106.78079999999999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105.69119999999999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104.60159999999999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103.51199999999999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102.42239999999998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101.33280000000001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100.2432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99.153599999999997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98.063999999999993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1" priority="11">
      <formula>F24&gt;0</formula>
    </cfRule>
    <cfRule type="expression" dxfId="580" priority="12">
      <formula>F24&lt;0</formula>
    </cfRule>
  </conditionalFormatting>
  <conditionalFormatting sqref="H27:H30">
    <cfRule type="expression" dxfId="579" priority="9">
      <formula>H27&gt;0</formula>
    </cfRule>
    <cfRule type="expression" dxfId="578" priority="10">
      <formula>H27&lt;0</formula>
    </cfRule>
  </conditionalFormatting>
  <conditionalFormatting sqref="F25">
    <cfRule type="expression" dxfId="577" priority="7">
      <formula>F25&gt;0</formula>
    </cfRule>
    <cfRule type="expression" dxfId="576" priority="8">
      <formula>F25&lt;0</formula>
    </cfRule>
  </conditionalFormatting>
  <conditionalFormatting sqref="H24:H26">
    <cfRule type="expression" dxfId="575" priority="5">
      <formula>H24&gt;0</formula>
    </cfRule>
    <cfRule type="expression" dxfId="574" priority="6">
      <formula>H24&lt;0</formula>
    </cfRule>
  </conditionalFormatting>
  <conditionalFormatting sqref="Q7">
    <cfRule type="expression" dxfId="573" priority="3">
      <formula>Q7&gt;0</formula>
    </cfRule>
    <cfRule type="expression" dxfId="572" priority="4">
      <formula>Q7&lt;0</formula>
    </cfRule>
  </conditionalFormatting>
  <conditionalFormatting sqref="Q8">
    <cfRule type="expression" dxfId="571" priority="1">
      <formula>Q8&gt;0</formula>
    </cfRule>
    <cfRule type="expression" dxfId="57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49.72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49.72</v>
      </c>
      <c r="R4" s="517">
        <v>-1.17E-2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697" t="s">
        <v>78</v>
      </c>
      <c r="Q39" s="697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54.692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54.194800000000001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53.697600000000001</v>
      </c>
      <c r="R42" s="34"/>
      <c r="T42" s="86" t="s">
        <v>99</v>
      </c>
      <c r="U42" s="129" t="s">
        <v>683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53.200400000000002</v>
      </c>
      <c r="R43" s="82"/>
      <c r="T43" s="86" t="s">
        <v>100</v>
      </c>
      <c r="U43" s="129" t="s">
        <v>684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52.703200000000002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52.206000000000003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51.708800000000004</v>
      </c>
      <c r="R46" s="82"/>
      <c r="T46" s="86" t="s">
        <v>121</v>
      </c>
      <c r="U46" s="230" t="s">
        <v>446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51.211599999999997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50.714399999999998</v>
      </c>
      <c r="R48" s="82"/>
      <c r="T48" s="86" t="s">
        <v>104</v>
      </c>
      <c r="U48" s="129" t="s">
        <v>685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50.217199999999998</v>
      </c>
      <c r="R49" s="82"/>
      <c r="T49" s="86" t="s">
        <v>105</v>
      </c>
      <c r="U49" s="129" t="s">
        <v>595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49.72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49.222799999999999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48.7256</v>
      </c>
      <c r="R52" s="82"/>
      <c r="T52" s="86" t="s">
        <v>107</v>
      </c>
      <c r="U52" s="129" t="s">
        <v>686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48.228400000000001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47.731199999999994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47.233999999999995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46.736799999999995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46.239600000000003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45.742400000000004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45.245199999999997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44.747999999999998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69" priority="17">
      <formula>F28&gt;0</formula>
    </cfRule>
    <cfRule type="expression" dxfId="568" priority="18">
      <formula>F28&lt;0</formula>
    </cfRule>
  </conditionalFormatting>
  <conditionalFormatting sqref="F28 F33:F35">
    <cfRule type="expression" dxfId="567" priority="19">
      <formula>F28&gt;0</formula>
    </cfRule>
    <cfRule type="expression" dxfId="566" priority="20">
      <formula>F28&lt;0</formula>
    </cfRule>
  </conditionalFormatting>
  <conditionalFormatting sqref="H28 H33:H35">
    <cfRule type="expression" dxfId="565" priority="15">
      <formula>H28&gt;0</formula>
    </cfRule>
    <cfRule type="expression" dxfId="564" priority="16">
      <formula>H28&lt;0</formula>
    </cfRule>
  </conditionalFormatting>
  <conditionalFormatting sqref="F21:F27">
    <cfRule type="expression" dxfId="563" priority="13">
      <formula>F21&gt;0</formula>
    </cfRule>
    <cfRule type="expression" dxfId="562" priority="14">
      <formula>F21&lt;0</formula>
    </cfRule>
  </conditionalFormatting>
  <conditionalFormatting sqref="H21:H27">
    <cfRule type="expression" dxfId="561" priority="11">
      <formula>H21&gt;0</formula>
    </cfRule>
    <cfRule type="expression" dxfId="560" priority="12">
      <formula>H21&lt;0</formula>
    </cfRule>
  </conditionalFormatting>
  <conditionalFormatting sqref="Q8">
    <cfRule type="expression" dxfId="559" priority="7">
      <formula>Q8&gt;0</formula>
    </cfRule>
    <cfRule type="expression" dxfId="558" priority="8">
      <formula>Q8&lt;0</formula>
    </cfRule>
  </conditionalFormatting>
  <conditionalFormatting sqref="Q7">
    <cfRule type="expression" dxfId="557" priority="9">
      <formula>Q7&gt;0</formula>
    </cfRule>
    <cfRule type="expression" dxfId="556" priority="10">
      <formula>Q7&lt;0</formula>
    </cfRule>
  </conditionalFormatting>
  <conditionalFormatting sqref="F29:F32">
    <cfRule type="expression" dxfId="555" priority="5">
      <formula>F29&gt;0</formula>
    </cfRule>
    <cfRule type="expression" dxfId="554" priority="6">
      <formula>F29&lt;0</formula>
    </cfRule>
  </conditionalFormatting>
  <conditionalFormatting sqref="H29:H32">
    <cfRule type="expression" dxfId="553" priority="3">
      <formula>H29&gt;0</formula>
    </cfRule>
    <cfRule type="expression" dxfId="552" priority="4">
      <formula>H29&lt;0</formula>
    </cfRule>
  </conditionalFormatting>
  <conditionalFormatting sqref="M37">
    <cfRule type="expression" dxfId="551" priority="1">
      <formula>M37&gt;0</formula>
    </cfRule>
    <cfRule type="expression" dxfId="55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243.21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243.21</v>
      </c>
      <c r="R4" s="498">
        <v>-3.2000000000000002E-3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551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697" t="s">
        <v>78</v>
      </c>
      <c r="Q39" s="697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267.53100000000001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265.09890000000001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262.66680000000002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260.23470000000003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257.80260000000004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255.37050000000002</v>
      </c>
      <c r="R45" s="82"/>
      <c r="T45" s="86" t="s">
        <v>331</v>
      </c>
      <c r="U45" s="129" t="s">
        <v>506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252.93840000000003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250.50630000000001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248.07420000000002</v>
      </c>
      <c r="R48" s="82"/>
      <c r="T48" s="86" t="s">
        <v>104</v>
      </c>
      <c r="U48" s="129" t="s">
        <v>687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245.6421</v>
      </c>
      <c r="R49" s="82"/>
      <c r="T49" s="86" t="s">
        <v>105</v>
      </c>
      <c r="U49" s="129" t="s">
        <v>514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243.21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240.77790000000002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238.3458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235.91370000000001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233.48159999999999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231.04949999999999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228.6174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226.18530000000001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223.75320000000002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221.3211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218.88900000000001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49" priority="19">
      <formula>F25&gt;0</formula>
    </cfRule>
    <cfRule type="expression" dxfId="54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47" priority="11">
      <formula>F28&gt;0</formula>
    </cfRule>
    <cfRule type="expression" dxfId="546" priority="12">
      <formula>F28&lt;0</formula>
    </cfRule>
  </conditionalFormatting>
  <conditionalFormatting sqref="F28:F35">
    <cfRule type="expression" dxfId="545" priority="13">
      <formula>F28&gt;0</formula>
    </cfRule>
    <cfRule type="expression" dxfId="544" priority="14">
      <formula>F28&lt;0</formula>
    </cfRule>
  </conditionalFormatting>
  <conditionalFormatting sqref="H25:H35">
    <cfRule type="expression" dxfId="543" priority="9">
      <formula>H25&gt;0</formula>
    </cfRule>
    <cfRule type="expression" dxfId="542" priority="10">
      <formula>H25&lt;0</formula>
    </cfRule>
  </conditionalFormatting>
  <conditionalFormatting sqref="F21:F24">
    <cfRule type="expression" dxfId="541" priority="7">
      <formula>F21&gt;0</formula>
    </cfRule>
    <cfRule type="expression" dxfId="540" priority="8">
      <formula>F21&lt;0</formula>
    </cfRule>
  </conditionalFormatting>
  <conditionalFormatting sqref="H21:H24">
    <cfRule type="expression" dxfId="539" priority="5">
      <formula>H21&gt;0</formula>
    </cfRule>
    <cfRule type="expression" dxfId="538" priority="6">
      <formula>H21&lt;0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107.86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107.86</v>
      </c>
      <c r="R4" s="498">
        <v>-2.7000000000000001E-3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118.64600000000002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117.56740000000001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116.48880000000001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115.4102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114.33160000000001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113.253</v>
      </c>
      <c r="R42" s="82"/>
      <c r="T42" s="86" t="s">
        <v>99</v>
      </c>
      <c r="U42" s="129" t="s">
        <v>688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112.17440000000001</v>
      </c>
      <c r="R43" s="82"/>
      <c r="T43" s="86" t="s">
        <v>100</v>
      </c>
      <c r="U43" s="129" t="s">
        <v>689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111.0958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110.0172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108.93859999999999</v>
      </c>
      <c r="R46" s="82"/>
      <c r="T46" s="86" t="s">
        <v>121</v>
      </c>
      <c r="U46" s="93" t="s">
        <v>392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107.86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106.7814</v>
      </c>
      <c r="R48" s="82"/>
      <c r="T48" s="86" t="s">
        <v>104</v>
      </c>
      <c r="U48" s="129" t="s">
        <v>690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105.7028</v>
      </c>
      <c r="R49" s="82"/>
      <c r="T49" s="86" t="s">
        <v>105</v>
      </c>
      <c r="U49" s="129" t="s">
        <v>691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104.6242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103.54559999999999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102.467</v>
      </c>
      <c r="R52" s="82"/>
      <c r="T52" s="86" t="s">
        <v>107</v>
      </c>
      <c r="U52" s="129" t="s">
        <v>692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101.38839999999999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100.30980000000001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99.231200000000001</v>
      </c>
      <c r="R55" s="82"/>
      <c r="T55" s="86" t="s">
        <v>108</v>
      </c>
      <c r="U55" s="129" t="s">
        <v>580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98.152600000000007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97.073999999999998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3" priority="29">
      <formula>F40&gt;0</formula>
    </cfRule>
    <cfRule type="expression" dxfId="532" priority="30">
      <formula>F40&lt;0</formula>
    </cfRule>
  </conditionalFormatting>
  <conditionalFormatting sqref="F40:F45">
    <cfRule type="expression" dxfId="531" priority="31">
      <formula>F40&gt;0</formula>
    </cfRule>
    <cfRule type="expression" dxfId="530" priority="32">
      <formula>F40&lt;0</formula>
    </cfRule>
  </conditionalFormatting>
  <conditionalFormatting sqref="H40:H45">
    <cfRule type="expression" dxfId="529" priority="27">
      <formula>H40&gt;0</formula>
    </cfRule>
    <cfRule type="expression" dxfId="528" priority="28">
      <formula>H40&lt;0</formula>
    </cfRule>
  </conditionalFormatting>
  <conditionalFormatting sqref="F23:F39">
    <cfRule type="expression" dxfId="527" priority="13">
      <formula>F23&gt;0</formula>
    </cfRule>
    <cfRule type="expression" dxfId="526" priority="14">
      <formula>F23&lt;0</formula>
    </cfRule>
  </conditionalFormatting>
  <conditionalFormatting sqref="H23:H39">
    <cfRule type="expression" dxfId="525" priority="11">
      <formula>H23&gt;0</formula>
    </cfRule>
    <cfRule type="expression" dxfId="524" priority="12">
      <formula>H23&lt;0</formula>
    </cfRule>
  </conditionalFormatting>
  <conditionalFormatting sqref="Q7">
    <cfRule type="expression" dxfId="523" priority="9">
      <formula>Q7&gt;0</formula>
    </cfRule>
    <cfRule type="expression" dxfId="522" priority="10">
      <formula>Q7&lt;0</formula>
    </cfRule>
  </conditionalFormatting>
  <conditionalFormatting sqref="Q8">
    <cfRule type="expression" dxfId="521" priority="7">
      <formula>Q8&gt;0</formula>
    </cfRule>
    <cfRule type="expression" dxfId="520" priority="8">
      <formula>Q8&lt;0</formula>
    </cfRule>
  </conditionalFormatting>
  <conditionalFormatting sqref="Q10">
    <cfRule type="expression" dxfId="519" priority="1">
      <formula>Q10&gt;0</formula>
    </cfRule>
    <cfRule type="expression" dxfId="51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78.86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78.86</v>
      </c>
      <c r="R4" s="498">
        <v>4.0000000000000002E-4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515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86.746000000000009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85.957400000000007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85.168800000000005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84.380200000000002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83.5916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82.802999999999997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82.014400000000009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81.225800000000007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80.437200000000004</v>
      </c>
      <c r="Q51" s="2"/>
      <c r="T51" s="107" t="s">
        <v>104</v>
      </c>
      <c r="U51" s="105" t="s">
        <v>693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79.648600000000002</v>
      </c>
      <c r="Q52" s="2"/>
      <c r="T52" s="107" t="s">
        <v>105</v>
      </c>
      <c r="U52" s="105" t="s">
        <v>694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78.86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78.071399999999997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77.282799999999995</v>
      </c>
      <c r="T55" s="107" t="s">
        <v>107</v>
      </c>
      <c r="U55" s="105" t="s">
        <v>695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76.494199999999992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75.70559999999999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74.917000000000002</v>
      </c>
      <c r="T58" s="107" t="s">
        <v>108</v>
      </c>
      <c r="U58" s="105" t="s">
        <v>562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74.128399999999999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73.339799999999997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72.551200000000009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71.762600000000006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70.974000000000004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17" priority="39">
      <formula>Q12&gt;0</formula>
    </cfRule>
    <cfRule type="expression" dxfId="51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5" priority="33">
      <formula>F25&gt;0</formula>
    </cfRule>
    <cfRule type="expression" dxfId="514" priority="34">
      <formula>F25&lt;0</formula>
    </cfRule>
  </conditionalFormatting>
  <conditionalFormatting sqref="F30">
    <cfRule type="expression" dxfId="513" priority="31">
      <formula>F30&gt;0</formula>
    </cfRule>
    <cfRule type="expression" dxfId="512" priority="32">
      <formula>F30&lt;0</formula>
    </cfRule>
  </conditionalFormatting>
  <conditionalFormatting sqref="F31">
    <cfRule type="expression" dxfId="511" priority="29">
      <formula>F31&gt;0</formula>
    </cfRule>
    <cfRule type="expression" dxfId="510" priority="30">
      <formula>F31&lt;0</formula>
    </cfRule>
  </conditionalFormatting>
  <conditionalFormatting sqref="F32:F34">
    <cfRule type="expression" dxfId="509" priority="27">
      <formula>F32&gt;0</formula>
    </cfRule>
    <cfRule type="expression" dxfId="508" priority="28">
      <formula>F32&lt;0</formula>
    </cfRule>
  </conditionalFormatting>
  <conditionalFormatting sqref="H25:H29">
    <cfRule type="expression" dxfId="507" priority="25">
      <formula>H25&gt;0</formula>
    </cfRule>
    <cfRule type="expression" dxfId="506" priority="26">
      <formula>H25&lt;0</formula>
    </cfRule>
  </conditionalFormatting>
  <conditionalFormatting sqref="H30">
    <cfRule type="expression" dxfId="505" priority="23">
      <formula>H30&gt;0</formula>
    </cfRule>
    <cfRule type="expression" dxfId="504" priority="24">
      <formula>H30&lt;0</formula>
    </cfRule>
  </conditionalFormatting>
  <conditionalFormatting sqref="H31">
    <cfRule type="expression" dxfId="503" priority="21">
      <formula>H31&gt;0</formula>
    </cfRule>
    <cfRule type="expression" dxfId="502" priority="22">
      <formula>H31&lt;0</formula>
    </cfRule>
  </conditionalFormatting>
  <conditionalFormatting sqref="H32:H34">
    <cfRule type="expression" dxfId="501" priority="19">
      <formula>H32&gt;0</formula>
    </cfRule>
    <cfRule type="expression" dxfId="500" priority="20">
      <formula>H32&lt;0</formula>
    </cfRule>
  </conditionalFormatting>
  <conditionalFormatting sqref="F35">
    <cfRule type="expression" dxfId="499" priority="17">
      <formula>F35&gt;0</formula>
    </cfRule>
    <cfRule type="expression" dxfId="498" priority="18">
      <formula>F35&lt;0</formula>
    </cfRule>
  </conditionalFormatting>
  <conditionalFormatting sqref="H35">
    <cfRule type="expression" dxfId="497" priority="15">
      <formula>H35&gt;0</formula>
    </cfRule>
    <cfRule type="expression" dxfId="496" priority="16">
      <formula>H35&lt;0</formula>
    </cfRule>
  </conditionalFormatting>
  <conditionalFormatting sqref="F36">
    <cfRule type="expression" dxfId="495" priority="13">
      <formula>F36&gt;0</formula>
    </cfRule>
    <cfRule type="expression" dxfId="494" priority="14">
      <formula>F36&lt;0</formula>
    </cfRule>
  </conditionalFormatting>
  <conditionalFormatting sqref="H36">
    <cfRule type="expression" dxfId="493" priority="11">
      <formula>H36&gt;0</formula>
    </cfRule>
    <cfRule type="expression" dxfId="492" priority="12">
      <formula>H36&lt;0</formula>
    </cfRule>
  </conditionalFormatting>
  <conditionalFormatting sqref="H23:H24">
    <cfRule type="expression" dxfId="491" priority="5">
      <formula>H23&gt;0</formula>
    </cfRule>
    <cfRule type="expression" dxfId="490" priority="6">
      <formula>H23&lt;0</formula>
    </cfRule>
  </conditionalFormatting>
  <conditionalFormatting sqref="F23:F24">
    <cfRule type="expression" dxfId="489" priority="7">
      <formula>F23&gt;0</formula>
    </cfRule>
    <cfRule type="expression" dxfId="488" priority="8">
      <formula>F23&lt;0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N2" sqref="N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3"/>
      <c r="I2" s="3"/>
      <c r="J2" s="3"/>
      <c r="K2" s="3"/>
      <c r="L2" s="73">
        <v>42888</v>
      </c>
      <c r="M2" s="3">
        <v>45.6</v>
      </c>
      <c r="O2" s="11" t="s">
        <v>57</v>
      </c>
      <c r="Q2">
        <f>C18-H18</f>
        <v>200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53.87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51.81</v>
      </c>
      <c r="R4" s="498">
        <v>1.6999999999999999E-3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497">
        <v>42886</v>
      </c>
      <c r="C5" s="4">
        <v>80</v>
      </c>
      <c r="D5" s="3">
        <v>50.88</v>
      </c>
      <c r="E5" s="3">
        <v>0</v>
      </c>
      <c r="F5" s="3">
        <f>C5*D5+E5</f>
        <v>4070.4</v>
      </c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10362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10774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792.88000000000102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-412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-3.8240207907926489E-2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200</v>
      </c>
      <c r="D18" s="18"/>
      <c r="E18" s="18"/>
      <c r="F18" s="18">
        <f>SUM(F2:F17)</f>
        <v>10819.6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45.6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751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404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421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451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496</v>
      </c>
      <c r="B34" s="611">
        <v>42795</v>
      </c>
      <c r="C34" s="612">
        <v>80</v>
      </c>
      <c r="D34" s="677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78">
        <f t="shared" ref="H34" si="7">(E34-D34)/D34</f>
        <v>4.3045490264559443E-2</v>
      </c>
      <c r="I34" s="613">
        <v>57</v>
      </c>
      <c r="J34" s="613">
        <v>1293</v>
      </c>
      <c r="K34" s="613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508</v>
      </c>
      <c r="B35" s="611">
        <v>42803</v>
      </c>
      <c r="C35" s="612">
        <v>40</v>
      </c>
      <c r="D35" s="677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78">
        <f t="shared" ref="H35:H36" si="10">(E35-D35)/D35</f>
        <v>2.5058936523181738E-2</v>
      </c>
      <c r="I35" s="613"/>
      <c r="J35" s="613">
        <v>1239</v>
      </c>
      <c r="K35" s="613">
        <f t="shared" ref="K35:K40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40" si="15">C38*(E38-D38)</f>
        <v>-249.99600000000015</v>
      </c>
      <c r="G38" s="40">
        <f t="shared" ref="G38:G40" si="16">D38*C38</f>
        <v>6749.1959999999999</v>
      </c>
      <c r="H38" s="229">
        <f t="shared" ref="H38:H40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697" t="s">
        <v>78</v>
      </c>
      <c r="Q39" s="697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A40">
        <v>120</v>
      </c>
      <c r="B40" s="191">
        <v>42886</v>
      </c>
      <c r="C40" s="10">
        <v>200</v>
      </c>
      <c r="D40" s="198">
        <v>54.097999999999999</v>
      </c>
      <c r="E40" s="40">
        <v>51.14</v>
      </c>
      <c r="F40" s="40">
        <f t="shared" si="15"/>
        <v>-591.59999999999968</v>
      </c>
      <c r="G40" s="40">
        <f t="shared" si="16"/>
        <v>10819.6</v>
      </c>
      <c r="H40" s="229">
        <f t="shared" si="17"/>
        <v>-5.4678546341824071E-2</v>
      </c>
      <c r="I40" s="40"/>
      <c r="J40" s="40">
        <v>613.28</v>
      </c>
      <c r="K40" s="40">
        <f t="shared" si="11"/>
        <v>51.031599999999997</v>
      </c>
      <c r="O40" s="2"/>
      <c r="P40" s="82">
        <v>1.1000000000000001</v>
      </c>
      <c r="Q40" s="82">
        <f>P40*$Q$4</f>
        <v>56.991000000000007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B41" s="191"/>
      <c r="C41" s="10"/>
      <c r="D41" s="198"/>
      <c r="E41" s="40"/>
      <c r="F41" s="40"/>
      <c r="G41" s="40"/>
      <c r="H41" s="229"/>
      <c r="I41" s="40"/>
      <c r="J41" s="40"/>
      <c r="K41" s="40"/>
      <c r="O41" s="2"/>
      <c r="P41" s="82">
        <v>1.0900000000000001</v>
      </c>
      <c r="Q41" s="82">
        <f t="shared" ref="Q41:Q60" si="18">P41*$Q$4</f>
        <v>56.47290000000001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K42" s="40"/>
      <c r="O42" s="2"/>
      <c r="P42" s="82">
        <v>1.08</v>
      </c>
      <c r="Q42" s="82">
        <f t="shared" si="18"/>
        <v>55.954800000000006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55.436700000000009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54.918600000000005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54.400500000000008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53.882400000000004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53.364300000000007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52.846200000000003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52.328100000000006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51.81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51.291899999999998</v>
      </c>
      <c r="R51" s="82"/>
      <c r="T51" s="86" t="s">
        <v>104</v>
      </c>
      <c r="U51" s="87" t="s">
        <v>696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50.773800000000001</v>
      </c>
      <c r="R52" s="82"/>
      <c r="T52" s="86" t="s">
        <v>105</v>
      </c>
      <c r="U52" s="87" t="s">
        <v>507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50.255699999999997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49.7376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49.219499999999996</v>
      </c>
      <c r="R55" s="82"/>
      <c r="T55" s="86" t="s">
        <v>107</v>
      </c>
      <c r="U55" s="87" t="s">
        <v>697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8"/>
        <v>48.7014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48.183300000000003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47.665200000000006</v>
      </c>
      <c r="R58" s="82"/>
      <c r="T58" s="86" t="s">
        <v>108</v>
      </c>
      <c r="U58" s="87" t="s">
        <v>596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184</v>
      </c>
      <c r="O59" s="2"/>
      <c r="P59" s="82">
        <v>0.91</v>
      </c>
      <c r="Q59" s="82">
        <f t="shared" si="18"/>
        <v>47.147100000000002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46.629000000000005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3" priority="79">
      <formula>F61&gt;0</formula>
    </cfRule>
    <cfRule type="expression" dxfId="482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1" priority="71">
      <formula>F64&gt;0</formula>
    </cfRule>
    <cfRule type="expression" dxfId="480" priority="72">
      <formula>F64&lt;0</formula>
    </cfRule>
  </conditionalFormatting>
  <conditionalFormatting sqref="F64:F92 F99:F101 F108:F119">
    <cfRule type="expression" dxfId="479" priority="73">
      <formula>F64&gt;0</formula>
    </cfRule>
    <cfRule type="expression" dxfId="478" priority="74">
      <formula>F64&lt;0</formula>
    </cfRule>
  </conditionalFormatting>
  <conditionalFormatting sqref="H61:H92 H99:H101 H108:H119">
    <cfRule type="expression" dxfId="477" priority="69">
      <formula>H61&gt;0</formula>
    </cfRule>
    <cfRule type="expression" dxfId="476" priority="70">
      <formula>H61&lt;0</formula>
    </cfRule>
  </conditionalFormatting>
  <conditionalFormatting sqref="F57:F60">
    <cfRule type="expression" dxfId="475" priority="55">
      <formula>F57&gt;0</formula>
    </cfRule>
    <cfRule type="expression" dxfId="474" priority="56">
      <formula>F57&lt;0</formula>
    </cfRule>
  </conditionalFormatting>
  <conditionalFormatting sqref="H57:H60">
    <cfRule type="expression" dxfId="473" priority="53">
      <formula>H57&gt;0</formula>
    </cfRule>
    <cfRule type="expression" dxfId="472" priority="54">
      <formula>H57&lt;0</formula>
    </cfRule>
  </conditionalFormatting>
  <conditionalFormatting sqref="Q8">
    <cfRule type="expression" dxfId="471" priority="49">
      <formula>Q8&gt;0</formula>
    </cfRule>
    <cfRule type="expression" dxfId="470" priority="50">
      <formula>Q8&lt;0</formula>
    </cfRule>
  </conditionalFormatting>
  <conditionalFormatting sqref="Q7">
    <cfRule type="expression" dxfId="469" priority="51">
      <formula>Q7&gt;0</formula>
    </cfRule>
    <cfRule type="expression" dxfId="468" priority="52">
      <formula>Q7&lt;0</formula>
    </cfRule>
  </conditionalFormatting>
  <conditionalFormatting sqref="F93:F98">
    <cfRule type="expression" dxfId="467" priority="45">
      <formula>F93&gt;0</formula>
    </cfRule>
    <cfRule type="expression" dxfId="466" priority="46">
      <formula>F93&lt;0</formula>
    </cfRule>
  </conditionalFormatting>
  <conditionalFormatting sqref="F93:F98">
    <cfRule type="expression" dxfId="465" priority="47">
      <formula>F93&gt;0</formula>
    </cfRule>
    <cfRule type="expression" dxfId="464" priority="48">
      <formula>F93&lt;0</formula>
    </cfRule>
  </conditionalFormatting>
  <conditionalFormatting sqref="H93:H98">
    <cfRule type="expression" dxfId="463" priority="43">
      <formula>H93&gt;0</formula>
    </cfRule>
    <cfRule type="expression" dxfId="462" priority="44">
      <formula>H93&lt;0</formula>
    </cfRule>
  </conditionalFormatting>
  <conditionalFormatting sqref="M122">
    <cfRule type="expression" dxfId="461" priority="39">
      <formula>M122&gt;0</formula>
    </cfRule>
    <cfRule type="expression" dxfId="460" priority="40">
      <formula>M122&lt;0</formula>
    </cfRule>
  </conditionalFormatting>
  <conditionalFormatting sqref="M122">
    <cfRule type="expression" dxfId="459" priority="41">
      <formula>M122&gt;0</formula>
    </cfRule>
    <cfRule type="expression" dxfId="458" priority="42">
      <formula>M122&lt;0</formula>
    </cfRule>
  </conditionalFormatting>
  <conditionalFormatting sqref="F103:F107">
    <cfRule type="expression" dxfId="457" priority="37">
      <formula>F103&gt;0</formula>
    </cfRule>
    <cfRule type="expression" dxfId="456" priority="38">
      <formula>F103&lt;0</formula>
    </cfRule>
  </conditionalFormatting>
  <conditionalFormatting sqref="H103:H107">
    <cfRule type="expression" dxfId="455" priority="35">
      <formula>H103&gt;0</formula>
    </cfRule>
    <cfRule type="expression" dxfId="454" priority="36">
      <formula>H103&lt;0</formula>
    </cfRule>
  </conditionalFormatting>
  <conditionalFormatting sqref="F24:F51">
    <cfRule type="expression" dxfId="453" priority="27">
      <formula>F24&gt;0</formula>
    </cfRule>
    <cfRule type="expression" dxfId="452" priority="28">
      <formula>F24&lt;0</formula>
    </cfRule>
  </conditionalFormatting>
  <conditionalFormatting sqref="F24:F51">
    <cfRule type="expression" dxfId="451" priority="29">
      <formula>F24&gt;0</formula>
    </cfRule>
    <cfRule type="expression" dxfId="450" priority="30">
      <formula>F24&lt;0</formula>
    </cfRule>
  </conditionalFormatting>
  <conditionalFormatting sqref="H24:H51">
    <cfRule type="expression" dxfId="449" priority="25">
      <formula>H24&gt;0</formula>
    </cfRule>
    <cfRule type="expression" dxfId="448" priority="26">
      <formula>H24&lt;0</formula>
    </cfRule>
  </conditionalFormatting>
  <conditionalFormatting sqref="J34">
    <cfRule type="expression" dxfId="447" priority="23">
      <formula>J34&gt;0</formula>
    </cfRule>
    <cfRule type="expression" dxfId="446" priority="24">
      <formula>J34&lt;0</formula>
    </cfRule>
  </conditionalFormatting>
  <conditionalFormatting sqref="J35">
    <cfRule type="expression" dxfId="445" priority="21">
      <formula>J35&gt;0</formula>
    </cfRule>
    <cfRule type="expression" dxfId="444" priority="22">
      <formula>J35&lt;0</formula>
    </cfRule>
  </conditionalFormatting>
  <conditionalFormatting sqref="J36:J47">
    <cfRule type="expression" dxfId="443" priority="19">
      <formula>J36&gt;0</formula>
    </cfRule>
    <cfRule type="expression" dxfId="442" priority="20">
      <formula>J36&lt;0</formula>
    </cfRule>
  </conditionalFormatting>
  <conditionalFormatting sqref="K34">
    <cfRule type="expression" dxfId="441" priority="5">
      <formula>K34&gt;0</formula>
    </cfRule>
    <cfRule type="expression" dxfId="440" priority="6">
      <formula>K34&lt;0</formula>
    </cfRule>
  </conditionalFormatting>
  <conditionalFormatting sqref="K35">
    <cfRule type="expression" dxfId="439" priority="3">
      <formula>K35&gt;0</formula>
    </cfRule>
    <cfRule type="expression" dxfId="438" priority="4">
      <formula>K35&lt;0</formula>
    </cfRule>
  </conditionalFormatting>
  <conditionalFormatting sqref="K36:K47">
    <cfRule type="expression" dxfId="437" priority="1">
      <formula>K36&gt;0</formula>
    </cfRule>
    <cfRule type="expression" dxfId="436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32.94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32.94</v>
      </c>
      <c r="R4" s="498">
        <v>-1.14E-2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697" t="s">
        <v>78</v>
      </c>
      <c r="Q39" s="697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36.234000000000002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35.904600000000002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35.575200000000002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35.245800000000003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34.916399999999996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34.586999999999996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34.257599999999996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33.928199999999997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33.598799999999997</v>
      </c>
      <c r="R48" s="82"/>
      <c r="T48" s="86" t="s">
        <v>104</v>
      </c>
      <c r="U48" s="87" t="s">
        <v>698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33.269399999999997</v>
      </c>
      <c r="R49" s="82"/>
      <c r="T49" s="86" t="s">
        <v>105</v>
      </c>
      <c r="U49" s="87" t="s">
        <v>450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32.94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32.610599999999998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32.281199999999998</v>
      </c>
      <c r="R52" s="82"/>
      <c r="T52" s="86" t="s">
        <v>107</v>
      </c>
      <c r="U52" s="87" t="s">
        <v>699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31.951799999999999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31.622399999999995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31.292999999999996</v>
      </c>
      <c r="R55" s="82"/>
      <c r="T55" s="86" t="s">
        <v>108</v>
      </c>
      <c r="U55" s="87" t="s">
        <v>552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30.963599999999996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30.6342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30.3048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29.9754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29.645999999999997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35" priority="66">
      <formula>F22&gt;0</formula>
    </cfRule>
    <cfRule type="expression" dxfId="43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3" priority="53">
      <formula>F41&gt;0</formula>
    </cfRule>
    <cfRule type="expression" dxfId="432" priority="54">
      <formula>F41&lt;0</formula>
    </cfRule>
  </conditionalFormatting>
  <conditionalFormatting sqref="F41">
    <cfRule type="expression" dxfId="431" priority="57">
      <formula>F41&gt;0</formula>
    </cfRule>
    <cfRule type="expression" dxfId="430" priority="58">
      <formula>F41&lt;0</formula>
    </cfRule>
  </conditionalFormatting>
  <conditionalFormatting sqref="H41">
    <cfRule type="expression" dxfId="429" priority="35">
      <formula>H41&gt;0</formula>
    </cfRule>
    <cfRule type="expression" dxfId="428" priority="36">
      <formula>H41&lt;0</formula>
    </cfRule>
  </conditionalFormatting>
  <conditionalFormatting sqref="F89:F95">
    <cfRule type="expression" dxfId="427" priority="29">
      <formula>F89&gt;0</formula>
    </cfRule>
    <cfRule type="expression" dxfId="426" priority="30">
      <formula>F89&lt;0</formula>
    </cfRule>
  </conditionalFormatting>
  <conditionalFormatting sqref="F96:F110">
    <cfRule type="expression" dxfId="425" priority="25">
      <formula>F96&gt;0</formula>
    </cfRule>
    <cfRule type="expression" dxfId="424" priority="26">
      <formula>F96&lt;0</formula>
    </cfRule>
  </conditionalFormatting>
  <conditionalFormatting sqref="F96:F110">
    <cfRule type="expression" dxfId="423" priority="27">
      <formula>F96&gt;0</formula>
    </cfRule>
    <cfRule type="expression" dxfId="422" priority="28">
      <formula>F96&lt;0</formula>
    </cfRule>
  </conditionalFormatting>
  <conditionalFormatting sqref="H89:H100">
    <cfRule type="expression" dxfId="421" priority="23">
      <formula>H89&gt;0</formula>
    </cfRule>
    <cfRule type="expression" dxfId="420" priority="24">
      <formula>H89&lt;0</formula>
    </cfRule>
  </conditionalFormatting>
  <conditionalFormatting sqref="H101">
    <cfRule type="expression" dxfId="419" priority="21">
      <formula>H101&gt;0</formula>
    </cfRule>
    <cfRule type="expression" dxfId="418" priority="22">
      <formula>H101&lt;0</formula>
    </cfRule>
  </conditionalFormatting>
  <conditionalFormatting sqref="F111:F116">
    <cfRule type="expression" dxfId="417" priority="19">
      <formula>F111&gt;0</formula>
    </cfRule>
    <cfRule type="expression" dxfId="416" priority="20">
      <formula>F111&lt;0</formula>
    </cfRule>
  </conditionalFormatting>
  <conditionalFormatting sqref="H103:H116">
    <cfRule type="expression" dxfId="415" priority="17">
      <formula>H103&gt;0</formula>
    </cfRule>
    <cfRule type="expression" dxfId="414" priority="18">
      <formula>H103&lt;0</formula>
    </cfRule>
  </conditionalFormatting>
  <conditionalFormatting sqref="H102">
    <cfRule type="expression" dxfId="413" priority="15">
      <formula>H102&gt;0</formula>
    </cfRule>
    <cfRule type="expression" dxfId="412" priority="16">
      <formula>H102&lt;0</formula>
    </cfRule>
  </conditionalFormatting>
  <conditionalFormatting sqref="M42">
    <cfRule type="expression" dxfId="411" priority="13">
      <formula>M42&gt;0</formula>
    </cfRule>
    <cfRule type="expression" dxfId="410" priority="14">
      <formula>M42&lt;0</formula>
    </cfRule>
  </conditionalFormatting>
  <conditionalFormatting sqref="Q7">
    <cfRule type="expression" dxfId="409" priority="9">
      <formula>Q7&gt;0</formula>
    </cfRule>
    <cfRule type="expression" dxfId="408" priority="10">
      <formula>Q7&lt;0</formula>
    </cfRule>
  </conditionalFormatting>
  <conditionalFormatting sqref="Q8">
    <cfRule type="expression" dxfId="407" priority="7">
      <formula>Q8&gt;0</formula>
    </cfRule>
    <cfRule type="expression" dxfId="406" priority="8">
      <formula>Q8&lt;0</formula>
    </cfRule>
  </conditionalFormatting>
  <conditionalFormatting sqref="F117:F130 H117:H130">
    <cfRule type="expression" dxfId="405" priority="1">
      <formula>F117&gt;0</formula>
    </cfRule>
    <cfRule type="expression" dxfId="40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10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350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>
        <v>42887</v>
      </c>
      <c r="M3" s="44">
        <v>75</v>
      </c>
      <c r="O3" s="11" t="s">
        <v>58</v>
      </c>
      <c r="Q3" s="228">
        <f>IF(Q2=0, Q4, (F18-K18-M18)/Q2)</f>
        <v>29.892942857142859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26.1</v>
      </c>
      <c r="R4" s="519">
        <v>-6.7999999999999996E-3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>H5*I5-J5</f>
        <v>2757.94</v>
      </c>
      <c r="L5" s="4"/>
      <c r="M5" s="4"/>
      <c r="O5" s="11" t="s">
        <v>67</v>
      </c>
      <c r="Q5" s="3">
        <f>Q4*Q2</f>
        <v>9135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10462.530000000001</v>
      </c>
      <c r="T6" t="s">
        <v>340</v>
      </c>
      <c r="U6" t="s">
        <v>483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1982.9399999999932</v>
      </c>
      <c r="R7">
        <v>250</v>
      </c>
      <c r="T7" t="s">
        <v>482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500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-1327.5300000000007</v>
      </c>
      <c r="T8" t="s">
        <v>484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0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-0.12688422398788826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1">
        <v>42888</v>
      </c>
      <c r="C10" s="4">
        <v>100</v>
      </c>
      <c r="D10" s="3">
        <v>26.2</v>
      </c>
      <c r="E10" s="3">
        <v>0</v>
      </c>
      <c r="F10" s="3">
        <f t="shared" si="0"/>
        <v>2620</v>
      </c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750</v>
      </c>
      <c r="D18" s="18"/>
      <c r="E18" s="18"/>
      <c r="F18" s="18">
        <f>SUM(F2:F14)</f>
        <v>21905.29</v>
      </c>
      <c r="G18" s="14"/>
      <c r="H18" s="14">
        <f>SUM(H2:H13)</f>
        <v>400</v>
      </c>
      <c r="I18" s="18"/>
      <c r="J18" s="18"/>
      <c r="K18" s="18">
        <f>SUM(K2:K13)</f>
        <v>11337.76</v>
      </c>
      <c r="L18" s="14"/>
      <c r="M18" s="18">
        <f>SUM(M2:M10)</f>
        <v>105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3"/>
      <c r="C19" s="354">
        <f>SumByColor($A$19,C2:C17)</f>
        <v>400</v>
      </c>
      <c r="D19" s="354"/>
      <c r="E19" s="354"/>
      <c r="F19" s="355">
        <f>SumByColor($A$19,F2:F17)</f>
        <v>10949</v>
      </c>
      <c r="G19" s="354"/>
      <c r="H19" s="354">
        <f>SumByColor($A$19,H2:H17)</f>
        <v>400</v>
      </c>
      <c r="I19" s="354"/>
      <c r="J19" s="354"/>
      <c r="K19" s="355">
        <f>SumByColor($A$19,K2:K17)</f>
        <v>11338</v>
      </c>
      <c r="L19" s="354"/>
      <c r="M19" s="355">
        <f>SumByColor($A$19,M2:M17)</f>
        <v>105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545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453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468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473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495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 t="s">
        <v>756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4">C41*(E41-D41)</f>
        <v>-812.5</v>
      </c>
      <c r="G41" s="40">
        <f t="shared" ref="G41" si="35">D41*C41</f>
        <v>7917.5</v>
      </c>
      <c r="H41" s="229">
        <f t="shared" ref="H41" si="36">(E41-D41)/D41</f>
        <v>-0.10262077676034101</v>
      </c>
      <c r="I41" s="40" t="s">
        <v>757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A42">
        <v>250</v>
      </c>
      <c r="B42" s="155">
        <v>42887</v>
      </c>
      <c r="C42" s="10">
        <v>250</v>
      </c>
      <c r="D42" s="40">
        <v>31.37</v>
      </c>
      <c r="E42" s="40">
        <v>27.03</v>
      </c>
      <c r="F42" s="40">
        <f t="shared" ref="F42" si="37">C42*(E42-D42)</f>
        <v>-1085</v>
      </c>
      <c r="G42" s="40">
        <f t="shared" ref="G42" si="38">D42*C42</f>
        <v>7842.5</v>
      </c>
      <c r="H42" s="229">
        <f t="shared" ref="H42" si="39">(E42-D42)/D42</f>
        <v>-0.13834874083519286</v>
      </c>
      <c r="I42" s="40" t="s">
        <v>761</v>
      </c>
      <c r="J42" s="40">
        <v>2225</v>
      </c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B43" s="155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55"/>
      <c r="C45" s="10"/>
      <c r="D45" s="40"/>
      <c r="E45" s="40"/>
      <c r="F45" s="40"/>
      <c r="G45" s="10"/>
      <c r="H45" s="10"/>
      <c r="I45" s="40"/>
      <c r="J45" s="40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697" t="s">
        <v>78</v>
      </c>
      <c r="P53" s="697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28.710000000000004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40">O55*$Q$4</f>
        <v>28.449000000000005</v>
      </c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5">
        <f>M83+K83-F83</f>
        <v>3310.4699999999939</v>
      </c>
      <c r="O56" s="82">
        <v>1.08</v>
      </c>
      <c r="P56" s="82">
        <f t="shared" si="40"/>
        <v>28.188000000000002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5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40"/>
        <v>27.927000000000003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6">
        <v>42545</v>
      </c>
      <c r="C58" s="259">
        <v>100</v>
      </c>
      <c r="D58" s="260">
        <v>25.25</v>
      </c>
      <c r="E58" s="260">
        <v>0</v>
      </c>
      <c r="F58" s="260">
        <f t="shared" ref="F58:F69" si="41">D58*C58+E58</f>
        <v>2525</v>
      </c>
      <c r="G58" s="576">
        <v>42577</v>
      </c>
      <c r="H58" s="265">
        <v>30</v>
      </c>
      <c r="I58" s="260">
        <v>25.81</v>
      </c>
      <c r="J58" s="260">
        <v>0.02</v>
      </c>
      <c r="K58" s="260">
        <f t="shared" ref="K58:K64" si="42">H58*I58-J58</f>
        <v>774.28</v>
      </c>
      <c r="L58" s="264">
        <v>42613</v>
      </c>
      <c r="M58" s="260">
        <v>90</v>
      </c>
      <c r="O58" s="82">
        <v>1.06</v>
      </c>
      <c r="P58" s="82">
        <f t="shared" si="40"/>
        <v>27.666000000000004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6">
        <v>42580</v>
      </c>
      <c r="C59" s="259">
        <v>30</v>
      </c>
      <c r="D59" s="260">
        <v>23.78</v>
      </c>
      <c r="E59" s="260">
        <v>0</v>
      </c>
      <c r="F59" s="260">
        <f t="shared" si="41"/>
        <v>713.40000000000009</v>
      </c>
      <c r="G59" s="576">
        <v>42597</v>
      </c>
      <c r="H59" s="265">
        <v>70</v>
      </c>
      <c r="I59" s="260">
        <v>22.94</v>
      </c>
      <c r="J59" s="260">
        <v>0.38</v>
      </c>
      <c r="K59" s="260">
        <f t="shared" si="42"/>
        <v>1605.42</v>
      </c>
      <c r="L59" s="264">
        <v>42704</v>
      </c>
      <c r="M59" s="260">
        <v>102</v>
      </c>
      <c r="O59" s="82">
        <v>1.05</v>
      </c>
      <c r="P59" s="82">
        <f t="shared" si="40"/>
        <v>27.405000000000001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6">
        <v>42586</v>
      </c>
      <c r="C60" s="259">
        <v>40</v>
      </c>
      <c r="D60" s="260">
        <v>22.65</v>
      </c>
      <c r="E60" s="260">
        <v>0</v>
      </c>
      <c r="F60" s="260">
        <f t="shared" si="41"/>
        <v>906</v>
      </c>
      <c r="G60" s="576">
        <v>42599</v>
      </c>
      <c r="H60" s="265">
        <v>30</v>
      </c>
      <c r="I60" s="260">
        <v>23.48</v>
      </c>
      <c r="J60" s="260">
        <v>0.02</v>
      </c>
      <c r="K60" s="260">
        <f t="shared" si="42"/>
        <v>704.38</v>
      </c>
      <c r="L60" s="259"/>
      <c r="M60" s="259"/>
      <c r="O60" s="82">
        <v>1.04</v>
      </c>
      <c r="P60" s="82">
        <f t="shared" si="40"/>
        <v>27.144000000000002</v>
      </c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6">
        <v>42586</v>
      </c>
      <c r="C61" s="259">
        <v>60</v>
      </c>
      <c r="D61" s="260">
        <v>22.65</v>
      </c>
      <c r="E61" s="260">
        <v>0</v>
      </c>
      <c r="F61" s="260">
        <f t="shared" si="41"/>
        <v>1359</v>
      </c>
      <c r="G61" s="576">
        <v>42621</v>
      </c>
      <c r="H61" s="265">
        <v>40</v>
      </c>
      <c r="I61" s="260">
        <v>26.28</v>
      </c>
      <c r="J61" s="260">
        <v>0.02</v>
      </c>
      <c r="K61" s="260">
        <f t="shared" si="42"/>
        <v>1051.18</v>
      </c>
      <c r="L61" s="259"/>
      <c r="M61" s="259"/>
      <c r="O61" s="82">
        <v>1.03</v>
      </c>
      <c r="P61" s="82">
        <f t="shared" si="40"/>
        <v>26.883000000000003</v>
      </c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6">
        <v>42586</v>
      </c>
      <c r="C62" s="259">
        <v>100</v>
      </c>
      <c r="D62" s="260">
        <v>20.92</v>
      </c>
      <c r="E62" s="260">
        <v>-0.5</v>
      </c>
      <c r="F62" s="260">
        <f t="shared" si="41"/>
        <v>2091.5</v>
      </c>
      <c r="G62" s="576">
        <v>42639</v>
      </c>
      <c r="H62" s="265">
        <v>100</v>
      </c>
      <c r="I62" s="260">
        <v>22.82</v>
      </c>
      <c r="J62" s="260">
        <v>0.05</v>
      </c>
      <c r="K62" s="260">
        <f t="shared" si="42"/>
        <v>2281.9499999999998</v>
      </c>
      <c r="L62" s="259"/>
      <c r="M62" s="259"/>
      <c r="O62" s="82">
        <v>1.02</v>
      </c>
      <c r="P62" s="82">
        <f t="shared" si="40"/>
        <v>26.622000000000003</v>
      </c>
      <c r="Q62" s="2"/>
      <c r="T62" s="92" t="s">
        <v>121</v>
      </c>
      <c r="U62" s="129" t="s">
        <v>447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6">
        <v>42626</v>
      </c>
      <c r="C63" s="259">
        <v>40</v>
      </c>
      <c r="D63" s="260">
        <v>24.58</v>
      </c>
      <c r="E63" s="260">
        <v>0</v>
      </c>
      <c r="F63" s="260">
        <f t="shared" si="41"/>
        <v>983.19999999999993</v>
      </c>
      <c r="G63" s="576">
        <v>42643</v>
      </c>
      <c r="H63" s="265">
        <v>60</v>
      </c>
      <c r="I63" s="260">
        <v>24.72</v>
      </c>
      <c r="J63" s="260">
        <v>0.03</v>
      </c>
      <c r="K63" s="260">
        <f t="shared" si="42"/>
        <v>1483.1699999999998</v>
      </c>
      <c r="L63" s="259"/>
      <c r="M63" s="259"/>
      <c r="O63" s="82">
        <v>1.01</v>
      </c>
      <c r="P63" s="82">
        <f t="shared" si="40"/>
        <v>26.361000000000001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6">
        <v>42639</v>
      </c>
      <c r="C64" s="259">
        <v>100</v>
      </c>
      <c r="D64" s="260">
        <v>22.28</v>
      </c>
      <c r="E64" s="260">
        <v>0</v>
      </c>
      <c r="F64" s="260">
        <f t="shared" si="41"/>
        <v>2228</v>
      </c>
      <c r="G64" s="576">
        <v>42663</v>
      </c>
      <c r="H64" s="265">
        <v>40</v>
      </c>
      <c r="I64" s="260">
        <v>24.78</v>
      </c>
      <c r="J64" s="260">
        <v>0.02</v>
      </c>
      <c r="K64" s="260">
        <f t="shared" si="42"/>
        <v>991.18000000000006</v>
      </c>
      <c r="L64" s="259"/>
      <c r="M64" s="259"/>
      <c r="O64" s="82">
        <v>1</v>
      </c>
      <c r="P64" s="82">
        <f t="shared" si="40"/>
        <v>26.1</v>
      </c>
      <c r="Q64" s="2"/>
      <c r="T64" s="92" t="s">
        <v>104</v>
      </c>
      <c r="U64" s="129" t="s">
        <v>700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6">
        <v>42643</v>
      </c>
      <c r="C65" s="259">
        <v>60</v>
      </c>
      <c r="D65" s="260">
        <v>24.3</v>
      </c>
      <c r="E65" s="260">
        <v>0</v>
      </c>
      <c r="F65" s="260">
        <f t="shared" si="41"/>
        <v>1458</v>
      </c>
      <c r="G65" s="576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40"/>
        <v>25.839000000000002</v>
      </c>
      <c r="Q65" s="2"/>
      <c r="T65" s="92" t="s">
        <v>105</v>
      </c>
      <c r="U65" s="129" t="s">
        <v>503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>
        <v>42655</v>
      </c>
      <c r="C66" s="259">
        <v>100</v>
      </c>
      <c r="D66" s="260">
        <v>22.56</v>
      </c>
      <c r="E66" s="260">
        <v>0</v>
      </c>
      <c r="F66" s="260">
        <f t="shared" si="41"/>
        <v>2256</v>
      </c>
      <c r="G66" s="576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40"/>
        <v>25.577999999999999</v>
      </c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>
        <v>42674</v>
      </c>
      <c r="C67" s="259">
        <v>40</v>
      </c>
      <c r="D67" s="260">
        <v>24.16</v>
      </c>
      <c r="E67" s="260">
        <v>-0.1</v>
      </c>
      <c r="F67" s="260">
        <f t="shared" si="41"/>
        <v>966.3</v>
      </c>
      <c r="G67" s="576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40"/>
        <v>25.317</v>
      </c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6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40"/>
        <v>25.056000000000001</v>
      </c>
      <c r="T68" s="92" t="s">
        <v>107</v>
      </c>
      <c r="U68" s="129" t="s">
        <v>701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>
        <v>42677</v>
      </c>
      <c r="C69" s="259">
        <v>100</v>
      </c>
      <c r="D69" s="260">
        <v>22.38</v>
      </c>
      <c r="E69" s="260">
        <v>0</v>
      </c>
      <c r="F69" s="260">
        <f t="shared" si="41"/>
        <v>2238</v>
      </c>
      <c r="G69" s="576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40"/>
        <v>24.795000000000002</v>
      </c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40"/>
        <v>24.533999999999999</v>
      </c>
      <c r="T70" s="92" t="s">
        <v>111</v>
      </c>
      <c r="U70" s="129">
        <v>-1.19</v>
      </c>
    </row>
    <row r="71" spans="1:31" x14ac:dyDescent="0.25">
      <c r="A71" s="259"/>
      <c r="B71" s="592">
        <v>42716</v>
      </c>
      <c r="C71" s="593">
        <v>100</v>
      </c>
      <c r="D71" s="594">
        <v>29.49</v>
      </c>
      <c r="E71" s="594">
        <v>0</v>
      </c>
      <c r="F71" s="594">
        <f>D71*C71+E71</f>
        <v>2949</v>
      </c>
      <c r="G71" s="592">
        <v>42720</v>
      </c>
      <c r="H71" s="595">
        <v>100</v>
      </c>
      <c r="I71" s="594">
        <v>29.36</v>
      </c>
      <c r="J71" s="594">
        <v>0.06</v>
      </c>
      <c r="K71" s="594">
        <f>I71*H71-J71</f>
        <v>2935.94</v>
      </c>
      <c r="L71" s="596"/>
      <c r="M71" s="594"/>
      <c r="O71" s="82">
        <v>0.93</v>
      </c>
      <c r="P71" s="82">
        <f t="shared" si="40"/>
        <v>24.273000000000003</v>
      </c>
      <c r="T71" s="92" t="s">
        <v>108</v>
      </c>
      <c r="U71" s="129" t="s">
        <v>597</v>
      </c>
    </row>
    <row r="72" spans="1:31" x14ac:dyDescent="0.25">
      <c r="A72" s="259"/>
      <c r="B72" s="592">
        <v>42716</v>
      </c>
      <c r="C72" s="593">
        <v>100</v>
      </c>
      <c r="D72" s="594">
        <v>29.08</v>
      </c>
      <c r="E72" s="594">
        <v>0</v>
      </c>
      <c r="F72" s="594">
        <f>D72*C72+E72</f>
        <v>2908</v>
      </c>
      <c r="G72" s="592">
        <v>42724</v>
      </c>
      <c r="H72" s="595">
        <v>100</v>
      </c>
      <c r="I72" s="594">
        <v>28.98</v>
      </c>
      <c r="J72" s="594">
        <v>0.06</v>
      </c>
      <c r="K72" s="594">
        <f>I72*H72-J72</f>
        <v>2897.94</v>
      </c>
      <c r="L72" s="596"/>
      <c r="M72" s="594"/>
      <c r="O72" s="82">
        <v>0.92</v>
      </c>
      <c r="P72" s="82">
        <f t="shared" si="40"/>
        <v>24.012000000000004</v>
      </c>
    </row>
    <row r="73" spans="1:31" x14ac:dyDescent="0.25">
      <c r="A73" s="259"/>
      <c r="B73" s="592">
        <v>42723</v>
      </c>
      <c r="C73" s="593">
        <v>100</v>
      </c>
      <c r="D73" s="594">
        <v>28.28</v>
      </c>
      <c r="E73" s="594">
        <v>0</v>
      </c>
      <c r="F73" s="594">
        <f>D73*C73+E73</f>
        <v>2828</v>
      </c>
      <c r="G73" s="592">
        <v>42755</v>
      </c>
      <c r="H73" s="595">
        <v>100</v>
      </c>
      <c r="I73" s="594">
        <v>34.28</v>
      </c>
      <c r="J73" s="594">
        <v>7.0000000000000007E-2</v>
      </c>
      <c r="K73" s="594">
        <f>I73*H73-J73</f>
        <v>3427.93</v>
      </c>
      <c r="L73" s="593"/>
      <c r="M73" s="593"/>
      <c r="O73" s="82">
        <v>0.91</v>
      </c>
      <c r="P73" s="82">
        <f t="shared" si="40"/>
        <v>23.751000000000001</v>
      </c>
    </row>
    <row r="74" spans="1:31" x14ac:dyDescent="0.25">
      <c r="A74" s="259"/>
      <c r="B74" s="592"/>
      <c r="C74" s="593"/>
      <c r="D74" s="594"/>
      <c r="E74" s="594"/>
      <c r="F74" s="594"/>
      <c r="G74" s="592"/>
      <c r="H74" s="595"/>
      <c r="I74" s="594"/>
      <c r="J74" s="594"/>
      <c r="K74" s="594"/>
      <c r="L74" s="593"/>
      <c r="M74" s="593"/>
      <c r="O74" s="82">
        <v>0.9</v>
      </c>
      <c r="P74" s="82">
        <f t="shared" si="40"/>
        <v>23.490000000000002</v>
      </c>
    </row>
    <row r="75" spans="1:31" x14ac:dyDescent="0.25">
      <c r="A75" s="259"/>
      <c r="B75" s="592"/>
      <c r="C75" s="593"/>
      <c r="D75" s="594"/>
      <c r="E75" s="594"/>
      <c r="F75" s="594"/>
      <c r="G75" s="592"/>
      <c r="H75" s="595"/>
      <c r="I75" s="594"/>
      <c r="J75" s="594"/>
      <c r="K75" s="594"/>
      <c r="L75" s="593"/>
      <c r="M75" s="593"/>
    </row>
    <row r="76" spans="1:31" x14ac:dyDescent="0.25">
      <c r="A76" s="259"/>
      <c r="B76" s="592"/>
      <c r="C76" s="593"/>
      <c r="D76" s="594"/>
      <c r="E76" s="594"/>
      <c r="F76" s="594"/>
      <c r="G76" s="592"/>
      <c r="H76" s="595"/>
      <c r="I76" s="594"/>
      <c r="J76" s="594"/>
      <c r="K76" s="594"/>
      <c r="L76" s="593"/>
      <c r="M76" s="593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2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7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4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545</v>
      </c>
    </row>
    <row r="92" spans="1:13" x14ac:dyDescent="0.25">
      <c r="B92" s="650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50">
        <v>42545</v>
      </c>
      <c r="C93" s="377">
        <v>100</v>
      </c>
      <c r="D93" s="378">
        <v>25.25</v>
      </c>
      <c r="E93" s="378">
        <v>25.43</v>
      </c>
      <c r="F93" s="378">
        <f t="shared" ref="F93:F154" si="43">C93*(E93-D93)</f>
        <v>17.999999999999972</v>
      </c>
      <c r="G93" s="378">
        <f t="shared" ref="G93:G154" si="44">D93*C93</f>
        <v>2525</v>
      </c>
      <c r="H93" s="379">
        <f t="shared" ref="H93:H154" si="45">(E93-D93)/D93</f>
        <v>7.1287128712871177E-3</v>
      </c>
      <c r="I93" s="378"/>
      <c r="J93" s="378"/>
    </row>
    <row r="94" spans="1:13" x14ac:dyDescent="0.25">
      <c r="B94" s="650">
        <v>42548</v>
      </c>
      <c r="C94" s="377">
        <v>100</v>
      </c>
      <c r="D94" s="378">
        <v>25.25</v>
      </c>
      <c r="E94" s="378">
        <v>23.48</v>
      </c>
      <c r="F94" s="378">
        <f t="shared" si="43"/>
        <v>-176.99999999999994</v>
      </c>
      <c r="G94" s="378">
        <f t="shared" si="44"/>
        <v>2525</v>
      </c>
      <c r="H94" s="379">
        <f t="shared" si="45"/>
        <v>-7.0099009900990078E-2</v>
      </c>
      <c r="I94" s="378"/>
      <c r="J94" s="378"/>
    </row>
    <row r="95" spans="1:13" x14ac:dyDescent="0.25">
      <c r="B95" s="650">
        <v>42549</v>
      </c>
      <c r="C95" s="377">
        <v>100</v>
      </c>
      <c r="D95" s="378">
        <v>25.25</v>
      </c>
      <c r="E95" s="378">
        <v>24.06</v>
      </c>
      <c r="F95" s="378">
        <f t="shared" si="43"/>
        <v>-119.00000000000013</v>
      </c>
      <c r="G95" s="378">
        <f t="shared" si="44"/>
        <v>2525</v>
      </c>
      <c r="H95" s="379">
        <f t="shared" si="45"/>
        <v>-4.7128712871287178E-2</v>
      </c>
      <c r="I95" s="378"/>
      <c r="J95" s="378"/>
    </row>
    <row r="96" spans="1:13" x14ac:dyDescent="0.25">
      <c r="B96" s="650">
        <v>42556</v>
      </c>
      <c r="C96" s="377">
        <v>100</v>
      </c>
      <c r="D96" s="378">
        <v>25.25</v>
      </c>
      <c r="E96" s="378">
        <v>23.54</v>
      </c>
      <c r="F96" s="378">
        <f t="shared" si="43"/>
        <v>-171.00000000000009</v>
      </c>
      <c r="G96" s="378">
        <f t="shared" si="44"/>
        <v>2525</v>
      </c>
      <c r="H96" s="379">
        <f t="shared" si="45"/>
        <v>-6.7722772277227755E-2</v>
      </c>
      <c r="I96" s="378"/>
      <c r="J96" s="378"/>
    </row>
    <row r="97" spans="2:10" x14ac:dyDescent="0.25">
      <c r="B97" s="650">
        <v>42557</v>
      </c>
      <c r="C97" s="377">
        <v>100</v>
      </c>
      <c r="D97" s="378">
        <v>25.25</v>
      </c>
      <c r="E97" s="378">
        <v>23.75</v>
      </c>
      <c r="F97" s="378">
        <f t="shared" si="43"/>
        <v>-150</v>
      </c>
      <c r="G97" s="378">
        <f t="shared" si="44"/>
        <v>2525</v>
      </c>
      <c r="H97" s="379">
        <f t="shared" si="45"/>
        <v>-5.9405940594059403E-2</v>
      </c>
      <c r="I97" s="378"/>
      <c r="J97" s="378"/>
    </row>
    <row r="98" spans="2:10" x14ac:dyDescent="0.25">
      <c r="B98" s="650">
        <v>42559</v>
      </c>
      <c r="C98" s="377">
        <v>100</v>
      </c>
      <c r="D98" s="378">
        <v>25.25</v>
      </c>
      <c r="E98" s="378">
        <v>24.86</v>
      </c>
      <c r="F98" s="378">
        <f t="shared" si="43"/>
        <v>-39.000000000000057</v>
      </c>
      <c r="G98" s="378">
        <f t="shared" si="44"/>
        <v>2525</v>
      </c>
      <c r="H98" s="379">
        <f t="shared" si="45"/>
        <v>-1.5445544554455468E-2</v>
      </c>
      <c r="I98" s="378"/>
      <c r="J98" s="378"/>
    </row>
    <row r="99" spans="2:10" x14ac:dyDescent="0.25">
      <c r="B99" s="650">
        <v>42562</v>
      </c>
      <c r="C99" s="377">
        <v>100</v>
      </c>
      <c r="D99" s="378">
        <v>25.25</v>
      </c>
      <c r="E99" s="378">
        <v>24.67</v>
      </c>
      <c r="F99" s="378">
        <f t="shared" si="43"/>
        <v>-57.999999999999829</v>
      </c>
      <c r="G99" s="378">
        <f t="shared" si="44"/>
        <v>2525</v>
      </c>
      <c r="H99" s="379">
        <f t="shared" si="45"/>
        <v>-2.2970297029702904E-2</v>
      </c>
      <c r="I99" s="378"/>
      <c r="J99" s="378"/>
    </row>
    <row r="100" spans="2:10" x14ac:dyDescent="0.25">
      <c r="B100" s="650">
        <v>42563</v>
      </c>
      <c r="C100" s="377">
        <v>100</v>
      </c>
      <c r="D100" s="378">
        <v>25.25</v>
      </c>
      <c r="E100" s="378">
        <v>26.03</v>
      </c>
      <c r="F100" s="378">
        <f t="shared" si="43"/>
        <v>78.000000000000114</v>
      </c>
      <c r="G100" s="378">
        <f t="shared" si="44"/>
        <v>2525</v>
      </c>
      <c r="H100" s="379">
        <f t="shared" si="45"/>
        <v>3.0891089108910936E-2</v>
      </c>
      <c r="I100" s="378"/>
      <c r="J100" s="378"/>
    </row>
    <row r="101" spans="2:10" x14ac:dyDescent="0.25">
      <c r="B101" s="650">
        <v>42569</v>
      </c>
      <c r="C101" s="377">
        <v>100</v>
      </c>
      <c r="D101" s="378">
        <v>25.25</v>
      </c>
      <c r="E101" s="378">
        <v>27.69</v>
      </c>
      <c r="F101" s="378">
        <f t="shared" si="43"/>
        <v>244.00000000000011</v>
      </c>
      <c r="G101" s="378">
        <f t="shared" si="44"/>
        <v>2525</v>
      </c>
      <c r="H101" s="379">
        <f t="shared" si="45"/>
        <v>9.6633663366336678E-2</v>
      </c>
      <c r="I101" s="465">
        <v>23</v>
      </c>
      <c r="J101" s="378"/>
    </row>
    <row r="102" spans="2:10" x14ac:dyDescent="0.25">
      <c r="B102" s="650">
        <v>42570</v>
      </c>
      <c r="C102" s="377">
        <v>100</v>
      </c>
      <c r="D102" s="378">
        <v>25.25</v>
      </c>
      <c r="E102" s="378">
        <v>26.55</v>
      </c>
      <c r="F102" s="378">
        <f t="shared" si="43"/>
        <v>130.00000000000006</v>
      </c>
      <c r="G102" s="378">
        <f t="shared" si="44"/>
        <v>2525</v>
      </c>
      <c r="H102" s="379">
        <f t="shared" si="45"/>
        <v>5.148514851485151E-2</v>
      </c>
      <c r="I102" s="378"/>
      <c r="J102" s="378"/>
    </row>
    <row r="103" spans="2:10" x14ac:dyDescent="0.25">
      <c r="B103" s="650">
        <v>42571</v>
      </c>
      <c r="C103" s="377">
        <v>100</v>
      </c>
      <c r="D103" s="378">
        <v>25.25</v>
      </c>
      <c r="E103" s="378">
        <v>26.61</v>
      </c>
      <c r="F103" s="378">
        <f t="shared" si="43"/>
        <v>135.99999999999994</v>
      </c>
      <c r="G103" s="378">
        <f t="shared" si="44"/>
        <v>2525</v>
      </c>
      <c r="H103" s="379">
        <f t="shared" si="45"/>
        <v>5.386138613861384E-2</v>
      </c>
      <c r="I103" s="378"/>
      <c r="J103" s="378"/>
    </row>
    <row r="104" spans="2:10" x14ac:dyDescent="0.25">
      <c r="B104" s="650">
        <v>42572</v>
      </c>
      <c r="C104" s="377">
        <v>100</v>
      </c>
      <c r="D104" s="378">
        <v>25.25</v>
      </c>
      <c r="E104" s="378">
        <v>26.29</v>
      </c>
      <c r="F104" s="378">
        <f t="shared" si="43"/>
        <v>103.99999999999991</v>
      </c>
      <c r="G104" s="378">
        <f t="shared" si="44"/>
        <v>2525</v>
      </c>
      <c r="H104" s="379">
        <f t="shared" si="45"/>
        <v>4.1188118811881155E-2</v>
      </c>
      <c r="I104" s="378"/>
      <c r="J104" s="378"/>
    </row>
    <row r="105" spans="2:10" x14ac:dyDescent="0.25">
      <c r="B105" s="650">
        <v>42575</v>
      </c>
      <c r="C105" s="377">
        <v>100</v>
      </c>
      <c r="D105" s="378">
        <v>25.25</v>
      </c>
      <c r="E105" s="378">
        <v>25.18</v>
      </c>
      <c r="F105" s="378">
        <f t="shared" si="43"/>
        <v>-7.0000000000000284</v>
      </c>
      <c r="G105" s="378">
        <f t="shared" si="44"/>
        <v>2525</v>
      </c>
      <c r="H105" s="379">
        <f t="shared" si="45"/>
        <v>-2.7722772277227834E-3</v>
      </c>
      <c r="I105" s="378"/>
      <c r="J105" s="378"/>
    </row>
    <row r="106" spans="2:10" x14ac:dyDescent="0.25">
      <c r="B106" s="650">
        <v>42576</v>
      </c>
      <c r="C106" s="377">
        <v>100</v>
      </c>
      <c r="D106" s="378">
        <v>25.25</v>
      </c>
      <c r="E106" s="378">
        <v>25.33</v>
      </c>
      <c r="F106" s="378">
        <f t="shared" si="43"/>
        <v>7.9999999999998295</v>
      </c>
      <c r="G106" s="378">
        <f t="shared" si="44"/>
        <v>2525</v>
      </c>
      <c r="H106" s="379">
        <f t="shared" si="45"/>
        <v>3.1683168316831009E-3</v>
      </c>
      <c r="I106" s="378"/>
      <c r="J106" s="378"/>
    </row>
    <row r="107" spans="2:10" x14ac:dyDescent="0.25">
      <c r="B107" s="650">
        <v>42577</v>
      </c>
      <c r="C107" s="377">
        <v>70</v>
      </c>
      <c r="D107" s="378">
        <v>25.010300000000001</v>
      </c>
      <c r="E107" s="378">
        <v>25.8</v>
      </c>
      <c r="F107" s="378">
        <f t="shared" si="43"/>
        <v>55.278999999999989</v>
      </c>
      <c r="G107" s="378">
        <f t="shared" si="44"/>
        <v>1750.721</v>
      </c>
      <c r="H107" s="379">
        <f t="shared" si="45"/>
        <v>3.1574991103665281E-2</v>
      </c>
      <c r="I107" s="378"/>
      <c r="J107" s="378"/>
    </row>
    <row r="108" spans="2:10" x14ac:dyDescent="0.25">
      <c r="B108" s="650">
        <v>42580</v>
      </c>
      <c r="C108" s="377">
        <v>100</v>
      </c>
      <c r="D108" s="378">
        <v>24.641200000000001</v>
      </c>
      <c r="E108" s="378">
        <v>24.68</v>
      </c>
      <c r="F108" s="378">
        <f t="shared" si="43"/>
        <v>3.8799999999998391</v>
      </c>
      <c r="G108" s="378">
        <f t="shared" si="44"/>
        <v>2464.1200000000003</v>
      </c>
      <c r="H108" s="379">
        <f t="shared" si="45"/>
        <v>1.5745986396765738E-3</v>
      </c>
      <c r="I108" s="378"/>
      <c r="J108" s="378"/>
    </row>
    <row r="109" spans="2:10" x14ac:dyDescent="0.25">
      <c r="B109" s="650">
        <v>42585</v>
      </c>
      <c r="C109" s="377">
        <v>100</v>
      </c>
      <c r="D109" s="378">
        <v>24.641200000000001</v>
      </c>
      <c r="E109" s="378">
        <v>24.49</v>
      </c>
      <c r="F109" s="378">
        <f t="shared" si="43"/>
        <v>-15.120000000000289</v>
      </c>
      <c r="G109" s="378">
        <f t="shared" si="44"/>
        <v>2464.1200000000003</v>
      </c>
      <c r="H109" s="379">
        <f t="shared" si="45"/>
        <v>-6.1360648020389787E-3</v>
      </c>
      <c r="I109" s="378"/>
      <c r="J109" s="378"/>
    </row>
    <row r="110" spans="2:10" x14ac:dyDescent="0.25">
      <c r="B110" s="650">
        <v>42586</v>
      </c>
      <c r="C110" s="377">
        <v>200</v>
      </c>
      <c r="D110" s="378">
        <v>23.6431</v>
      </c>
      <c r="E110" s="378">
        <v>21.43</v>
      </c>
      <c r="F110" s="378">
        <f t="shared" si="43"/>
        <v>-442.62000000000012</v>
      </c>
      <c r="G110" s="378">
        <f t="shared" si="44"/>
        <v>4728.62</v>
      </c>
      <c r="H110" s="379">
        <f t="shared" si="45"/>
        <v>-9.360447657033133E-2</v>
      </c>
      <c r="I110" s="378"/>
      <c r="J110" s="378"/>
    </row>
    <row r="111" spans="2:10" x14ac:dyDescent="0.25">
      <c r="B111" s="650">
        <v>42586</v>
      </c>
      <c r="C111" s="377">
        <v>300</v>
      </c>
      <c r="D111" s="378">
        <v>22.735399999999998</v>
      </c>
      <c r="E111" s="378">
        <v>21.43</v>
      </c>
      <c r="F111" s="378">
        <f t="shared" si="43"/>
        <v>-391.61999999999966</v>
      </c>
      <c r="G111" s="378">
        <f t="shared" si="44"/>
        <v>6820.62</v>
      </c>
      <c r="H111" s="379">
        <f t="shared" si="45"/>
        <v>-5.7417067656605945E-2</v>
      </c>
      <c r="I111" s="378"/>
      <c r="J111" s="378"/>
    </row>
    <row r="112" spans="2:10" x14ac:dyDescent="0.25">
      <c r="B112" s="650">
        <v>42591</v>
      </c>
      <c r="C112" s="377">
        <v>300</v>
      </c>
      <c r="D112" s="378">
        <v>22.735399999999998</v>
      </c>
      <c r="E112" s="378">
        <v>22.12</v>
      </c>
      <c r="F112" s="378">
        <f t="shared" si="43"/>
        <v>-184.61999999999927</v>
      </c>
      <c r="G112" s="378">
        <f t="shared" si="44"/>
        <v>6820.62</v>
      </c>
      <c r="H112" s="379">
        <f t="shared" si="45"/>
        <v>-2.7067920511624936E-2</v>
      </c>
      <c r="I112" s="378"/>
      <c r="J112" s="378"/>
    </row>
    <row r="113" spans="2:10" x14ac:dyDescent="0.25">
      <c r="B113" s="650">
        <v>42593</v>
      </c>
      <c r="C113" s="377">
        <v>300</v>
      </c>
      <c r="D113" s="378">
        <v>22.735399999999998</v>
      </c>
      <c r="E113" s="378">
        <v>21.57</v>
      </c>
      <c r="F113" s="378">
        <f t="shared" si="43"/>
        <v>-349.61999999999944</v>
      </c>
      <c r="G113" s="378">
        <f t="shared" si="44"/>
        <v>6820.62</v>
      </c>
      <c r="H113" s="379">
        <f t="shared" si="45"/>
        <v>-5.1259269685160515E-2</v>
      </c>
      <c r="I113" s="378"/>
      <c r="J113" s="378"/>
    </row>
    <row r="114" spans="2:10" x14ac:dyDescent="0.25">
      <c r="B114" s="650">
        <v>42597</v>
      </c>
      <c r="C114" s="377">
        <v>230</v>
      </c>
      <c r="D114" s="378">
        <v>22.674800000000001</v>
      </c>
      <c r="E114" s="378">
        <v>23.2</v>
      </c>
      <c r="F114" s="378">
        <f t="shared" si="43"/>
        <v>120.79599999999957</v>
      </c>
      <c r="G114" s="378">
        <f t="shared" si="44"/>
        <v>5215.2040000000006</v>
      </c>
      <c r="H114" s="379">
        <f t="shared" si="45"/>
        <v>2.3162277065288252E-2</v>
      </c>
      <c r="I114" s="378"/>
      <c r="J114" s="378"/>
    </row>
    <row r="115" spans="2:10" x14ac:dyDescent="0.25">
      <c r="B115" s="650">
        <v>42599</v>
      </c>
      <c r="C115" s="377">
        <v>200</v>
      </c>
      <c r="D115" s="378">
        <v>22.554099999999998</v>
      </c>
      <c r="E115" s="378">
        <v>23.31</v>
      </c>
      <c r="F115" s="378">
        <f t="shared" si="43"/>
        <v>151.18000000000009</v>
      </c>
      <c r="G115" s="378">
        <f t="shared" si="44"/>
        <v>4510.82</v>
      </c>
      <c r="H115" s="379">
        <f t="shared" si="45"/>
        <v>3.3514970670521123E-2</v>
      </c>
      <c r="I115" s="378">
        <v>22</v>
      </c>
      <c r="J115" s="378"/>
    </row>
    <row r="116" spans="2:10" x14ac:dyDescent="0.25">
      <c r="B116" s="650">
        <v>42600</v>
      </c>
      <c r="C116" s="377">
        <v>200</v>
      </c>
      <c r="D116" s="378">
        <v>22.554099999999998</v>
      </c>
      <c r="E116" s="378">
        <v>22.74</v>
      </c>
      <c r="F116" s="378">
        <f t="shared" si="43"/>
        <v>37.180000000000035</v>
      </c>
      <c r="G116" s="378">
        <f t="shared" si="44"/>
        <v>4510.82</v>
      </c>
      <c r="H116" s="379">
        <f t="shared" si="45"/>
        <v>8.2424038201480074E-3</v>
      </c>
      <c r="I116" s="378"/>
      <c r="J116" s="378"/>
    </row>
    <row r="117" spans="2:10" x14ac:dyDescent="0.25">
      <c r="B117" s="650">
        <v>42601</v>
      </c>
      <c r="C117" s="377">
        <v>200</v>
      </c>
      <c r="D117" s="378">
        <v>22.554099999999998</v>
      </c>
      <c r="E117" s="378">
        <v>23.02</v>
      </c>
      <c r="F117" s="378">
        <f t="shared" si="43"/>
        <v>93.180000000000263</v>
      </c>
      <c r="G117" s="378">
        <f t="shared" si="44"/>
        <v>4510.82</v>
      </c>
      <c r="H117" s="379">
        <f t="shared" si="45"/>
        <v>2.06569980624366E-2</v>
      </c>
      <c r="I117" s="378"/>
      <c r="J117" s="378"/>
    </row>
    <row r="118" spans="2:10" x14ac:dyDescent="0.25">
      <c r="B118" s="650">
        <v>42604</v>
      </c>
      <c r="C118" s="377">
        <v>200</v>
      </c>
      <c r="D118" s="378">
        <v>22.554099999999998</v>
      </c>
      <c r="E118" s="378">
        <v>23.69</v>
      </c>
      <c r="F118" s="378">
        <f t="shared" si="43"/>
        <v>227.1800000000006</v>
      </c>
      <c r="G118" s="378">
        <f t="shared" si="44"/>
        <v>4510.82</v>
      </c>
      <c r="H118" s="379">
        <f t="shared" si="45"/>
        <v>5.0363348570769975E-2</v>
      </c>
      <c r="I118" s="378"/>
      <c r="J118" s="378"/>
    </row>
    <row r="119" spans="2:10" x14ac:dyDescent="0.25">
      <c r="B119" s="650">
        <v>42605</v>
      </c>
      <c r="C119" s="377">
        <v>200</v>
      </c>
      <c r="D119" s="378">
        <v>22.554099999999998</v>
      </c>
      <c r="E119" s="378">
        <v>24.83</v>
      </c>
      <c r="F119" s="378">
        <f t="shared" si="43"/>
        <v>455.18</v>
      </c>
      <c r="G119" s="378">
        <f t="shared" si="44"/>
        <v>4510.82</v>
      </c>
      <c r="H119" s="379">
        <f t="shared" si="45"/>
        <v>0.10090848227151605</v>
      </c>
      <c r="I119" s="378"/>
      <c r="J119" s="378"/>
    </row>
    <row r="120" spans="2:10" x14ac:dyDescent="0.25">
      <c r="B120" s="650">
        <v>42606</v>
      </c>
      <c r="C120" s="377">
        <v>200</v>
      </c>
      <c r="D120" s="378">
        <v>22.554099999999998</v>
      </c>
      <c r="E120" s="378">
        <v>24.04</v>
      </c>
      <c r="F120" s="378">
        <f t="shared" si="43"/>
        <v>297.18000000000018</v>
      </c>
      <c r="G120" s="378">
        <f t="shared" si="44"/>
        <v>4510.82</v>
      </c>
      <c r="H120" s="379">
        <f t="shared" si="45"/>
        <v>6.588159137363056E-2</v>
      </c>
      <c r="I120" s="378"/>
      <c r="J120" s="378"/>
    </row>
    <row r="121" spans="2:10" x14ac:dyDescent="0.25">
      <c r="B121" s="650">
        <v>42607</v>
      </c>
      <c r="C121" s="377">
        <v>200</v>
      </c>
      <c r="D121" s="378">
        <v>22.554099999999998</v>
      </c>
      <c r="E121" s="378">
        <v>24.23</v>
      </c>
      <c r="F121" s="378">
        <f t="shared" si="43"/>
        <v>335.1800000000004</v>
      </c>
      <c r="G121" s="378">
        <f t="shared" si="44"/>
        <v>4510.82</v>
      </c>
      <c r="H121" s="379">
        <f t="shared" si="45"/>
        <v>7.4305780323754983E-2</v>
      </c>
      <c r="I121" s="378"/>
      <c r="J121" s="378"/>
    </row>
    <row r="122" spans="2:10" x14ac:dyDescent="0.25">
      <c r="B122" s="650">
        <v>42608</v>
      </c>
      <c r="C122" s="377">
        <v>200</v>
      </c>
      <c r="D122" s="378">
        <v>22.554099999999998</v>
      </c>
      <c r="E122" s="378">
        <v>23.98</v>
      </c>
      <c r="F122" s="378">
        <f t="shared" si="43"/>
        <v>285.1800000000004</v>
      </c>
      <c r="G122" s="378">
        <f t="shared" si="44"/>
        <v>4510.82</v>
      </c>
      <c r="H122" s="379">
        <f t="shared" si="45"/>
        <v>6.3221321178854498E-2</v>
      </c>
      <c r="I122" s="378"/>
      <c r="J122" s="378"/>
    </row>
    <row r="123" spans="2:10" x14ac:dyDescent="0.25">
      <c r="B123" s="650">
        <v>42611</v>
      </c>
      <c r="C123" s="377">
        <v>200</v>
      </c>
      <c r="D123" s="378">
        <v>22.554099999999998</v>
      </c>
      <c r="E123" s="378">
        <v>24.98</v>
      </c>
      <c r="F123" s="378">
        <f t="shared" si="43"/>
        <v>485.1800000000004</v>
      </c>
      <c r="G123" s="378">
        <f t="shared" si="44"/>
        <v>4510.82</v>
      </c>
      <c r="H123" s="379">
        <f t="shared" si="45"/>
        <v>0.10755915775845644</v>
      </c>
      <c r="I123" s="378"/>
      <c r="J123" s="378"/>
    </row>
    <row r="124" spans="2:10" x14ac:dyDescent="0.25">
      <c r="B124" s="650">
        <v>42612</v>
      </c>
      <c r="C124" s="377">
        <v>200</v>
      </c>
      <c r="D124" s="378">
        <v>22.554099999999998</v>
      </c>
      <c r="E124" s="378">
        <v>26.17</v>
      </c>
      <c r="F124" s="378">
        <f t="shared" si="43"/>
        <v>723.18000000000075</v>
      </c>
      <c r="G124" s="378">
        <f t="shared" si="44"/>
        <v>4510.82</v>
      </c>
      <c r="H124" s="379">
        <f t="shared" si="45"/>
        <v>0.16032118328818279</v>
      </c>
      <c r="I124" s="378"/>
      <c r="J124" s="378"/>
    </row>
    <row r="125" spans="2:10" x14ac:dyDescent="0.25">
      <c r="B125" s="650">
        <v>42614</v>
      </c>
      <c r="C125" s="377">
        <v>200</v>
      </c>
      <c r="D125" s="378">
        <v>22.104099999999999</v>
      </c>
      <c r="E125" s="378">
        <v>25.6</v>
      </c>
      <c r="F125" s="378">
        <f t="shared" si="43"/>
        <v>699.18000000000052</v>
      </c>
      <c r="G125" s="378">
        <f t="shared" si="44"/>
        <v>4420.82</v>
      </c>
      <c r="H125" s="379">
        <f t="shared" si="45"/>
        <v>0.15815617917038027</v>
      </c>
      <c r="I125" s="378" t="s">
        <v>187</v>
      </c>
      <c r="J125" s="378"/>
    </row>
    <row r="126" spans="2:10" x14ac:dyDescent="0.25">
      <c r="B126" s="650">
        <v>42615</v>
      </c>
      <c r="C126" s="377">
        <v>200</v>
      </c>
      <c r="D126" s="378">
        <v>22.104099999999999</v>
      </c>
      <c r="E126" s="378">
        <v>25.94</v>
      </c>
      <c r="F126" s="378">
        <f t="shared" si="43"/>
        <v>767.18000000000052</v>
      </c>
      <c r="G126" s="378">
        <f t="shared" si="44"/>
        <v>4420.82</v>
      </c>
      <c r="H126" s="379">
        <f t="shared" si="45"/>
        <v>0.17353794092498687</v>
      </c>
      <c r="I126" s="378"/>
      <c r="J126" s="378"/>
    </row>
    <row r="127" spans="2:10" x14ac:dyDescent="0.25">
      <c r="B127" s="650">
        <v>42619</v>
      </c>
      <c r="C127" s="377">
        <v>200</v>
      </c>
      <c r="D127" s="378">
        <v>22.104099999999999</v>
      </c>
      <c r="E127" s="378">
        <v>25.65</v>
      </c>
      <c r="F127" s="378">
        <f t="shared" si="43"/>
        <v>709.18</v>
      </c>
      <c r="G127" s="378">
        <f t="shared" si="44"/>
        <v>4420.82</v>
      </c>
      <c r="H127" s="379">
        <f t="shared" si="45"/>
        <v>0.1604182029578223</v>
      </c>
      <c r="I127" s="378"/>
      <c r="J127" s="378"/>
    </row>
    <row r="128" spans="2:10" x14ac:dyDescent="0.25">
      <c r="B128" s="650">
        <v>42620</v>
      </c>
      <c r="C128" s="377">
        <v>200</v>
      </c>
      <c r="D128" s="378">
        <v>22.1</v>
      </c>
      <c r="E128" s="378">
        <v>25.53</v>
      </c>
      <c r="F128" s="378">
        <f t="shared" si="43"/>
        <v>686</v>
      </c>
      <c r="G128" s="378">
        <f t="shared" si="44"/>
        <v>4420</v>
      </c>
      <c r="H128" s="379">
        <f t="shared" si="45"/>
        <v>0.15520361990950224</v>
      </c>
      <c r="I128" s="378"/>
      <c r="J128" s="378"/>
    </row>
    <row r="129" spans="2:10" x14ac:dyDescent="0.25">
      <c r="B129" s="650">
        <v>42621</v>
      </c>
      <c r="C129" s="377">
        <v>160</v>
      </c>
      <c r="D129" s="378">
        <v>21.060300000000002</v>
      </c>
      <c r="E129" s="378">
        <v>25.96</v>
      </c>
      <c r="F129" s="378">
        <f t="shared" si="43"/>
        <v>783.95199999999988</v>
      </c>
      <c r="G129" s="378">
        <f t="shared" si="44"/>
        <v>3369.6480000000001</v>
      </c>
      <c r="H129" s="379">
        <f t="shared" si="45"/>
        <v>0.23265100687074727</v>
      </c>
      <c r="I129" s="378"/>
      <c r="J129" s="378"/>
    </row>
    <row r="130" spans="2:10" x14ac:dyDescent="0.25">
      <c r="B130" s="650">
        <v>42622</v>
      </c>
      <c r="C130" s="377">
        <v>160</v>
      </c>
      <c r="D130" s="378">
        <v>21.060300000000002</v>
      </c>
      <c r="E130" s="378">
        <v>25</v>
      </c>
      <c r="F130" s="378">
        <f t="shared" si="43"/>
        <v>630.35199999999975</v>
      </c>
      <c r="G130" s="378">
        <f t="shared" si="44"/>
        <v>3369.6480000000001</v>
      </c>
      <c r="H130" s="379">
        <f t="shared" si="45"/>
        <v>0.18706761062283053</v>
      </c>
      <c r="I130" s="378"/>
      <c r="J130" s="378"/>
    </row>
    <row r="131" spans="2:10" x14ac:dyDescent="0.25">
      <c r="B131" s="650">
        <v>42625</v>
      </c>
      <c r="C131" s="377">
        <v>160</v>
      </c>
      <c r="D131" s="378">
        <v>21.060300000000002</v>
      </c>
      <c r="E131" s="378">
        <v>25.51</v>
      </c>
      <c r="F131" s="378">
        <f t="shared" si="43"/>
        <v>711.952</v>
      </c>
      <c r="G131" s="378">
        <f t="shared" si="44"/>
        <v>3369.6480000000001</v>
      </c>
      <c r="H131" s="379">
        <f t="shared" si="45"/>
        <v>0.21128378987953636</v>
      </c>
      <c r="I131" s="378"/>
      <c r="J131" s="378"/>
    </row>
    <row r="132" spans="2:10" x14ac:dyDescent="0.25">
      <c r="B132" s="650">
        <v>42626</v>
      </c>
      <c r="C132" s="377">
        <v>200</v>
      </c>
      <c r="D132" s="378">
        <v>21.764199999999999</v>
      </c>
      <c r="E132" s="378">
        <v>24.01</v>
      </c>
      <c r="F132" s="378">
        <f t="shared" si="43"/>
        <v>449.16000000000054</v>
      </c>
      <c r="G132" s="378">
        <f t="shared" si="44"/>
        <v>4352.84</v>
      </c>
      <c r="H132" s="379">
        <f t="shared" si="45"/>
        <v>0.10318780382462957</v>
      </c>
      <c r="I132" s="378" t="s">
        <v>293</v>
      </c>
      <c r="J132" s="378"/>
    </row>
    <row r="133" spans="2:10" x14ac:dyDescent="0.25">
      <c r="B133" s="650">
        <v>42632</v>
      </c>
      <c r="C133" s="377">
        <v>200</v>
      </c>
      <c r="D133" s="378">
        <v>21.764199999999999</v>
      </c>
      <c r="E133" s="378">
        <v>23.68</v>
      </c>
      <c r="F133" s="378">
        <f t="shared" si="43"/>
        <v>383.1600000000002</v>
      </c>
      <c r="G133" s="378">
        <f t="shared" si="44"/>
        <v>4352.84</v>
      </c>
      <c r="H133" s="379">
        <f t="shared" si="45"/>
        <v>8.8025289236452572E-2</v>
      </c>
      <c r="I133" s="378"/>
      <c r="J133" s="378"/>
    </row>
    <row r="134" spans="2:10" x14ac:dyDescent="0.25">
      <c r="B134" s="650">
        <v>42633</v>
      </c>
      <c r="C134" s="377">
        <v>200</v>
      </c>
      <c r="D134" s="378">
        <v>21.764199999999999</v>
      </c>
      <c r="E134" s="378">
        <v>23.3</v>
      </c>
      <c r="F134" s="378">
        <f t="shared" si="43"/>
        <v>307.16000000000037</v>
      </c>
      <c r="G134" s="378">
        <f t="shared" si="44"/>
        <v>4352.84</v>
      </c>
      <c r="H134" s="379">
        <f t="shared" si="45"/>
        <v>7.0565423953097381E-2</v>
      </c>
      <c r="I134" s="378"/>
      <c r="J134" s="378"/>
    </row>
    <row r="135" spans="2:10" x14ac:dyDescent="0.25">
      <c r="B135" s="650">
        <v>42634</v>
      </c>
      <c r="C135" s="377">
        <v>200</v>
      </c>
      <c r="D135" s="378">
        <v>21.764199999999999</v>
      </c>
      <c r="E135" s="378">
        <v>23.03</v>
      </c>
      <c r="F135" s="378">
        <f t="shared" si="43"/>
        <v>253.16000000000045</v>
      </c>
      <c r="G135" s="378">
        <f t="shared" si="44"/>
        <v>4352.84</v>
      </c>
      <c r="H135" s="379">
        <f t="shared" si="45"/>
        <v>5.8159730199134466E-2</v>
      </c>
      <c r="I135" s="378"/>
      <c r="J135" s="378"/>
    </row>
    <row r="136" spans="2:10" x14ac:dyDescent="0.25">
      <c r="B136" s="650">
        <v>42636</v>
      </c>
      <c r="C136" s="377">
        <v>200</v>
      </c>
      <c r="D136" s="378">
        <v>21.764199999999999</v>
      </c>
      <c r="E136" s="378">
        <v>22.63</v>
      </c>
      <c r="F136" s="378">
        <f t="shared" si="43"/>
        <v>173.16000000000003</v>
      </c>
      <c r="G136" s="378">
        <f t="shared" si="44"/>
        <v>4352.84</v>
      </c>
      <c r="H136" s="379">
        <f t="shared" si="45"/>
        <v>3.9780924637707805E-2</v>
      </c>
      <c r="I136" s="378"/>
      <c r="J136" s="378"/>
    </row>
    <row r="137" spans="2:10" x14ac:dyDescent="0.25">
      <c r="B137" s="650">
        <v>42639</v>
      </c>
      <c r="C137" s="377">
        <v>300</v>
      </c>
      <c r="D137" s="378">
        <v>21.936299999999999</v>
      </c>
      <c r="E137" s="378">
        <v>22.64</v>
      </c>
      <c r="F137" s="378">
        <f t="shared" si="43"/>
        <v>211.11000000000041</v>
      </c>
      <c r="G137" s="378">
        <f t="shared" si="44"/>
        <v>6580.8899999999994</v>
      </c>
      <c r="H137" s="379">
        <f t="shared" si="45"/>
        <v>3.2079247639756996E-2</v>
      </c>
      <c r="I137" s="378"/>
      <c r="J137" s="378"/>
    </row>
    <row r="138" spans="2:10" x14ac:dyDescent="0.25">
      <c r="B138" s="650">
        <v>42639</v>
      </c>
      <c r="C138" s="377">
        <v>200</v>
      </c>
      <c r="D138" s="378">
        <v>21.494499999999999</v>
      </c>
      <c r="E138" s="378">
        <v>22.64</v>
      </c>
      <c r="F138" s="378">
        <f t="shared" si="43"/>
        <v>229.10000000000039</v>
      </c>
      <c r="G138" s="378">
        <f t="shared" si="44"/>
        <v>4298.8999999999996</v>
      </c>
      <c r="H138" s="379">
        <f t="shared" si="45"/>
        <v>5.3292702784433321E-2</v>
      </c>
      <c r="I138" s="378" t="s">
        <v>294</v>
      </c>
      <c r="J138" s="378"/>
    </row>
    <row r="139" spans="2:10" x14ac:dyDescent="0.25">
      <c r="B139" s="650">
        <v>42640</v>
      </c>
      <c r="C139" s="377">
        <v>200</v>
      </c>
      <c r="D139" s="378">
        <v>21.494499999999999</v>
      </c>
      <c r="E139" s="378">
        <v>23.95</v>
      </c>
      <c r="F139" s="378">
        <f t="shared" si="43"/>
        <v>491.10000000000014</v>
      </c>
      <c r="G139" s="378">
        <f t="shared" si="44"/>
        <v>4298.8999999999996</v>
      </c>
      <c r="H139" s="379">
        <f t="shared" si="45"/>
        <v>0.11423852613459261</v>
      </c>
      <c r="I139" s="378"/>
      <c r="J139" s="378"/>
    </row>
    <row r="140" spans="2:10" x14ac:dyDescent="0.25">
      <c r="B140" s="650">
        <v>42643</v>
      </c>
      <c r="C140" s="377">
        <v>140</v>
      </c>
      <c r="D140" s="378">
        <v>20.112300000000001</v>
      </c>
      <c r="E140" s="378">
        <v>24.2</v>
      </c>
      <c r="F140" s="378">
        <f t="shared" si="43"/>
        <v>572.27799999999979</v>
      </c>
      <c r="G140" s="378">
        <f t="shared" si="44"/>
        <v>2815.7220000000002</v>
      </c>
      <c r="H140" s="379">
        <f t="shared" si="45"/>
        <v>0.2032437861408192</v>
      </c>
      <c r="I140" s="378"/>
      <c r="J140" s="378"/>
    </row>
    <row r="141" spans="2:10" x14ac:dyDescent="0.25">
      <c r="B141" s="650">
        <v>42643</v>
      </c>
      <c r="C141" s="377">
        <v>200</v>
      </c>
      <c r="D141" s="378">
        <v>21.368600000000001</v>
      </c>
      <c r="E141" s="378">
        <v>24.2</v>
      </c>
      <c r="F141" s="378">
        <f t="shared" si="43"/>
        <v>566.27999999999975</v>
      </c>
      <c r="G141" s="378">
        <f t="shared" si="44"/>
        <v>4273.72</v>
      </c>
      <c r="H141" s="379">
        <f t="shared" si="45"/>
        <v>0.13250283125707807</v>
      </c>
      <c r="I141" s="378" t="s">
        <v>294</v>
      </c>
      <c r="J141" s="378"/>
    </row>
    <row r="142" spans="2:10" x14ac:dyDescent="0.25">
      <c r="B142" s="650">
        <v>42648</v>
      </c>
      <c r="C142" s="377">
        <v>200</v>
      </c>
      <c r="D142" s="378">
        <v>21.368600000000001</v>
      </c>
      <c r="E142" s="378">
        <v>24.86</v>
      </c>
      <c r="F142" s="378">
        <f t="shared" si="43"/>
        <v>698.27999999999975</v>
      </c>
      <c r="G142" s="378">
        <f t="shared" si="44"/>
        <v>4273.72</v>
      </c>
      <c r="H142" s="379">
        <f t="shared" si="45"/>
        <v>0.16338927210954385</v>
      </c>
      <c r="I142" s="378"/>
      <c r="J142" s="378"/>
    </row>
    <row r="143" spans="2:10" x14ac:dyDescent="0.25">
      <c r="B143" s="650">
        <v>42649</v>
      </c>
      <c r="C143" s="377">
        <v>200</v>
      </c>
      <c r="D143" s="378">
        <v>21.368600000000001</v>
      </c>
      <c r="E143" s="378">
        <v>24.66</v>
      </c>
      <c r="F143" s="378">
        <f t="shared" si="43"/>
        <v>658.27999999999986</v>
      </c>
      <c r="G143" s="378">
        <f t="shared" si="44"/>
        <v>4273.72</v>
      </c>
      <c r="H143" s="379">
        <f t="shared" si="45"/>
        <v>0.15402974457849364</v>
      </c>
      <c r="I143" s="378"/>
      <c r="J143" s="378"/>
    </row>
    <row r="144" spans="2:10" x14ac:dyDescent="0.25">
      <c r="B144" s="650">
        <v>42650</v>
      </c>
      <c r="C144" s="377">
        <v>200</v>
      </c>
      <c r="D144" s="378">
        <v>21.368600000000001</v>
      </c>
      <c r="E144" s="378">
        <v>23.95</v>
      </c>
      <c r="F144" s="378">
        <f t="shared" si="43"/>
        <v>516.27999999999975</v>
      </c>
      <c r="G144" s="378">
        <f t="shared" si="44"/>
        <v>4273.72</v>
      </c>
      <c r="H144" s="379">
        <f t="shared" si="45"/>
        <v>0.12080342184326529</v>
      </c>
      <c r="I144" s="378"/>
      <c r="J144" s="378"/>
    </row>
    <row r="145" spans="2:10" x14ac:dyDescent="0.25">
      <c r="B145" s="650">
        <v>42661</v>
      </c>
      <c r="C145" s="377">
        <v>300</v>
      </c>
      <c r="D145" s="378">
        <v>21.765699999999999</v>
      </c>
      <c r="E145" s="378">
        <v>23.46</v>
      </c>
      <c r="F145" s="378">
        <f t="shared" si="43"/>
        <v>508.29000000000059</v>
      </c>
      <c r="G145" s="378">
        <f t="shared" si="44"/>
        <v>6529.71</v>
      </c>
      <c r="H145" s="379">
        <f t="shared" si="45"/>
        <v>7.7842660700092436E-2</v>
      </c>
      <c r="I145" s="378">
        <v>21.5</v>
      </c>
      <c r="J145" s="378"/>
    </row>
    <row r="146" spans="2:10" x14ac:dyDescent="0.25">
      <c r="B146" s="650">
        <v>42662</v>
      </c>
      <c r="C146" s="377">
        <v>300</v>
      </c>
      <c r="D146" s="378">
        <v>21.77</v>
      </c>
      <c r="E146" s="378">
        <v>24.15</v>
      </c>
      <c r="F146" s="378">
        <f t="shared" si="43"/>
        <v>713.99999999999966</v>
      </c>
      <c r="G146" s="378">
        <f t="shared" si="44"/>
        <v>6531</v>
      </c>
      <c r="H146" s="379">
        <f t="shared" si="45"/>
        <v>0.10932475884244369</v>
      </c>
      <c r="I146" s="378"/>
      <c r="J146" s="378"/>
    </row>
    <row r="147" spans="2:10" x14ac:dyDescent="0.25">
      <c r="B147" s="650">
        <v>42663</v>
      </c>
      <c r="C147" s="377">
        <v>260</v>
      </c>
      <c r="D147" s="378">
        <v>21.302099999999999</v>
      </c>
      <c r="E147" s="378">
        <v>24.98</v>
      </c>
      <c r="F147" s="378">
        <f t="shared" si="43"/>
        <v>956.25400000000025</v>
      </c>
      <c r="G147" s="378">
        <f t="shared" si="44"/>
        <v>5538.5460000000003</v>
      </c>
      <c r="H147" s="379">
        <f t="shared" si="45"/>
        <v>0.17265433924354881</v>
      </c>
      <c r="I147" s="378"/>
      <c r="J147" s="378"/>
    </row>
    <row r="148" spans="2:10" x14ac:dyDescent="0.25">
      <c r="B148" s="650">
        <v>42664</v>
      </c>
      <c r="C148" s="377">
        <v>260</v>
      </c>
      <c r="D148" s="378">
        <v>21.302099999999999</v>
      </c>
      <c r="E148" s="378">
        <v>25.92</v>
      </c>
      <c r="F148" s="378">
        <f t="shared" si="43"/>
        <v>1200.6540000000007</v>
      </c>
      <c r="G148" s="378">
        <f t="shared" si="44"/>
        <v>5538.5460000000003</v>
      </c>
      <c r="H148" s="379">
        <f t="shared" si="45"/>
        <v>0.21678144408297786</v>
      </c>
      <c r="I148" s="378"/>
      <c r="J148" s="378"/>
    </row>
    <row r="149" spans="2:10" x14ac:dyDescent="0.25">
      <c r="B149" s="650">
        <v>42667</v>
      </c>
      <c r="C149" s="377">
        <v>260</v>
      </c>
      <c r="D149" s="378">
        <v>21.302099999999999</v>
      </c>
      <c r="E149" s="378">
        <v>25.35</v>
      </c>
      <c r="F149" s="378">
        <f t="shared" si="43"/>
        <v>1052.4540000000006</v>
      </c>
      <c r="G149" s="378">
        <f t="shared" si="44"/>
        <v>5538.5460000000003</v>
      </c>
      <c r="H149" s="379">
        <f t="shared" si="45"/>
        <v>0.19002351880800494</v>
      </c>
      <c r="I149" s="378"/>
      <c r="J149" s="378"/>
    </row>
    <row r="150" spans="2:10" x14ac:dyDescent="0.25">
      <c r="B150" s="650">
        <v>42674</v>
      </c>
      <c r="C150" s="377">
        <v>300</v>
      </c>
      <c r="D150" s="378">
        <v>21.6828</v>
      </c>
      <c r="E150" s="378">
        <v>24.01</v>
      </c>
      <c r="F150" s="378">
        <f t="shared" si="43"/>
        <v>698.16000000000042</v>
      </c>
      <c r="G150" s="378">
        <f t="shared" si="44"/>
        <v>6504.84</v>
      </c>
      <c r="H150" s="379">
        <f t="shared" si="45"/>
        <v>0.10732931171250951</v>
      </c>
      <c r="I150" s="378">
        <v>21.5</v>
      </c>
      <c r="J150" s="378"/>
    </row>
    <row r="151" spans="2:10" x14ac:dyDescent="0.25">
      <c r="B151" s="650">
        <v>42675</v>
      </c>
      <c r="C151" s="377">
        <v>300</v>
      </c>
      <c r="D151" s="378">
        <v>21.6096</v>
      </c>
      <c r="E151" s="378">
        <v>24.89</v>
      </c>
      <c r="F151" s="378">
        <f t="shared" si="43"/>
        <v>984.12000000000012</v>
      </c>
      <c r="G151" s="378">
        <f t="shared" si="44"/>
        <v>6482.88</v>
      </c>
      <c r="H151" s="379">
        <f t="shared" si="45"/>
        <v>0.15180290241374206</v>
      </c>
      <c r="I151" s="378">
        <v>21.5</v>
      </c>
      <c r="J151" s="378"/>
    </row>
    <row r="152" spans="2:10" x14ac:dyDescent="0.25">
      <c r="B152" s="650">
        <v>42677</v>
      </c>
      <c r="C152" s="377">
        <v>340</v>
      </c>
      <c r="D152" s="378">
        <v>21.5627</v>
      </c>
      <c r="E152" s="378">
        <v>22.6</v>
      </c>
      <c r="F152" s="378">
        <f t="shared" si="43"/>
        <v>352.68200000000064</v>
      </c>
      <c r="G152" s="378">
        <f t="shared" si="44"/>
        <v>7331.3180000000002</v>
      </c>
      <c r="H152" s="379">
        <f t="shared" si="45"/>
        <v>4.8106220464042164E-2</v>
      </c>
      <c r="I152" s="378"/>
      <c r="J152" s="378"/>
    </row>
    <row r="153" spans="2:10" x14ac:dyDescent="0.25">
      <c r="B153" s="650">
        <v>42701</v>
      </c>
      <c r="C153" s="377">
        <v>240</v>
      </c>
      <c r="D153" s="378">
        <v>18.880800000000001</v>
      </c>
      <c r="E153" s="378">
        <v>28.55</v>
      </c>
      <c r="F153" s="378">
        <f t="shared" si="43"/>
        <v>2320.6080000000002</v>
      </c>
      <c r="G153" s="378">
        <f t="shared" si="44"/>
        <v>4531.3919999999998</v>
      </c>
      <c r="H153" s="379">
        <f t="shared" si="45"/>
        <v>0.51211813058768696</v>
      </c>
      <c r="I153" s="378"/>
      <c r="J153" s="378"/>
    </row>
    <row r="154" spans="2:10" x14ac:dyDescent="0.25">
      <c r="B154" s="650">
        <v>42705</v>
      </c>
      <c r="C154" s="377">
        <v>200</v>
      </c>
      <c r="D154" s="378">
        <v>16.231100000000001</v>
      </c>
      <c r="E154" s="378">
        <v>28.94</v>
      </c>
      <c r="F154" s="378">
        <f t="shared" si="43"/>
        <v>2541.7799999999997</v>
      </c>
      <c r="G154" s="378">
        <f t="shared" si="44"/>
        <v>3246.2200000000003</v>
      </c>
      <c r="H154" s="379">
        <f t="shared" si="45"/>
        <v>0.78299683940090314</v>
      </c>
      <c r="I154" s="378" t="s">
        <v>321</v>
      </c>
      <c r="J154" s="378"/>
    </row>
    <row r="155" spans="2:10" x14ac:dyDescent="0.25">
      <c r="B155" s="650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50">
        <v>42716</v>
      </c>
      <c r="C157" s="377">
        <v>200</v>
      </c>
      <c r="D157" s="378">
        <v>29.285</v>
      </c>
      <c r="E157" s="378">
        <v>29</v>
      </c>
      <c r="F157" s="378">
        <f t="shared" ref="F157:F164" si="46">C157*(E157-D157)</f>
        <v>-57.000000000000028</v>
      </c>
      <c r="G157" s="378">
        <f t="shared" ref="G157:G164" si="47">D157*C157</f>
        <v>5857</v>
      </c>
      <c r="H157" s="379">
        <f t="shared" ref="H157:H164" si="48">(E157-D157)/D157</f>
        <v>-9.7319446815776044E-3</v>
      </c>
      <c r="I157" s="378"/>
      <c r="J157" s="378"/>
    </row>
    <row r="158" spans="2:10" x14ac:dyDescent="0.25">
      <c r="B158" s="650">
        <v>42720</v>
      </c>
      <c r="C158" s="377">
        <v>100</v>
      </c>
      <c r="D158" s="378">
        <v>29.210599999999999</v>
      </c>
      <c r="E158" s="378">
        <v>29.48</v>
      </c>
      <c r="F158" s="378">
        <f t="shared" si="46"/>
        <v>26.940000000000097</v>
      </c>
      <c r="G158" s="378">
        <f t="shared" si="47"/>
        <v>2921.06</v>
      </c>
      <c r="H158" s="379">
        <f t="shared" si="48"/>
        <v>9.2226794382861358E-3</v>
      </c>
      <c r="I158" s="378"/>
      <c r="J158" s="378"/>
    </row>
    <row r="159" spans="2:10" x14ac:dyDescent="0.25">
      <c r="B159" s="650">
        <v>42723</v>
      </c>
      <c r="C159" s="377">
        <v>200</v>
      </c>
      <c r="D159" s="378">
        <v>28.7453</v>
      </c>
      <c r="E159" s="378">
        <v>28.29</v>
      </c>
      <c r="F159" s="378">
        <f t="shared" si="46"/>
        <v>-91.06000000000023</v>
      </c>
      <c r="G159" s="378">
        <f t="shared" si="47"/>
        <v>5749.06</v>
      </c>
      <c r="H159" s="379">
        <f t="shared" si="48"/>
        <v>-1.5839111089465101E-2</v>
      </c>
      <c r="I159" s="378"/>
      <c r="J159" s="378"/>
    </row>
    <row r="160" spans="2:10" x14ac:dyDescent="0.25">
      <c r="B160" s="650">
        <v>42724</v>
      </c>
      <c r="C160" s="377">
        <v>100</v>
      </c>
      <c r="D160" s="378">
        <v>28.511199999999999</v>
      </c>
      <c r="E160" s="378">
        <v>28.76</v>
      </c>
      <c r="F160" s="378">
        <f t="shared" si="46"/>
        <v>24.88000000000028</v>
      </c>
      <c r="G160" s="378">
        <f t="shared" si="47"/>
        <v>2851.12</v>
      </c>
      <c r="H160" s="379">
        <f t="shared" si="48"/>
        <v>8.7263952411684807E-3</v>
      </c>
      <c r="I160" s="378"/>
      <c r="J160" s="378"/>
    </row>
    <row r="161" spans="2:10" x14ac:dyDescent="0.25">
      <c r="B161" s="650">
        <v>42731</v>
      </c>
      <c r="C161" s="377">
        <v>100</v>
      </c>
      <c r="D161" s="378">
        <v>28.511199999999999</v>
      </c>
      <c r="E161" s="378">
        <v>31.95</v>
      </c>
      <c r="F161" s="378">
        <f t="shared" si="46"/>
        <v>343.88000000000005</v>
      </c>
      <c r="G161" s="378">
        <f t="shared" si="47"/>
        <v>2851.12</v>
      </c>
      <c r="H161" s="379">
        <f t="shared" si="48"/>
        <v>0.12061225062431608</v>
      </c>
      <c r="I161" s="378"/>
      <c r="J161" s="378"/>
    </row>
    <row r="162" spans="2:10" x14ac:dyDescent="0.25">
      <c r="B162" s="650">
        <v>42739</v>
      </c>
      <c r="C162" s="377">
        <v>100</v>
      </c>
      <c r="D162" s="378">
        <v>28.511199999999999</v>
      </c>
      <c r="E162" s="378">
        <v>33.04</v>
      </c>
      <c r="F162" s="378">
        <f t="shared" si="46"/>
        <v>452.88000000000005</v>
      </c>
      <c r="G162" s="378">
        <f t="shared" si="47"/>
        <v>2851.12</v>
      </c>
      <c r="H162" s="379">
        <f t="shared" si="48"/>
        <v>0.15884284070821295</v>
      </c>
      <c r="I162" s="378"/>
      <c r="J162" s="378"/>
    </row>
    <row r="163" spans="2:10" x14ac:dyDescent="0.25">
      <c r="B163" s="650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46"/>
        <v>525.88000000000045</v>
      </c>
      <c r="G163" s="378">
        <f t="shared" si="47"/>
        <v>2851.12</v>
      </c>
      <c r="H163" s="379">
        <f t="shared" si="48"/>
        <v>0.18444681388366693</v>
      </c>
      <c r="I163" s="378"/>
      <c r="J163" s="378"/>
    </row>
    <row r="164" spans="2:10" x14ac:dyDescent="0.25">
      <c r="B164" s="650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46"/>
        <v>421.87999999999982</v>
      </c>
      <c r="G164" s="378">
        <f t="shared" si="47"/>
        <v>2851.12</v>
      </c>
      <c r="H164" s="379">
        <f t="shared" si="48"/>
        <v>0.14796992059260916</v>
      </c>
      <c r="I164" s="378"/>
      <c r="J164" s="378"/>
    </row>
    <row r="165" spans="2:10" x14ac:dyDescent="0.25">
      <c r="B165" s="650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50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50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50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50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50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50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50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50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3" priority="62">
      <formula>Q7&gt;0</formula>
    </cfRule>
    <cfRule type="expression" dxfId="402" priority="63">
      <formula>Q7&lt;0</formula>
    </cfRule>
  </conditionalFormatting>
  <conditionalFormatting sqref="Q8">
    <cfRule type="expression" dxfId="401" priority="60">
      <formula>Q8&gt;0</formula>
    </cfRule>
    <cfRule type="expression" dxfId="400" priority="61">
      <formula>Q8&lt;0</formula>
    </cfRule>
  </conditionalFormatting>
  <conditionalFormatting sqref="F24">
    <cfRule type="expression" dxfId="399" priority="42">
      <formula>F24&gt;0</formula>
    </cfRule>
    <cfRule type="expression" dxfId="398" priority="43">
      <formula>F24&lt;0</formula>
    </cfRule>
  </conditionalFormatting>
  <conditionalFormatting sqref="F25:F36">
    <cfRule type="expression" dxfId="397" priority="40">
      <formula>F25&gt;0</formula>
    </cfRule>
    <cfRule type="expression" dxfId="396" priority="41">
      <formula>F25&lt;0</formula>
    </cfRule>
  </conditionalFormatting>
  <conditionalFormatting sqref="H24:H36">
    <cfRule type="expression" dxfId="395" priority="38">
      <formula>H24&gt;0</formula>
    </cfRule>
    <cfRule type="expression" dxfId="394" priority="39">
      <formula>H24&lt;0</formula>
    </cfRule>
  </conditionalFormatting>
  <conditionalFormatting sqref="J32:J53">
    <cfRule type="expression" dxfId="393" priority="35">
      <formula>J32&gt;0</formula>
    </cfRule>
    <cfRule type="expression" dxfId="392" priority="36">
      <formula>J32&lt;0</formula>
    </cfRule>
  </conditionalFormatting>
  <conditionalFormatting sqref="M56">
    <cfRule type="expression" dxfId="391" priority="33">
      <formula>M56&gt;0</formula>
    </cfRule>
    <cfRule type="expression" dxfId="390" priority="34">
      <formula>M56&lt;0</formula>
    </cfRule>
  </conditionalFormatting>
  <conditionalFormatting sqref="F101:F137 H101:H137 H140:H145 F140:F145 F147:F156 H147:H156">
    <cfRule type="expression" dxfId="389" priority="31">
      <formula>F101&gt;0</formula>
    </cfRule>
    <cfRule type="expression" dxfId="388" priority="32">
      <formula>F101&lt;0</formula>
    </cfRule>
  </conditionalFormatting>
  <conditionalFormatting sqref="F93:F100">
    <cfRule type="expression" dxfId="387" priority="29">
      <formula>F93&gt;0</formula>
    </cfRule>
    <cfRule type="expression" dxfId="386" priority="30">
      <formula>F93&lt;0</formula>
    </cfRule>
  </conditionalFormatting>
  <conditionalFormatting sqref="H93:H100">
    <cfRule type="expression" dxfId="385" priority="27">
      <formula>H93&gt;0</formula>
    </cfRule>
    <cfRule type="expression" dxfId="384" priority="28">
      <formula>H93&lt;0</formula>
    </cfRule>
  </conditionalFormatting>
  <conditionalFormatting sqref="F138:F139 H138:H139">
    <cfRule type="expression" dxfId="383" priority="25">
      <formula>F138&gt;0</formula>
    </cfRule>
    <cfRule type="expression" dxfId="382" priority="26">
      <formula>F138&lt;0</formula>
    </cfRule>
  </conditionalFormatting>
  <conditionalFormatting sqref="H146 F146">
    <cfRule type="expression" dxfId="381" priority="23">
      <formula>F146&gt;0</formula>
    </cfRule>
    <cfRule type="expression" dxfId="380" priority="24">
      <formula>F146&lt;0</formula>
    </cfRule>
  </conditionalFormatting>
  <conditionalFormatting sqref="F157:F164">
    <cfRule type="expression" dxfId="379" priority="9">
      <formula>F157&gt;0</formula>
    </cfRule>
    <cfRule type="expression" dxfId="378" priority="10">
      <formula>F157&lt;0</formula>
    </cfRule>
  </conditionalFormatting>
  <conditionalFormatting sqref="H157:H164">
    <cfRule type="expression" dxfId="377" priority="7">
      <formula>H157&gt;0</formula>
    </cfRule>
    <cfRule type="expression" dxfId="376" priority="8">
      <formula>H157&lt;0</formula>
    </cfRule>
  </conditionalFormatting>
  <conditionalFormatting sqref="Q10">
    <cfRule type="expression" dxfId="375" priority="5">
      <formula>Q10&gt;0</formula>
    </cfRule>
    <cfRule type="expression" dxfId="374" priority="6">
      <formula>Q10&lt;0</formula>
    </cfRule>
  </conditionalFormatting>
  <conditionalFormatting sqref="F37:F42">
    <cfRule type="expression" dxfId="373" priority="3">
      <formula>F37&gt;0</formula>
    </cfRule>
    <cfRule type="expression" dxfId="372" priority="4">
      <formula>F37&lt;0</formula>
    </cfRule>
  </conditionalFormatting>
  <conditionalFormatting sqref="H37:H42">
    <cfRule type="expression" dxfId="371" priority="1">
      <formula>H37&gt;0</formula>
    </cfRule>
    <cfRule type="expression" dxfId="370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0"/>
      <c r="H3" s="183"/>
      <c r="I3" s="3"/>
      <c r="J3" s="3"/>
      <c r="K3" s="3"/>
      <c r="L3" s="73" t="s">
        <v>535</v>
      </c>
      <c r="M3" s="3"/>
      <c r="O3" s="11" t="s">
        <v>58</v>
      </c>
      <c r="Q3" s="228">
        <f>IF(Q2=0, Q4, (F18-K18-M18)/Q2)</f>
        <v>56.016153846153848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6">
        <f t="shared" ref="AE3:AE66" si="1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>D4*C4+E4</f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54.58</v>
      </c>
      <c r="R4" s="519">
        <v>-1.89E-2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6">
        <f t="shared" si="1"/>
        <v>-2.1018300416742131E-2</v>
      </c>
    </row>
    <row r="5" spans="1:31" x14ac:dyDescent="0.25">
      <c r="B5" s="501">
        <v>42866</v>
      </c>
      <c r="C5" s="4">
        <v>30</v>
      </c>
      <c r="D5" s="3">
        <v>56.25</v>
      </c>
      <c r="E5" s="3">
        <v>0</v>
      </c>
      <c r="F5" s="3">
        <f>D5*C5+E5</f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7095.4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6">
        <f t="shared" si="1"/>
        <v>-1.0859728506787958E-3</v>
      </c>
    </row>
    <row r="6" spans="1:31" x14ac:dyDescent="0.25">
      <c r="B6" s="501">
        <v>42871</v>
      </c>
      <c r="C6" s="4">
        <v>50</v>
      </c>
      <c r="D6" s="3">
        <v>54.45</v>
      </c>
      <c r="E6" s="3">
        <v>0</v>
      </c>
      <c r="F6" s="3">
        <f>D6*C6+E6</f>
        <v>2722.5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7282.1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6">
        <f t="shared" si="1"/>
        <v>1.8132366273799772E-3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-186.70000000000073</v>
      </c>
      <c r="R7">
        <v>50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6">
        <f t="shared" si="1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-186.70000000000073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6">
        <f t="shared" si="1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-2.5638208758462629E-2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6">
        <f t="shared" si="1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6">
        <f t="shared" si="1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6">
        <f t="shared" si="1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6">
        <f t="shared" si="1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6">
        <f t="shared" si="1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6">
        <f t="shared" si="1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6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6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6">
        <f t="shared" si="1"/>
        <v>-3.2876712328766544E-3</v>
      </c>
    </row>
    <row r="18" spans="1:31" x14ac:dyDescent="0.25">
      <c r="A18" s="32" t="s">
        <v>81</v>
      </c>
      <c r="B18" s="502"/>
      <c r="C18" s="14">
        <f>SUM(C2:C14)</f>
        <v>210</v>
      </c>
      <c r="D18" s="18"/>
      <c r="E18" s="18"/>
      <c r="F18" s="18">
        <f>SUM(F2:F14)</f>
        <v>11938.4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6">
        <f t="shared" si="1"/>
        <v>-7.9724587787641799E-3</v>
      </c>
    </row>
    <row r="19" spans="1:31" ht="15.75" thickBot="1" x14ac:dyDescent="0.3">
      <c r="A19" s="352" t="s">
        <v>196</v>
      </c>
      <c r="B19" s="503"/>
      <c r="C19" s="354">
        <f>SumByColor($A$19,C2:C17)</f>
        <v>80</v>
      </c>
      <c r="D19" s="354"/>
      <c r="E19" s="354"/>
      <c r="F19" s="355">
        <f>SumByColor($A$19,F2:F17)</f>
        <v>4659</v>
      </c>
      <c r="G19" s="354"/>
      <c r="H19" s="354">
        <f>SumByColor($A$19,H2:H17)</f>
        <v>80</v>
      </c>
      <c r="I19" s="354"/>
      <c r="J19" s="354"/>
      <c r="K19" s="355">
        <f>SumByColor($A$19,K2:K17)</f>
        <v>4638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6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6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6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6">
        <f t="shared" si="1"/>
        <v>-2.1762785636560977E-3</v>
      </c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6">
        <f t="shared" si="1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6">
        <f t="shared" si="1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0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6">
        <f t="shared" si="1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0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6">
        <f t="shared" si="1"/>
        <v>2.075047553173226E-3</v>
      </c>
    </row>
    <row r="27" spans="1:31" x14ac:dyDescent="0.25">
      <c r="A27" t="s">
        <v>477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0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6">
        <f t="shared" si="1"/>
        <v>-1.5994555045091063E-2</v>
      </c>
    </row>
    <row r="28" spans="1:31" x14ac:dyDescent="0.25">
      <c r="A28" t="s">
        <v>477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0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6">
        <f t="shared" si="1"/>
        <v>-0.12165595576147059</v>
      </c>
    </row>
    <row r="29" spans="1:31" x14ac:dyDescent="0.25">
      <c r="A29" t="s">
        <v>505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0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6">
        <f t="shared" si="1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0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6">
        <f t="shared" si="1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0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6">
        <f t="shared" si="1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0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6">
        <f t="shared" si="1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693">
        <f t="shared" ref="G33" si="16">D33*C33</f>
        <v>7510.3990000000003</v>
      </c>
      <c r="H33" s="160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6">
        <f t="shared" si="1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8">C34*(E34-D34)</f>
        <v>-58.500000000000369</v>
      </c>
      <c r="G34" s="10">
        <f t="shared" ref="G34" si="19">D34*C34</f>
        <v>7510.1</v>
      </c>
      <c r="H34" s="160">
        <f t="shared" ref="H34" si="20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6">
        <f t="shared" si="1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1">C35*(E35-D35)</f>
        <v>28.399999999999892</v>
      </c>
      <c r="G35" s="10">
        <f t="shared" ref="G35" si="22">D35*C35</f>
        <v>2872.1</v>
      </c>
      <c r="H35" s="160">
        <f t="shared" ref="H35" si="23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6">
        <f t="shared" si="1"/>
        <v>-8.365019011406849E-3</v>
      </c>
    </row>
    <row r="36" spans="1:31" x14ac:dyDescent="0.25">
      <c r="A36">
        <v>50</v>
      </c>
      <c r="B36" s="155">
        <v>42866</v>
      </c>
      <c r="C36" s="7">
        <v>80</v>
      </c>
      <c r="D36" s="44">
        <v>56.994999999999997</v>
      </c>
      <c r="E36" s="40">
        <v>56.06</v>
      </c>
      <c r="F36" s="40">
        <f t="shared" ref="F36" si="24">C36*(E36-D36)</f>
        <v>-74.799999999999613</v>
      </c>
      <c r="G36" s="10">
        <f t="shared" ref="G36" si="25">D36*C36</f>
        <v>4559.5999999999995</v>
      </c>
      <c r="H36" s="160">
        <f t="shared" ref="H36" si="26">(E36-D36)/D36</f>
        <v>-1.6404947802438726E-2</v>
      </c>
      <c r="I36" s="40"/>
      <c r="J36" s="40">
        <v>-75</v>
      </c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6">
        <f t="shared" si="1"/>
        <v>1.5232292460014563E-3</v>
      </c>
    </row>
    <row r="37" spans="1:31" x14ac:dyDescent="0.25">
      <c r="A37">
        <v>50</v>
      </c>
      <c r="B37" s="155">
        <v>42871</v>
      </c>
      <c r="C37" s="10">
        <v>130</v>
      </c>
      <c r="D37" s="40">
        <v>56.015999999999998</v>
      </c>
      <c r="E37" s="40">
        <v>54.53</v>
      </c>
      <c r="F37" s="40">
        <f t="shared" ref="F37" si="27">C37*(E37-D37)</f>
        <v>-193.17999999999961</v>
      </c>
      <c r="G37" s="10">
        <f t="shared" ref="G37" si="28">D37*C37</f>
        <v>7282.08</v>
      </c>
      <c r="H37" s="160">
        <f t="shared" ref="H37" si="29">(E37-D37)/D37</f>
        <v>-2.6528134818623199E-2</v>
      </c>
      <c r="I37" s="40"/>
      <c r="J37" s="40">
        <v>-193</v>
      </c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6">
        <f t="shared" si="1"/>
        <v>1.2960962814380528E-2</v>
      </c>
    </row>
    <row r="38" spans="1:31" x14ac:dyDescent="0.25">
      <c r="B38" s="155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6" t="e">
        <f t="shared" si="1"/>
        <v>#DIV/0!</v>
      </c>
    </row>
    <row r="39" spans="1:31" x14ac:dyDescent="0.25">
      <c r="B39" s="155"/>
      <c r="C39" s="10"/>
      <c r="D39" s="40"/>
      <c r="E39" s="40"/>
      <c r="F39" s="40"/>
      <c r="G39" s="10"/>
      <c r="H39" s="160"/>
      <c r="I39" s="40"/>
      <c r="J39" s="40"/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0"/>
        <v>0</v>
      </c>
      <c r="AE39" s="136">
        <f t="shared" si="1"/>
        <v>-1</v>
      </c>
    </row>
    <row r="40" spans="1:31" ht="20.25" thickBot="1" x14ac:dyDescent="0.35">
      <c r="B40" s="155"/>
      <c r="C40" s="10"/>
      <c r="D40" s="40"/>
      <c r="E40" s="40"/>
      <c r="F40" s="40"/>
      <c r="G40" s="10"/>
      <c r="H40" s="10"/>
      <c r="I40" s="40"/>
      <c r="J40" s="40"/>
      <c r="O40" s="697" t="s">
        <v>78</v>
      </c>
      <c r="P40" s="697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6">
        <f t="shared" si="1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60.038000000000004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6">
        <f t="shared" si="1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30">O42*$Q$4</f>
        <v>59.492200000000004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6">
        <f t="shared" si="1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30"/>
        <v>58.946400000000004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6">
        <f t="shared" si="1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30"/>
        <v>58.400600000000004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6">
        <f t="shared" si="1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30"/>
        <v>57.854800000000004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6">
        <f t="shared" si="1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30"/>
        <v>57.308999999999997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6">
        <f t="shared" si="1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30"/>
        <v>56.763199999999998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6">
        <f t="shared" si="1"/>
        <v>-1.2521521364845745E-2</v>
      </c>
    </row>
    <row r="48" spans="1:31" x14ac:dyDescent="0.25">
      <c r="O48" s="82">
        <v>1.03</v>
      </c>
      <c r="P48" s="82">
        <f t="shared" si="30"/>
        <v>56.217399999999998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6">
        <f t="shared" si="1"/>
        <v>5.6666141980166174E-3</v>
      </c>
    </row>
    <row r="49" spans="15:31" x14ac:dyDescent="0.25">
      <c r="O49" s="82">
        <v>1.02</v>
      </c>
      <c r="P49" s="82">
        <f t="shared" si="30"/>
        <v>55.671599999999998</v>
      </c>
      <c r="Q49" s="2"/>
      <c r="T49" s="92" t="s">
        <v>103</v>
      </c>
      <c r="U49" s="129" t="s">
        <v>516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6">
        <f t="shared" si="1"/>
        <v>6.4955640050696761E-3</v>
      </c>
    </row>
    <row r="50" spans="15:31" x14ac:dyDescent="0.25">
      <c r="O50" s="82">
        <v>1.01</v>
      </c>
      <c r="P50" s="82">
        <f t="shared" si="30"/>
        <v>55.125799999999998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6">
        <f t="shared" si="1"/>
        <v>-7.2349795533186434E-3</v>
      </c>
    </row>
    <row r="51" spans="15:31" x14ac:dyDescent="0.25">
      <c r="O51" s="82">
        <v>1</v>
      </c>
      <c r="P51" s="82">
        <f t="shared" si="30"/>
        <v>54.58</v>
      </c>
      <c r="Q51" s="2"/>
      <c r="T51" s="92" t="s">
        <v>104</v>
      </c>
      <c r="U51" s="129" t="s">
        <v>702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6">
        <f t="shared" si="1"/>
        <v>-1.2886197795373366E-2</v>
      </c>
    </row>
    <row r="52" spans="15:31" x14ac:dyDescent="0.25">
      <c r="O52" s="82">
        <v>0.99</v>
      </c>
      <c r="P52" s="82">
        <f t="shared" si="30"/>
        <v>54.034199999999998</v>
      </c>
      <c r="Q52" s="2"/>
      <c r="T52" s="92" t="s">
        <v>105</v>
      </c>
      <c r="U52" s="129" t="s">
        <v>703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6">
        <f t="shared" si="1"/>
        <v>9.2447508617987673E-3</v>
      </c>
    </row>
    <row r="53" spans="15:31" x14ac:dyDescent="0.25">
      <c r="O53" s="82">
        <v>0.98</v>
      </c>
      <c r="P53" s="82">
        <f t="shared" si="30"/>
        <v>53.488399999999999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6">
        <f t="shared" si="1"/>
        <v>8.69290342974538E-3</v>
      </c>
    </row>
    <row r="54" spans="15:31" x14ac:dyDescent="0.25">
      <c r="O54" s="82">
        <v>0.97</v>
      </c>
      <c r="P54" s="82">
        <f t="shared" si="30"/>
        <v>52.942599999999999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6">
        <f t="shared" si="1"/>
        <v>-3.7789324515823397E-3</v>
      </c>
    </row>
    <row r="55" spans="15:31" x14ac:dyDescent="0.25">
      <c r="O55" s="82">
        <v>0.96</v>
      </c>
      <c r="P55" s="82">
        <f t="shared" si="30"/>
        <v>52.396799999999999</v>
      </c>
      <c r="T55" s="92" t="s">
        <v>107</v>
      </c>
      <c r="U55" s="129" t="s">
        <v>704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6">
        <f t="shared" si="1"/>
        <v>-1.9756135206050462E-2</v>
      </c>
    </row>
    <row r="56" spans="15:31" x14ac:dyDescent="0.25">
      <c r="O56" s="82">
        <v>0.95</v>
      </c>
      <c r="P56" s="82">
        <f t="shared" si="30"/>
        <v>51.850999999999999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6">
        <f t="shared" si="1"/>
        <v>-2.189009661835728E-2</v>
      </c>
    </row>
    <row r="57" spans="15:31" x14ac:dyDescent="0.25">
      <c r="O57" s="82">
        <v>0.94</v>
      </c>
      <c r="P57" s="82">
        <f t="shared" si="30"/>
        <v>51.305199999999992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6">
        <f t="shared" si="1"/>
        <v>-5.7618437900128217E-2</v>
      </c>
    </row>
    <row r="58" spans="15:31" x14ac:dyDescent="0.25">
      <c r="O58" s="82">
        <v>0.93</v>
      </c>
      <c r="P58" s="82">
        <f t="shared" si="30"/>
        <v>50.759399999999999</v>
      </c>
      <c r="T58" s="92" t="s">
        <v>108</v>
      </c>
      <c r="U58" s="129" t="s">
        <v>598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6">
        <f t="shared" si="1"/>
        <v>1.0639827462257445E-2</v>
      </c>
    </row>
    <row r="59" spans="15:31" x14ac:dyDescent="0.25">
      <c r="O59" s="82">
        <v>0.92</v>
      </c>
      <c r="P59" s="82">
        <f t="shared" si="30"/>
        <v>50.2136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6">
        <f t="shared" si="1"/>
        <v>-1.4872521246458881E-2</v>
      </c>
    </row>
    <row r="60" spans="15:31" x14ac:dyDescent="0.25">
      <c r="O60" s="82">
        <v>0.91</v>
      </c>
      <c r="P60" s="82">
        <f t="shared" si="30"/>
        <v>49.6678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6">
        <f t="shared" si="1"/>
        <v>-5.0732807215332354E-3</v>
      </c>
    </row>
    <row r="61" spans="15:31" x14ac:dyDescent="0.25">
      <c r="O61" s="82">
        <v>0.9</v>
      </c>
      <c r="P61" s="82">
        <f t="shared" si="30"/>
        <v>49.122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6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6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6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6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6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6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9" priority="27">
      <formula>Q7&gt;0</formula>
    </cfRule>
    <cfRule type="expression" dxfId="368" priority="28">
      <formula>Q7&lt;0</formula>
    </cfRule>
  </conditionalFormatting>
  <conditionalFormatting sqref="Q8">
    <cfRule type="expression" dxfId="367" priority="25">
      <formula>Q8&gt;0</formula>
    </cfRule>
    <cfRule type="expression" dxfId="366" priority="26">
      <formula>Q8&lt;0</formula>
    </cfRule>
  </conditionalFormatting>
  <conditionalFormatting sqref="F24:F37">
    <cfRule type="expression" dxfId="365" priority="9">
      <formula>F24&gt;0</formula>
    </cfRule>
    <cfRule type="expression" dxfId="364" priority="10">
      <formula>F24&lt;0</formula>
    </cfRule>
  </conditionalFormatting>
  <conditionalFormatting sqref="H39 H41 H43 H45 H47 H24:H37">
    <cfRule type="expression" dxfId="363" priority="7">
      <formula>H24&gt;0</formula>
    </cfRule>
    <cfRule type="expression" dxfId="362" priority="8">
      <formula>H24&lt;0</formula>
    </cfRule>
  </conditionalFormatting>
  <conditionalFormatting sqref="J29">
    <cfRule type="expression" dxfId="361" priority="5">
      <formula>J29&gt;0</formula>
    </cfRule>
    <cfRule type="expression" dxfId="360" priority="6">
      <formula>J29&lt;0</formula>
    </cfRule>
  </conditionalFormatting>
  <conditionalFormatting sqref="J30:J35">
    <cfRule type="expression" dxfId="359" priority="3">
      <formula>J30&gt;0</formula>
    </cfRule>
    <cfRule type="expression" dxfId="358" priority="4">
      <formula>J30&lt;0</formula>
    </cfRule>
  </conditionalFormatting>
  <conditionalFormatting sqref="J36:J37">
    <cfRule type="expression" dxfId="357" priority="1">
      <formula>J36&gt;0</formula>
    </cfRule>
    <cfRule type="expression" dxfId="356" priority="2">
      <formula>J36&lt;0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52.73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52.73</v>
      </c>
      <c r="R4" s="498">
        <v>-6.7999999999999996E-3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58.003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57.475700000000003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56.948399999999999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56.421100000000003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55.893799999999999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55.366500000000002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54.839199999999998</v>
      </c>
      <c r="Q49" s="82"/>
      <c r="R49" s="34"/>
      <c r="T49" s="92" t="s">
        <v>103</v>
      </c>
      <c r="U49" s="87" t="s">
        <v>599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54.311900000000001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53.784599999999998</v>
      </c>
      <c r="Q51" s="82"/>
      <c r="R51" s="34"/>
      <c r="T51" s="92" t="s">
        <v>104</v>
      </c>
      <c r="U51" s="87" t="s">
        <v>705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53.257300000000001</v>
      </c>
      <c r="Q52" s="82"/>
      <c r="R52" s="34"/>
      <c r="T52" s="92" t="s">
        <v>105</v>
      </c>
      <c r="U52" s="87" t="s">
        <v>571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52.73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52.202699999999993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51.675399999999996</v>
      </c>
      <c r="Q55" s="82"/>
      <c r="T55" s="92" t="s">
        <v>107</v>
      </c>
      <c r="U55" s="87" t="s">
        <v>706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51.148099999999992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50.620799999999996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50.093499999999992</v>
      </c>
      <c r="Q58" s="82"/>
      <c r="T58" s="92" t="s">
        <v>108</v>
      </c>
      <c r="U58" s="87" t="s">
        <v>600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49.566199999999995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49.038899999999998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48.511600000000001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47.984299999999998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47.457000000000001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5" priority="33">
      <formula>F25&gt;0</formula>
    </cfRule>
    <cfRule type="expression" dxfId="354" priority="34">
      <formula>F25&lt;0</formula>
    </cfRule>
  </conditionalFormatting>
  <conditionalFormatting sqref="H25:H27">
    <cfRule type="expression" dxfId="353" priority="31">
      <formula>H25&gt;0</formula>
    </cfRule>
    <cfRule type="expression" dxfId="352" priority="32">
      <formula>H25&lt;0</formula>
    </cfRule>
  </conditionalFormatting>
  <conditionalFormatting sqref="H28">
    <cfRule type="expression" dxfId="351" priority="29">
      <formula>H28&gt;0</formula>
    </cfRule>
    <cfRule type="expression" dxfId="350" priority="30">
      <formula>H28&lt;0</formula>
    </cfRule>
  </conditionalFormatting>
  <conditionalFormatting sqref="H29">
    <cfRule type="expression" dxfId="349" priority="27">
      <formula>H29&gt;0</formula>
    </cfRule>
    <cfRule type="expression" dxfId="348" priority="28">
      <formula>H29&lt;0</formula>
    </cfRule>
  </conditionalFormatting>
  <conditionalFormatting sqref="H30:H34">
    <cfRule type="expression" dxfId="347" priority="25">
      <formula>H30&gt;0</formula>
    </cfRule>
    <cfRule type="expression" dxfId="346" priority="26">
      <formula>H30&lt;0</formula>
    </cfRule>
  </conditionalFormatting>
  <conditionalFormatting sqref="F21:F24">
    <cfRule type="expression" dxfId="345" priority="23">
      <formula>F21&gt;0</formula>
    </cfRule>
    <cfRule type="expression" dxfId="344" priority="24">
      <formula>F21&lt;0</formula>
    </cfRule>
  </conditionalFormatting>
  <conditionalFormatting sqref="H21:H24">
    <cfRule type="expression" dxfId="343" priority="21">
      <formula>H21&gt;0</formula>
    </cfRule>
    <cfRule type="expression" dxfId="342" priority="22">
      <formula>H21&lt;0</formula>
    </cfRule>
  </conditionalFormatting>
  <conditionalFormatting sqref="F30:F31">
    <cfRule type="expression" dxfId="341" priority="17">
      <formula>F30&gt;0</formula>
    </cfRule>
    <cfRule type="expression" dxfId="340" priority="18">
      <formula>F30&lt;0</formula>
    </cfRule>
  </conditionalFormatting>
  <conditionalFormatting sqref="I25:I27">
    <cfRule type="expression" dxfId="339" priority="15">
      <formula>I25&gt;0</formula>
    </cfRule>
    <cfRule type="expression" dxfId="338" priority="16">
      <formula>I25&lt;0</formula>
    </cfRule>
  </conditionalFormatting>
  <conditionalFormatting sqref="I28">
    <cfRule type="expression" dxfId="337" priority="13">
      <formula>I28&gt;0</formula>
    </cfRule>
    <cfRule type="expression" dxfId="336" priority="14">
      <formula>I28&lt;0</formula>
    </cfRule>
  </conditionalFormatting>
  <conditionalFormatting sqref="I29">
    <cfRule type="expression" dxfId="335" priority="11">
      <formula>I29&gt;0</formula>
    </cfRule>
    <cfRule type="expression" dxfId="334" priority="12">
      <formula>I29&lt;0</formula>
    </cfRule>
  </conditionalFormatting>
  <conditionalFormatting sqref="I30:I34">
    <cfRule type="expression" dxfId="333" priority="9">
      <formula>I30&gt;0</formula>
    </cfRule>
    <cfRule type="expression" dxfId="332" priority="10">
      <formula>I30&lt;0</formula>
    </cfRule>
  </conditionalFormatting>
  <conditionalFormatting sqref="I21:I24">
    <cfRule type="expression" dxfId="331" priority="7">
      <formula>I21&gt;0</formula>
    </cfRule>
    <cfRule type="expression" dxfId="330" priority="8">
      <formula>I21&lt;0</formula>
    </cfRule>
  </conditionalFormatting>
  <conditionalFormatting sqref="F32">
    <cfRule type="expression" dxfId="329" priority="5">
      <formula>F32&gt;0</formula>
    </cfRule>
    <cfRule type="expression" dxfId="328" priority="6">
      <formula>F32&lt;0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34.619999999999997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34.619999999999997</v>
      </c>
      <c r="R4" s="498">
        <v>3.8E-3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38.082000000000001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37.735799999999998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37.389600000000002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37.043399999999998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36.697200000000002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36.350999999999999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36.004799999999996</v>
      </c>
      <c r="Q49" s="34"/>
      <c r="R49" s="34"/>
      <c r="T49" s="92" t="s">
        <v>121</v>
      </c>
      <c r="U49" s="87" t="s">
        <v>504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35.6586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35.312399999999997</v>
      </c>
      <c r="Q51" s="82"/>
      <c r="R51" s="34"/>
      <c r="T51" s="92" t="s">
        <v>104</v>
      </c>
      <c r="U51" s="87" t="s">
        <v>707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34.966200000000001</v>
      </c>
      <c r="Q52" s="82"/>
      <c r="R52" s="34"/>
      <c r="T52" s="92" t="s">
        <v>105</v>
      </c>
      <c r="U52" s="87" t="s">
        <v>540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34.619999999999997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34.273799999999994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33.927599999999998</v>
      </c>
      <c r="Q55" s="82"/>
      <c r="R55" s="34"/>
      <c r="T55" s="92" t="s">
        <v>107</v>
      </c>
      <c r="U55" s="87" t="s">
        <v>708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33.581399999999995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33.235199999999999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32.888999999999996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32.542799999999993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32.196599999999997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31.8504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31.504199999999997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31.157999999999998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3" priority="11">
      <formula>Q8&gt;0</formula>
    </cfRule>
    <cfRule type="expression" dxfId="322" priority="12">
      <formula>Q8&lt;0</formula>
    </cfRule>
  </conditionalFormatting>
  <conditionalFormatting sqref="Q7">
    <cfRule type="expression" dxfId="321" priority="13">
      <formula>Q7&gt;0</formula>
    </cfRule>
    <cfRule type="expression" dxfId="320" priority="14">
      <formula>Q7&lt;0</formula>
    </cfRule>
  </conditionalFormatting>
  <conditionalFormatting sqref="F22">
    <cfRule type="expression" dxfId="319" priority="9">
      <formula>F22&gt;0</formula>
    </cfRule>
    <cfRule type="expression" dxfId="318" priority="10">
      <formula>F22&lt;0</formula>
    </cfRule>
  </conditionalFormatting>
  <conditionalFormatting sqref="H22">
    <cfRule type="expression" dxfId="317" priority="7">
      <formula>H22&gt;0</formula>
    </cfRule>
    <cfRule type="expression" dxfId="316" priority="8">
      <formula>H22&lt;0</formula>
    </cfRule>
  </conditionalFormatting>
  <conditionalFormatting sqref="F59">
    <cfRule type="expression" dxfId="315" priority="5">
      <formula>F59&gt;0</formula>
    </cfRule>
    <cfRule type="expression" dxfId="314" priority="6">
      <formula>F59&lt;0</formula>
    </cfRule>
  </conditionalFormatting>
  <conditionalFormatting sqref="H59">
    <cfRule type="expression" dxfId="313" priority="3">
      <formula>H59&gt;0</formula>
    </cfRule>
    <cfRule type="expression" dxfId="312" priority="4">
      <formula>H59&lt;0</formula>
    </cfRule>
  </conditionalFormatting>
  <conditionalFormatting sqref="M30">
    <cfRule type="expression" dxfId="311" priority="1">
      <formula>M30&gt;0</formula>
    </cfRule>
    <cfRule type="expression" dxfId="31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85.82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85.82</v>
      </c>
      <c r="R4" s="498">
        <v>-9.1000000000000004E-3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479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697" t="s">
        <v>78</v>
      </c>
      <c r="P35" s="697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94.402000000000001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93.543800000000005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92.685599999999994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91.827399999999997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90.969200000000001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90.11099999999999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89.252799999999993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88.394599999999997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87.5364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86.67819999999999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85.82</v>
      </c>
      <c r="Q46" s="2"/>
      <c r="T46" s="112" t="s">
        <v>103</v>
      </c>
      <c r="U46" s="105" t="s">
        <v>417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84.961799999999997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84.103599999999986</v>
      </c>
      <c r="Q48" s="2"/>
      <c r="T48" s="112" t="s">
        <v>104</v>
      </c>
      <c r="U48" s="105" t="s">
        <v>709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83.245399999999989</v>
      </c>
      <c r="T49" s="112" t="s">
        <v>105</v>
      </c>
      <c r="U49" s="105" t="s">
        <v>553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82.387199999999993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81.528999999999996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80.670799999999986</v>
      </c>
      <c r="T52" s="112" t="s">
        <v>107</v>
      </c>
      <c r="U52" s="105" t="s">
        <v>710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79.812600000000003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78.954399999999993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78.096199999999996</v>
      </c>
      <c r="T55" s="112" t="s">
        <v>108</v>
      </c>
      <c r="U55" s="105" t="s">
        <v>601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77.238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9" priority="19">
      <formula>F27&gt;0</formula>
    </cfRule>
    <cfRule type="expression" dxfId="308" priority="20">
      <formula>F27&lt;0</formula>
    </cfRule>
  </conditionalFormatting>
  <conditionalFormatting sqref="F37:F38">
    <cfRule type="expression" dxfId="307" priority="17">
      <formula>F37&gt;0</formula>
    </cfRule>
    <cfRule type="expression" dxfId="306" priority="18">
      <formula>F37&lt;0</formula>
    </cfRule>
  </conditionalFormatting>
  <conditionalFormatting sqref="H27:H32">
    <cfRule type="expression" dxfId="305" priority="15">
      <formula>H27&gt;0</formula>
    </cfRule>
    <cfRule type="expression" dxfId="304" priority="16">
      <formula>H27&lt;0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120.95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120.95</v>
      </c>
      <c r="R4" s="498">
        <v>-1.2699999999999999E-2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133.04500000000002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131.83550000000002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130.626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129.41650000000001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128.20700000000002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412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126.9975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125.78800000000001</v>
      </c>
      <c r="Q49" s="2"/>
      <c r="R49" s="34"/>
      <c r="T49" s="10" t="s">
        <v>103</v>
      </c>
      <c r="U49" s="87" t="s">
        <v>680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124.57850000000001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123.369</v>
      </c>
      <c r="Q51" s="2"/>
      <c r="R51" s="34"/>
      <c r="T51" s="10" t="s">
        <v>104</v>
      </c>
      <c r="U51" s="87" t="s">
        <v>681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122.15950000000001</v>
      </c>
      <c r="Q52" s="2"/>
      <c r="R52" s="34"/>
      <c r="T52" s="10" t="s">
        <v>105</v>
      </c>
      <c r="U52" s="87" t="s">
        <v>542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120.95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119.7405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118.53100000000001</v>
      </c>
      <c r="Q55" s="2"/>
      <c r="R55" s="34"/>
      <c r="T55" s="10" t="s">
        <v>107</v>
      </c>
      <c r="U55" s="87" t="s">
        <v>682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117.3215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116.11199999999999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114.9025</v>
      </c>
      <c r="T58" s="10" t="s">
        <v>108</v>
      </c>
      <c r="U58" s="87" t="s">
        <v>594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113.693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112.48350000000001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111.274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110.06450000000001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108.855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9" priority="25">
      <formula>F24&gt;0</formula>
    </cfRule>
    <cfRule type="expression" dxfId="298" priority="26">
      <formula>F24&lt;0</formula>
    </cfRule>
  </conditionalFormatting>
  <conditionalFormatting sqref="H21:H27">
    <cfRule type="expression" dxfId="297" priority="19">
      <formula>H21&gt;0</formula>
    </cfRule>
    <cfRule type="expression" dxfId="296" priority="20">
      <formula>H21&lt;0</formula>
    </cfRule>
  </conditionalFormatting>
  <conditionalFormatting sqref="F21:F23">
    <cfRule type="expression" dxfId="295" priority="5">
      <formula>F21&gt;0</formula>
    </cfRule>
    <cfRule type="expression" dxfId="294" priority="6">
      <formula>F21&lt;0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253.86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253.86</v>
      </c>
      <c r="R4" s="498">
        <v>6.4999999999999997E-3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0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0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0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07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97" t="s">
        <v>78</v>
      </c>
      <c r="P41" s="697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279.24600000000004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276.70740000000001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274.16880000000003</v>
      </c>
      <c r="Q44" s="2"/>
      <c r="T44" s="134" t="s">
        <v>99</v>
      </c>
      <c r="U44" s="87" t="s">
        <v>711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271.6302</v>
      </c>
      <c r="Q45" s="2"/>
      <c r="T45" s="134" t="s">
        <v>100</v>
      </c>
      <c r="U45" s="87" t="s">
        <v>712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269.09160000000003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266.553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264.01440000000002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261.47579999999999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258.93720000000002</v>
      </c>
      <c r="Q50" s="2"/>
      <c r="T50" s="134" t="s">
        <v>104</v>
      </c>
      <c r="U50" s="87" t="s">
        <v>713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256.39859999999999</v>
      </c>
      <c r="Q51" s="2"/>
      <c r="T51" s="134" t="s">
        <v>105</v>
      </c>
      <c r="U51" s="87" t="s">
        <v>533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253.86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251.32140000000001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248.78280000000001</v>
      </c>
      <c r="Q54" s="2"/>
      <c r="T54" s="134" t="s">
        <v>107</v>
      </c>
      <c r="U54" s="87" t="s">
        <v>714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246.24420000000001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243.7056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241.167</v>
      </c>
      <c r="T57" s="134" t="s">
        <v>108</v>
      </c>
      <c r="U57" s="87" t="s">
        <v>602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238.6284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236.08980000000003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233.55120000000002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231.01260000000002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228.47400000000002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9" priority="11">
      <formula>F21&gt;0</formula>
    </cfRule>
    <cfRule type="expression" dxfId="288" priority="12">
      <formula>F21&lt;0</formula>
    </cfRule>
  </conditionalFormatting>
  <conditionalFormatting sqref="H21:H23">
    <cfRule type="expression" dxfId="287" priority="9">
      <formula>H21&gt;0</formula>
    </cfRule>
    <cfRule type="expression" dxfId="286" priority="10">
      <formula>H21&lt;0</formula>
    </cfRule>
  </conditionalFormatting>
  <conditionalFormatting sqref="Q8">
    <cfRule type="expression" dxfId="285" priority="1">
      <formula>Q8&gt;0</formula>
    </cfRule>
    <cfRule type="expression" dxfId="284" priority="2">
      <formula>Q8&lt;0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81.239999999999995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81.239999999999995</v>
      </c>
      <c r="R4" s="498">
        <v>-5.3E-3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697" t="s">
        <v>78</v>
      </c>
      <c r="P40" s="697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89.364000000000004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88.551600000000008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87.739199999999997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86.9268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86.114400000000003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85.301999999999992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84.489599999999996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83.677199999999999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82.864800000000002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82.052399999999992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81.239999999999995</v>
      </c>
      <c r="Q51" s="2"/>
      <c r="T51" s="92" t="s">
        <v>104</v>
      </c>
      <c r="U51" s="87" t="s">
        <v>749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80.427599999999998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79.615199999999987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78.802799999999991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77.990399999999994</v>
      </c>
      <c r="T55" s="92" t="s">
        <v>107</v>
      </c>
      <c r="U55" s="87" t="s">
        <v>750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77.177999999999997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76.365599999999986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75.553200000000004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74.740799999999993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73.928399999999996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73.116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1" priority="15">
      <formula>F29&gt;0</formula>
    </cfRule>
    <cfRule type="expression" dxfId="280" priority="16">
      <formula>F29&lt;0</formula>
    </cfRule>
  </conditionalFormatting>
  <conditionalFormatting sqref="F34:F62">
    <cfRule type="expression" dxfId="279" priority="11">
      <formula>F34&gt;0</formula>
    </cfRule>
    <cfRule type="expression" dxfId="278" priority="12">
      <formula>F34&lt;0</formula>
    </cfRule>
  </conditionalFormatting>
  <conditionalFormatting sqref="F34:F62">
    <cfRule type="expression" dxfId="277" priority="13">
      <formula>F34&gt;0</formula>
    </cfRule>
    <cfRule type="expression" dxfId="276" priority="14">
      <formula>F34&lt;0</formula>
    </cfRule>
  </conditionalFormatting>
  <conditionalFormatting sqref="H29:H62">
    <cfRule type="expression" dxfId="275" priority="9">
      <formula>H29&gt;0</formula>
    </cfRule>
    <cfRule type="expression" dxfId="274" priority="10">
      <formula>H29&lt;0</formula>
    </cfRule>
  </conditionalFormatting>
  <conditionalFormatting sqref="F25:F28">
    <cfRule type="expression" dxfId="273" priority="7">
      <formula>F25&gt;0</formula>
    </cfRule>
    <cfRule type="expression" dxfId="272" priority="8">
      <formula>F25&lt;0</formula>
    </cfRule>
  </conditionalFormatting>
  <conditionalFormatting sqref="H25:H28">
    <cfRule type="expression" dxfId="271" priority="5">
      <formula>H25&gt;0</formula>
    </cfRule>
    <cfRule type="expression" dxfId="270" priority="6">
      <formula>H25&lt;0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73.94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73.94</v>
      </c>
      <c r="R4" s="518">
        <v>-0.02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81.334000000000003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80.5946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79.855199999999996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79.115800000000007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78.376400000000004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77.637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76.897599999999997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76.158199999999994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75.418800000000005</v>
      </c>
      <c r="Q49" s="2"/>
      <c r="T49" s="92" t="s">
        <v>103</v>
      </c>
      <c r="U49" s="87" t="s">
        <v>715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74.679400000000001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73.94</v>
      </c>
      <c r="Q51" s="2"/>
      <c r="T51" s="92" t="s">
        <v>104</v>
      </c>
      <c r="U51" s="87" t="s">
        <v>716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73.200599999999994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72.461199999999991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71.721800000000002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70.982399999999998</v>
      </c>
      <c r="T55" s="92" t="s">
        <v>107</v>
      </c>
      <c r="U55" s="87" t="s">
        <v>717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70.242999999999995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69.503599999999992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68.764200000000002</v>
      </c>
      <c r="T58" s="92" t="s">
        <v>108</v>
      </c>
      <c r="U58" s="87" t="s">
        <v>603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68.024799999999999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67.285399999999996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66.546000000000006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3" t="s">
        <v>351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384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422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427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464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5" priority="73">
      <formula>F25&gt;0</formula>
    </cfRule>
    <cfRule type="expression" dxfId="264" priority="74">
      <formula>F25&lt;0</formula>
    </cfRule>
  </conditionalFormatting>
  <conditionalFormatting sqref="F57:F64 F66">
    <cfRule type="expression" dxfId="263" priority="69">
      <formula>F57&gt;0</formula>
    </cfRule>
    <cfRule type="expression" dxfId="262" priority="70">
      <formula>F57&lt;0</formula>
    </cfRule>
  </conditionalFormatting>
  <conditionalFormatting sqref="F57:F64 F66">
    <cfRule type="expression" dxfId="261" priority="71">
      <formula>F57&gt;0</formula>
    </cfRule>
    <cfRule type="expression" dxfId="260" priority="72">
      <formula>F57&lt;0</formula>
    </cfRule>
  </conditionalFormatting>
  <conditionalFormatting sqref="H57:H64 H66">
    <cfRule type="expression" dxfId="259" priority="67">
      <formula>H57&gt;0</formula>
    </cfRule>
    <cfRule type="expression" dxfId="258" priority="68">
      <formula>H57&lt;0</formula>
    </cfRule>
  </conditionalFormatting>
  <conditionalFormatting sqref="Q7">
    <cfRule type="expression" dxfId="257" priority="49">
      <formula>Q7&gt;0</formula>
    </cfRule>
    <cfRule type="expression" dxfId="256" priority="50">
      <formula>Q7&lt;0</formula>
    </cfRule>
  </conditionalFormatting>
  <conditionalFormatting sqref="Q8">
    <cfRule type="expression" dxfId="255" priority="47">
      <formula>Q8&gt;0</formula>
    </cfRule>
    <cfRule type="expression" dxfId="254" priority="48">
      <formula>Q8&lt;0</formula>
    </cfRule>
  </conditionalFormatting>
  <conditionalFormatting sqref="F24">
    <cfRule type="expression" dxfId="253" priority="33">
      <formula>F24&gt;0</formula>
    </cfRule>
    <cfRule type="expression" dxfId="252" priority="34">
      <formula>F24&lt;0</formula>
    </cfRule>
  </conditionalFormatting>
  <conditionalFormatting sqref="H24">
    <cfRule type="expression" dxfId="251" priority="31">
      <formula>H24&gt;0</formula>
    </cfRule>
    <cfRule type="expression" dxfId="250" priority="32">
      <formula>H24&lt;0</formula>
    </cfRule>
  </conditionalFormatting>
  <conditionalFormatting sqref="M67">
    <cfRule type="expression" dxfId="249" priority="29">
      <formula>M67&gt;0</formula>
    </cfRule>
    <cfRule type="expression" dxfId="248" priority="30">
      <formula>M67&lt;0</formula>
    </cfRule>
  </conditionalFormatting>
  <conditionalFormatting sqref="F65">
    <cfRule type="expression" dxfId="247" priority="25">
      <formula>F65&gt;0</formula>
    </cfRule>
    <cfRule type="expression" dxfId="246" priority="26">
      <formula>F65&lt;0</formula>
    </cfRule>
  </conditionalFormatting>
  <conditionalFormatting sqref="F65">
    <cfRule type="expression" dxfId="245" priority="27">
      <formula>F65&gt;0</formula>
    </cfRule>
    <cfRule type="expression" dxfId="244" priority="28">
      <formula>F65&lt;0</formula>
    </cfRule>
  </conditionalFormatting>
  <conditionalFormatting sqref="H65">
    <cfRule type="expression" dxfId="243" priority="23">
      <formula>H65&gt;0</formula>
    </cfRule>
    <cfRule type="expression" dxfId="242" priority="24">
      <formula>H65&lt;0</formula>
    </cfRule>
  </conditionalFormatting>
  <conditionalFormatting sqref="F93:F97 H93:H97 H99:H124 F99:F124">
    <cfRule type="expression" dxfId="241" priority="19">
      <formula>F93&gt;0</formula>
    </cfRule>
    <cfRule type="expression" dxfId="240" priority="20">
      <formula>F93&lt;0</formula>
    </cfRule>
  </conditionalFormatting>
  <conditionalFormatting sqref="F125:F132 F134">
    <cfRule type="expression" dxfId="239" priority="15">
      <formula>F125&gt;0</formula>
    </cfRule>
    <cfRule type="expression" dxfId="238" priority="16">
      <formula>F125&lt;0</formula>
    </cfRule>
  </conditionalFormatting>
  <conditionalFormatting sqref="F125:F132 F134">
    <cfRule type="expression" dxfId="237" priority="17">
      <formula>F125&gt;0</formula>
    </cfRule>
    <cfRule type="expression" dxfId="236" priority="18">
      <formula>F125&lt;0</formula>
    </cfRule>
  </conditionalFormatting>
  <conditionalFormatting sqref="H125:H132 H134">
    <cfRule type="expression" dxfId="235" priority="13">
      <formula>H125&gt;0</formula>
    </cfRule>
    <cfRule type="expression" dxfId="234" priority="14">
      <formula>H125&lt;0</formula>
    </cfRule>
  </conditionalFormatting>
  <conditionalFormatting sqref="F92">
    <cfRule type="expression" dxfId="233" priority="11">
      <formula>F92&gt;0</formula>
    </cfRule>
    <cfRule type="expression" dxfId="232" priority="12">
      <formula>F92&lt;0</formula>
    </cfRule>
  </conditionalFormatting>
  <conditionalFormatting sqref="H92">
    <cfRule type="expression" dxfId="231" priority="9">
      <formula>H92&gt;0</formula>
    </cfRule>
    <cfRule type="expression" dxfId="230" priority="10">
      <formula>H92&lt;0</formula>
    </cfRule>
  </conditionalFormatting>
  <conditionalFormatting sqref="F133">
    <cfRule type="expression" dxfId="229" priority="5">
      <formula>F133&gt;0</formula>
    </cfRule>
    <cfRule type="expression" dxfId="228" priority="6">
      <formula>F133&lt;0</formula>
    </cfRule>
  </conditionalFormatting>
  <conditionalFormatting sqref="F133">
    <cfRule type="expression" dxfId="227" priority="7">
      <formula>F133&gt;0</formula>
    </cfRule>
    <cfRule type="expression" dxfId="226" priority="8">
      <formula>F133&lt;0</formula>
    </cfRule>
  </conditionalFormatting>
  <conditionalFormatting sqref="H133">
    <cfRule type="expression" dxfId="225" priority="3">
      <formula>H133&gt;0</formula>
    </cfRule>
    <cfRule type="expression" dxfId="224" priority="4">
      <formula>H133&lt;0</formula>
    </cfRule>
  </conditionalFormatting>
  <conditionalFormatting sqref="F98 H98">
    <cfRule type="expression" dxfId="223" priority="1">
      <formula>F98&gt;0</formula>
    </cfRule>
    <cfRule type="expression" dxfId="22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51.23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51.23</v>
      </c>
      <c r="R4" s="520">
        <v>-3.0999999999999999E-3</v>
      </c>
      <c r="T4" s="509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474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697" t="s">
        <v>78</v>
      </c>
      <c r="P42" s="697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56.353000000000002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55.840699999999998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55.328400000000002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54.816099999999999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54.303800000000003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53.791499999999999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53.279199999999996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52.7669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52.254599999999996</v>
      </c>
      <c r="Q51" s="2"/>
      <c r="T51" s="92" t="s">
        <v>104</v>
      </c>
      <c r="U51" s="87" t="s">
        <v>718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51.7423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51.23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50.717699999999994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50.205399999999997</v>
      </c>
      <c r="T55" s="92" t="s">
        <v>107</v>
      </c>
      <c r="U55" s="87" t="s">
        <v>641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49.693099999999994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49.180799999999998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48.668499999999995</v>
      </c>
      <c r="T58" s="92" t="s">
        <v>108</v>
      </c>
      <c r="U58" s="87" t="s">
        <v>604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48.156199999999991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47.643900000000002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47.131599999999999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46.619299999999996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46.106999999999999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21" priority="31">
      <formula>F45&gt;0</formula>
    </cfRule>
    <cfRule type="expression" dxfId="22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9" priority="33">
      <formula>F40&gt;0</formula>
    </cfRule>
    <cfRule type="expression" dxfId="218" priority="34">
      <formula>F40&lt;0</formula>
    </cfRule>
  </conditionalFormatting>
  <conditionalFormatting sqref="F45:F59 F61:F91 F93:F102">
    <cfRule type="expression" dxfId="217" priority="29">
      <formula>F45&gt;0</formula>
    </cfRule>
    <cfRule type="expression" dxfId="216" priority="30">
      <formula>F45&lt;0</formula>
    </cfRule>
  </conditionalFormatting>
  <conditionalFormatting sqref="H40:H59 H61:H91 H93:H102">
    <cfRule type="expression" dxfId="215" priority="27">
      <formula>H40&gt;0</formula>
    </cfRule>
    <cfRule type="expression" dxfId="214" priority="28">
      <formula>H40&lt;0</formula>
    </cfRule>
  </conditionalFormatting>
  <conditionalFormatting sqref="F36:F39">
    <cfRule type="expression" dxfId="213" priority="25">
      <formula>F36&gt;0</formula>
    </cfRule>
    <cfRule type="expression" dxfId="212" priority="26">
      <formula>F36&lt;0</formula>
    </cfRule>
  </conditionalFormatting>
  <conditionalFormatting sqref="H36:H39">
    <cfRule type="expression" dxfId="211" priority="23">
      <formula>H36&gt;0</formula>
    </cfRule>
    <cfRule type="expression" dxfId="210" priority="24">
      <formula>H36&lt;0</formula>
    </cfRule>
  </conditionalFormatting>
  <conditionalFormatting sqref="Q7">
    <cfRule type="expression" dxfId="209" priority="17">
      <formula>Q7&gt;0</formula>
    </cfRule>
    <cfRule type="expression" dxfId="208" priority="18">
      <formula>Q7&lt;0</formula>
    </cfRule>
  </conditionalFormatting>
  <conditionalFormatting sqref="Q8">
    <cfRule type="expression" dxfId="207" priority="15">
      <formula>Q8&gt;0</formula>
    </cfRule>
    <cfRule type="expression" dxfId="206" priority="16">
      <formula>Q8&lt;0</formula>
    </cfRule>
  </conditionalFormatting>
  <conditionalFormatting sqref="Q10">
    <cfRule type="expression" dxfId="205" priority="13">
      <formula>Q10&gt;0</formula>
    </cfRule>
    <cfRule type="expression" dxfId="204" priority="14">
      <formula>Q10&lt;0</formula>
    </cfRule>
  </conditionalFormatting>
  <conditionalFormatting sqref="F60">
    <cfRule type="expression" dxfId="203" priority="11">
      <formula>F60&gt;0</formula>
    </cfRule>
    <cfRule type="expression" dxfId="202" priority="12">
      <formula>F60&lt;0</formula>
    </cfRule>
  </conditionalFormatting>
  <conditionalFormatting sqref="F60">
    <cfRule type="expression" dxfId="201" priority="9">
      <formula>F60&gt;0</formula>
    </cfRule>
    <cfRule type="expression" dxfId="200" priority="10">
      <formula>F60&lt;0</formula>
    </cfRule>
  </conditionalFormatting>
  <conditionalFormatting sqref="H60">
    <cfRule type="expression" dxfId="199" priority="7">
      <formula>H60&gt;0</formula>
    </cfRule>
    <cfRule type="expression" dxfId="198" priority="8">
      <formula>H60&lt;0</formula>
    </cfRule>
  </conditionalFormatting>
  <conditionalFormatting sqref="F92">
    <cfRule type="expression" dxfId="197" priority="5">
      <formula>F92&gt;0</formula>
    </cfRule>
    <cfRule type="expression" dxfId="196" priority="6">
      <formula>F92&lt;0</formula>
    </cfRule>
  </conditionalFormatting>
  <conditionalFormatting sqref="F92">
    <cfRule type="expression" dxfId="195" priority="3">
      <formula>F92&gt;0</formula>
    </cfRule>
    <cfRule type="expression" dxfId="194" priority="4">
      <formula>F92&lt;0</formula>
    </cfRule>
  </conditionalFormatting>
  <conditionalFormatting sqref="H92">
    <cfRule type="expression" dxfId="193" priority="1">
      <formula>H92&gt;0</formula>
    </cfRule>
    <cfRule type="expression" dxfId="19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160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8">
        <f>IF(Q2=0, Q4, (F18-K18-M18)/Q2)</f>
        <v>30.670562499999999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73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3"/>
      <c r="I4" s="3"/>
      <c r="J4" s="3"/>
      <c r="K4" s="3"/>
      <c r="L4" s="4"/>
      <c r="M4" s="4"/>
      <c r="O4" s="11" t="s">
        <v>66</v>
      </c>
      <c r="Q4" s="199">
        <v>28.75</v>
      </c>
      <c r="R4" s="498">
        <v>-8.3000000000000001E-3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497">
        <v>42873</v>
      </c>
      <c r="C5" s="4">
        <v>80</v>
      </c>
      <c r="D5" s="3">
        <v>29.68</v>
      </c>
      <c r="E5" s="3">
        <v>0</v>
      </c>
      <c r="F5" s="3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4600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4907.29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-307.28999999999996</v>
      </c>
      <c r="R7">
        <v>80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-307.28999999999996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-6.261908303768475E-2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280</v>
      </c>
      <c r="D18" s="38"/>
      <c r="E18" s="38"/>
      <c r="F18" s="38">
        <f>SUM(F2:F17)</f>
        <v>8873.6</v>
      </c>
      <c r="G18" s="37"/>
      <c r="H18" s="181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A26">
        <v>0</v>
      </c>
      <c r="B26" s="191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30">
        <f>(E26-D26)/D26</f>
        <v>-3.0667805651014322E-2</v>
      </c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31.625000000000004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31.337500000000002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31.05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30.762500000000003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30.475000000000001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30.1875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29.900000000000002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29.612500000000001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29.324999999999999</v>
      </c>
      <c r="Q51" s="82"/>
      <c r="R51" s="34"/>
      <c r="T51" s="92" t="s">
        <v>104</v>
      </c>
      <c r="U51" s="87" t="s">
        <v>719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29.037500000000001</v>
      </c>
      <c r="Q52" s="82"/>
      <c r="R52" s="34"/>
      <c r="T52" s="92" t="s">
        <v>105</v>
      </c>
      <c r="U52" s="87" t="s">
        <v>543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28.75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28.462499999999999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28.175000000000001</v>
      </c>
      <c r="Q55" s="82"/>
      <c r="T55" s="92" t="s">
        <v>107</v>
      </c>
      <c r="U55" s="87" t="s">
        <v>720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27.887499999999999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27.599999999999998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27.3125</v>
      </c>
      <c r="Q58" s="82"/>
      <c r="T58" s="92" t="s">
        <v>108</v>
      </c>
      <c r="U58" s="87" t="s">
        <v>605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27.024999999999999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26.737500000000001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26.450000000000003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26.162500000000001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25.875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1" priority="63">
      <formula>F26&gt;0</formula>
    </cfRule>
    <cfRule type="expression" dxfId="190" priority="64">
      <formula>F26&lt;0</formula>
    </cfRule>
  </conditionalFormatting>
  <conditionalFormatting sqref="H26:H27">
    <cfRule type="expression" dxfId="189" priority="61">
      <formula>H26&gt;0</formula>
    </cfRule>
    <cfRule type="expression" dxfId="188" priority="62">
      <formula>H26&lt;0</formula>
    </cfRule>
  </conditionalFormatting>
  <conditionalFormatting sqref="H28">
    <cfRule type="expression" dxfId="187" priority="59">
      <formula>H28&gt;0</formula>
    </cfRule>
    <cfRule type="expression" dxfId="186" priority="60">
      <formula>H28&lt;0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105.5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105.5</v>
      </c>
      <c r="R4" s="498">
        <v>-9.5999999999999992E-3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697" t="s">
        <v>78</v>
      </c>
      <c r="P40" s="697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116.05000000000001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114.995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113.94000000000001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112.88500000000001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111.83000000000001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110.77500000000001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109.72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108.66500000000001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107.61</v>
      </c>
      <c r="Q49" s="2"/>
      <c r="T49" s="92" t="s">
        <v>103</v>
      </c>
      <c r="U49" s="87" t="s">
        <v>558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106.55500000000001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105.5</v>
      </c>
      <c r="Q51" s="2"/>
      <c r="T51" s="92" t="s">
        <v>104</v>
      </c>
      <c r="U51" s="87" t="s">
        <v>721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104.44499999999999</v>
      </c>
      <c r="Q52" s="2"/>
      <c r="T52" s="92" t="s">
        <v>105</v>
      </c>
      <c r="U52" s="87" t="s">
        <v>722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103.39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102.33499999999999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101.28</v>
      </c>
      <c r="T55" s="92" t="s">
        <v>107</v>
      </c>
      <c r="U55" s="87" t="s">
        <v>723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100.22499999999999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99.169999999999987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98.115000000000009</v>
      </c>
      <c r="T58" s="92" t="s">
        <v>108</v>
      </c>
      <c r="U58" s="87" t="s">
        <v>581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97.06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96.00500000000001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94.95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196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2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2.6636025000000001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754</v>
      </c>
      <c r="O4" s="11" t="s">
        <v>66</v>
      </c>
      <c r="Q4" s="199">
        <v>1.27</v>
      </c>
      <c r="R4" s="498">
        <v>-7.7999999999999996E-3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5080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10654.41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-5139.4799999999996</v>
      </c>
      <c r="R7">
        <v>2000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-5574.41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-0.5232021294468675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9">
        <v>42874</v>
      </c>
      <c r="H12" s="183">
        <v>2000</v>
      </c>
      <c r="I12" s="79">
        <v>1.4550000000000001</v>
      </c>
      <c r="J12" s="2">
        <v>0.06</v>
      </c>
      <c r="K12" s="2">
        <f t="shared" si="1"/>
        <v>2909.94</v>
      </c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9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45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45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B19" s="497">
        <v>42879</v>
      </c>
      <c r="C19" s="4">
        <v>2000</v>
      </c>
      <c r="D19" s="2">
        <v>1.37</v>
      </c>
      <c r="E19" s="2">
        <v>0</v>
      </c>
      <c r="F19" s="2">
        <f t="shared" si="4"/>
        <v>2740</v>
      </c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10800</v>
      </c>
      <c r="D23" s="18"/>
      <c r="E23" s="18"/>
      <c r="F23" s="18">
        <f>SUM(F2:F22)</f>
        <v>29850</v>
      </c>
      <c r="G23" s="14"/>
      <c r="H23" s="14">
        <f>SUM(H2:H22)</f>
        <v>6800</v>
      </c>
      <c r="I23" s="18"/>
      <c r="J23" s="18"/>
      <c r="K23" s="18">
        <f>SUM(K2:K22)</f>
        <v>18870.09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697" t="s">
        <v>78</v>
      </c>
      <c r="P40" s="697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312</v>
      </c>
      <c r="J41" s="40"/>
      <c r="K41" s="40"/>
      <c r="O41" s="82">
        <v>1.1000000000000001</v>
      </c>
      <c r="P41" s="82">
        <f>O41*$Q$4</f>
        <v>1.3970000000000002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1.3843000000000001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1.3716000000000002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1.3589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1.3462000000000001</v>
      </c>
      <c r="Q45" s="2"/>
      <c r="T45" s="92" t="s">
        <v>99</v>
      </c>
      <c r="U45" s="87" t="s">
        <v>724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1.3335000000000001</v>
      </c>
      <c r="Q46" s="2"/>
      <c r="T46" s="92" t="s">
        <v>100</v>
      </c>
      <c r="U46" s="87" t="s">
        <v>725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1.3208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1.3081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1.2954000000000001</v>
      </c>
      <c r="Q49" s="2"/>
      <c r="T49" s="92" t="s">
        <v>121</v>
      </c>
      <c r="U49" s="87" t="s">
        <v>448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1.2827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1.27</v>
      </c>
      <c r="Q51" s="2"/>
      <c r="T51" s="92" t="s">
        <v>104</v>
      </c>
      <c r="U51" s="87" t="s">
        <v>726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1.2573000000000001</v>
      </c>
      <c r="Q52" s="2"/>
      <c r="T52" s="92" t="s">
        <v>105</v>
      </c>
      <c r="U52" s="87" t="s">
        <v>563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1.2445999999999999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1.2319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1.2192000000000001</v>
      </c>
      <c r="T55" s="92" t="s">
        <v>107</v>
      </c>
      <c r="U55" s="87" t="s">
        <v>727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1.2064999999999999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1.1938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420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1.1811</v>
      </c>
      <c r="T58" s="92" t="s">
        <v>108</v>
      </c>
      <c r="U58" s="87" t="s">
        <v>606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424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1.1684000000000001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472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1.1556999999999999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476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1.143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489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490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" si="36">C71*(E71-D71)</f>
        <v>-5194.3999999999996</v>
      </c>
      <c r="G71" s="40">
        <f t="shared" ref="G71:G72" si="37">D71*C71</f>
        <v>11034.4</v>
      </c>
      <c r="H71" s="230">
        <f t="shared" ref="H71" si="38">(E71-D71)/D71</f>
        <v>-0.47074603059522946</v>
      </c>
      <c r="I71" s="40"/>
      <c r="J71" s="40"/>
      <c r="K71" s="234">
        <v>-4549</v>
      </c>
    </row>
    <row r="72" spans="1:31" x14ac:dyDescent="0.25">
      <c r="B72" s="191">
        <v>42879</v>
      </c>
      <c r="C72" s="10">
        <v>4000</v>
      </c>
      <c r="D72" s="240">
        <v>2.6636000000000002</v>
      </c>
      <c r="E72" s="40"/>
      <c r="F72" s="234"/>
      <c r="G72" s="40">
        <f t="shared" si="37"/>
        <v>10654.400000000001</v>
      </c>
      <c r="H72" s="230"/>
      <c r="I72" s="40"/>
      <c r="J72" s="40"/>
      <c r="K72" s="234"/>
    </row>
    <row r="73" spans="1:31" x14ac:dyDescent="0.25">
      <c r="B73" s="191"/>
      <c r="C73" s="10"/>
      <c r="D73" s="240"/>
      <c r="E73" s="40"/>
      <c r="F73" s="234"/>
      <c r="G73" s="40"/>
      <c r="H73" s="230"/>
      <c r="I73" s="40"/>
      <c r="J73" s="40"/>
      <c r="K73" s="234"/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113</v>
      </c>
      <c r="C117" s="510" t="s">
        <v>146</v>
      </c>
      <c r="D117" s="511" t="s">
        <v>145</v>
      </c>
      <c r="E117" s="512" t="s">
        <v>147</v>
      </c>
      <c r="F117" s="513" t="s">
        <v>65</v>
      </c>
      <c r="G117" s="514" t="s">
        <v>151</v>
      </c>
      <c r="H117" s="513" t="s">
        <v>88</v>
      </c>
      <c r="I117" s="514" t="s">
        <v>154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9">C120*(E120-D120)</f>
        <v>-89.999999999999858</v>
      </c>
      <c r="G120" s="378">
        <f t="shared" ref="G120:G128" si="40">D120*C120</f>
        <v>2175</v>
      </c>
      <c r="H120" s="380">
        <f t="shared" ref="H120:H128" si="41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9"/>
        <v>84.999999999999972</v>
      </c>
      <c r="G121" s="378">
        <f t="shared" si="40"/>
        <v>1045</v>
      </c>
      <c r="H121" s="380">
        <f t="shared" si="41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9"/>
        <v>40.000000000000036</v>
      </c>
      <c r="G122" s="378">
        <f t="shared" si="40"/>
        <v>2135</v>
      </c>
      <c r="H122" s="380">
        <f t="shared" si="41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9"/>
        <v>165.00000000000003</v>
      </c>
      <c r="G123" s="378">
        <f t="shared" si="40"/>
        <v>2135</v>
      </c>
      <c r="H123" s="380">
        <f t="shared" si="41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9"/>
        <v>40.000000000000036</v>
      </c>
      <c r="G124" s="378">
        <f t="shared" si="40"/>
        <v>1022.5</v>
      </c>
      <c r="H124" s="380">
        <f t="shared" si="41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9"/>
        <v>87.500000000000128</v>
      </c>
      <c r="G125" s="378">
        <f t="shared" si="40"/>
        <v>1022.5</v>
      </c>
      <c r="H125" s="380">
        <f t="shared" si="41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9"/>
        <v>302.5</v>
      </c>
      <c r="G126" s="378">
        <f t="shared" si="40"/>
        <v>1022.5</v>
      </c>
      <c r="H126" s="380">
        <f t="shared" si="41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9"/>
        <v>345</v>
      </c>
      <c r="G127" s="378">
        <f t="shared" si="40"/>
        <v>1022.5</v>
      </c>
      <c r="H127" s="380">
        <f t="shared" si="41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9"/>
        <v>385</v>
      </c>
      <c r="G128" s="378">
        <f t="shared" si="40"/>
        <v>1022.5</v>
      </c>
      <c r="H128" s="380">
        <f t="shared" si="41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64.849999999999994</v>
      </c>
      <c r="R4" s="498">
        <v>-9.5999999999999992E-3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16212.499999999998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-3328.4900000000071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-3328.4900000000071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O9" s="11" t="s">
        <v>212</v>
      </c>
      <c r="Q9" s="136">
        <f>IF(Q2=0, 0, Q8/Q6)</f>
        <v>-0.17033374460557041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541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79" t="s">
        <v>534</v>
      </c>
      <c r="K39" s="680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697" t="s">
        <v>78</v>
      </c>
      <c r="P42" s="697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71.334999999999994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70.686499999999995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70.037999999999997</v>
      </c>
      <c r="Q45" s="2"/>
      <c r="T45" s="92" t="s">
        <v>99</v>
      </c>
      <c r="U45" s="87" t="s">
        <v>728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69.389499999999998</v>
      </c>
      <c r="Q46" s="2"/>
      <c r="T46" s="92" t="s">
        <v>100</v>
      </c>
      <c r="U46" s="87" t="s">
        <v>729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68.741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68.092500000000001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67.444000000000003</v>
      </c>
      <c r="Q49" s="2"/>
      <c r="T49" s="92" t="s">
        <v>103</v>
      </c>
      <c r="U49" s="87" t="s">
        <v>607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66.79549999999999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66.146999999999991</v>
      </c>
      <c r="Q51" s="2"/>
      <c r="T51" s="92" t="s">
        <v>104</v>
      </c>
      <c r="U51" s="87" t="s">
        <v>730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65.498499999999993</v>
      </c>
      <c r="Q52" s="2"/>
      <c r="T52" s="92" t="s">
        <v>105</v>
      </c>
      <c r="U52" s="87" t="s">
        <v>438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64.849999999999994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64.201499999999996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63.55299999999999</v>
      </c>
      <c r="Q55" s="2"/>
      <c r="T55" s="92" t="s">
        <v>107</v>
      </c>
      <c r="U55" s="87" t="s">
        <v>731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62.904499999999992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62.255999999999993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61.607499999999995</v>
      </c>
      <c r="T58" s="92" t="s">
        <v>108</v>
      </c>
      <c r="U58" s="87" t="s">
        <v>608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60.958999999999989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60.310499999999998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59.661999999999999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59.013499999999993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58.364999999999995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395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419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433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452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455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470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419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" si="41">C131*(E131-D131)</f>
        <v>-2591.0000000000009</v>
      </c>
      <c r="G131" s="40">
        <f t="shared" ref="G131" si="42">D131*C131</f>
        <v>19541</v>
      </c>
      <c r="H131" s="230">
        <f t="shared" ref="H131" si="43">(E131-D131)/D131</f>
        <v>-0.13259300956962289</v>
      </c>
      <c r="I131" s="350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0"/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1 H124:H131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69.27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69.27</v>
      </c>
      <c r="R4" s="498">
        <v>-5.1999999999999998E-3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462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697" t="s">
        <v>78</v>
      </c>
      <c r="P42" s="697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76.197000000000003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75.504300000000001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74.811599999999999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74.118899999999996</v>
      </c>
      <c r="Q46" s="82"/>
      <c r="T46" s="92" t="s">
        <v>100</v>
      </c>
      <c r="U46" s="87" t="s">
        <v>732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73.426199999999994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72.733499999999992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72.040800000000004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71.348100000000002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70.6554</v>
      </c>
      <c r="Q51" s="82"/>
      <c r="T51" s="92" t="s">
        <v>104</v>
      </c>
      <c r="U51" s="87" t="s">
        <v>733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69.962699999999998</v>
      </c>
      <c r="Q52" s="82"/>
      <c r="T52" s="92" t="s">
        <v>105</v>
      </c>
      <c r="U52" s="87" t="s">
        <v>734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69.27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68.577299999999994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67.884599999999992</v>
      </c>
      <c r="Q55" s="82"/>
      <c r="T55" s="92" t="s">
        <v>107</v>
      </c>
      <c r="U55" s="87" t="s">
        <v>735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67.19189999999999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66.499199999999988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65.8065</v>
      </c>
      <c r="Q58" s="82"/>
      <c r="T58" s="92" t="s">
        <v>108</v>
      </c>
      <c r="U58" s="87" t="s">
        <v>572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65.113799999999998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64.421099999999996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63.728400000000001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63.035699999999999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62.342999999999996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162">
        <v>42622</v>
      </c>
      <c r="C2" s="4">
        <v>25</v>
      </c>
      <c r="D2" s="3">
        <v>66.959999999999994</v>
      </c>
      <c r="E2" s="3">
        <v>0</v>
      </c>
      <c r="F2" s="3">
        <f t="shared" ref="F2:F7" si="0">C2*D2+E2</f>
        <v>1673.9999999999998</v>
      </c>
      <c r="G2" s="73"/>
      <c r="H2" s="183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162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58.896450000000002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57.53</v>
      </c>
      <c r="R4" s="498">
        <v>1.6000000000000001E-3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7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11506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73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11779.29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497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-223.34000000000106</v>
      </c>
      <c r="R7">
        <v>150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O8" s="11" t="s">
        <v>182</v>
      </c>
      <c r="P8" s="34"/>
      <c r="Q8" s="2">
        <f>K18+M18-F18+Q2*Q4</f>
        <v>-273.29000000000087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O9" s="11" t="s">
        <v>212</v>
      </c>
      <c r="Q9" s="136">
        <f>IF(Q2=0, 0, Q8/Q6)</f>
        <v>-2.3200889017928997E-2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200</v>
      </c>
      <c r="D18" s="13"/>
      <c r="E18" s="13"/>
      <c r="F18" s="13">
        <f>SUM(F2:F17)</f>
        <v>11851.29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459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1" si="9">C36*(E36-D36)</f>
        <v>-56.497500000000223</v>
      </c>
      <c r="G36" s="40">
        <f t="shared" ref="G36:G41" si="10">D36*C36</f>
        <v>4643.4975000000004</v>
      </c>
      <c r="H36" s="229">
        <f t="shared" ref="H36:H41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697" t="s">
        <v>78</v>
      </c>
      <c r="P41" s="697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O42" s="82">
        <v>1.1000000000000001</v>
      </c>
      <c r="P42" s="82">
        <f>O42*$Q$4</f>
        <v>63.283000000000008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2">O43*$Q$4</f>
        <v>62.707700000000003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2"/>
        <v>62.132400000000004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2"/>
        <v>61.557100000000005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2"/>
        <v>60.981800000000007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2"/>
        <v>60.406500000000001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2"/>
        <v>59.831200000000003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2"/>
        <v>59.255900000000004</v>
      </c>
      <c r="Q49" s="2"/>
      <c r="T49" s="92" t="s">
        <v>121</v>
      </c>
      <c r="U49" s="129" t="s">
        <v>569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2"/>
        <v>58.680600000000005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2"/>
        <v>58.1053</v>
      </c>
      <c r="Q51" s="2"/>
      <c r="T51" s="92" t="s">
        <v>104</v>
      </c>
      <c r="U51" s="129" t="s">
        <v>736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2"/>
        <v>57.53</v>
      </c>
      <c r="Q52" s="2"/>
      <c r="T52" s="92" t="s">
        <v>105</v>
      </c>
      <c r="U52" s="129" t="s">
        <v>737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2"/>
        <v>56.954700000000003</v>
      </c>
      <c r="Q53" s="2"/>
      <c r="T53" s="505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2"/>
        <v>56.379399999999997</v>
      </c>
      <c r="Q54" s="2"/>
      <c r="T54" s="505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2"/>
        <v>55.804099999999998</v>
      </c>
      <c r="T55" s="92" t="s">
        <v>107</v>
      </c>
      <c r="U55" s="129" t="s">
        <v>738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2"/>
        <v>55.2288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2"/>
        <v>54.653500000000001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2"/>
        <v>54.078199999999995</v>
      </c>
      <c r="T58" s="92" t="s">
        <v>108</v>
      </c>
      <c r="U58" s="129" t="s">
        <v>609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2"/>
        <v>53.502900000000004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2"/>
        <v>52.927600000000005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2"/>
        <v>52.3523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2"/>
        <v>51.777000000000001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34.43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34.43</v>
      </c>
      <c r="R4" s="498">
        <v>-8.9999999999999998E-4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08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08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697" t="s">
        <v>78</v>
      </c>
      <c r="P41" s="697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37.873000000000005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37.528700000000001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37.184400000000004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36.8401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36.495800000000003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36.151499999999999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35.807200000000002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35.462899999999998</v>
      </c>
      <c r="Q49" s="2"/>
      <c r="T49" s="10" t="s">
        <v>103</v>
      </c>
      <c r="U49" s="10" t="s">
        <v>573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35.118600000000001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34.774299999999997</v>
      </c>
      <c r="Q51" s="2"/>
      <c r="T51" s="10" t="s">
        <v>104</v>
      </c>
      <c r="U51" s="10" t="s">
        <v>739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34.43</v>
      </c>
      <c r="Q52" s="2"/>
      <c r="T52" s="10" t="s">
        <v>105</v>
      </c>
      <c r="U52" s="10" t="s">
        <v>517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34.085700000000003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33.741399999999999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33.397100000000002</v>
      </c>
      <c r="T55" s="10" t="s">
        <v>107</v>
      </c>
      <c r="U55" s="10" t="s">
        <v>740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33.052799999999998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32.708500000000001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32.364199999999997</v>
      </c>
      <c r="T58" s="10" t="s">
        <v>108</v>
      </c>
      <c r="U58" s="10" t="s">
        <v>610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32.0199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31.675600000000003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31.331300000000002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30.987000000000002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176.07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176.07</v>
      </c>
      <c r="R4" s="498">
        <v>-2.0999999999999999E-3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697" t="s">
        <v>78</v>
      </c>
      <c r="P45" s="697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193.67700000000002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191.91630000000001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190.15559999999999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188.39490000000001</v>
      </c>
      <c r="Q49" s="2"/>
      <c r="T49" s="92" t="s">
        <v>103</v>
      </c>
      <c r="U49" s="431" t="s">
        <v>611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186.63419999999999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184.87350000000001</v>
      </c>
      <c r="Q51" s="2"/>
      <c r="T51" s="92" t="s">
        <v>104</v>
      </c>
      <c r="U51" s="431" t="s">
        <v>741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183.11279999999999</v>
      </c>
      <c r="Q52" s="2"/>
      <c r="T52" s="92" t="s">
        <v>105</v>
      </c>
      <c r="U52" s="431" t="s">
        <v>574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181.35210000000001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179.59139999999999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177.83070000000001</v>
      </c>
      <c r="Q55" s="2"/>
      <c r="T55" s="92" t="s">
        <v>107</v>
      </c>
      <c r="U55" s="431" t="s">
        <v>742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176.07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174.30929999999998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172.54859999999999</v>
      </c>
      <c r="Q58" s="2"/>
      <c r="T58" s="92" t="s">
        <v>108</v>
      </c>
      <c r="U58" s="431" t="s">
        <v>564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170.78789999999998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169.02719999999999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167.26649999999998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165.50579999999999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163.74510000000001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161.98439999999999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160.22370000000001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158.46299999999999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45.25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45.25</v>
      </c>
      <c r="R4" s="498">
        <v>-1.2E-2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49.775000000000006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49.322500000000005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48.870000000000005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48.417500000000004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47.965000000000003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47.512500000000003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47.06</v>
      </c>
      <c r="Q49" s="2"/>
      <c r="T49" s="92" t="s">
        <v>121</v>
      </c>
      <c r="U49" s="431" t="s">
        <v>394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46.607500000000002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46.155000000000001</v>
      </c>
      <c r="Q51" s="2"/>
      <c r="T51" s="92" t="s">
        <v>104</v>
      </c>
      <c r="U51" s="431" t="s">
        <v>743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45.702500000000001</v>
      </c>
      <c r="Q52" s="2"/>
      <c r="T52" s="92" t="s">
        <v>105</v>
      </c>
      <c r="U52" s="431" t="s">
        <v>475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45.25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44.797499999999999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44.344999999999999</v>
      </c>
      <c r="Q55" s="2"/>
      <c r="T55" s="92" t="s">
        <v>107</v>
      </c>
      <c r="U55" s="431" t="s">
        <v>744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43.892499999999998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43.44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42.987499999999997</v>
      </c>
      <c r="Q58" s="2"/>
      <c r="T58" s="92" t="s">
        <v>108</v>
      </c>
      <c r="U58" s="431" t="s">
        <v>612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42.534999999999997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42.082500000000003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41.63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41.177500000000002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40.725000000000001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120.12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120.12</v>
      </c>
      <c r="R4" s="498">
        <v>-7.1000000000000004E-3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697" t="s">
        <v>78</v>
      </c>
      <c r="Q39" s="697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132.13200000000001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130.9308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129.7296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128.5284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127.3272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126.126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124.9248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123.7236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122.5224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121.3212</v>
      </c>
      <c r="T49" s="92" t="s">
        <v>121</v>
      </c>
      <c r="U49" s="87" t="s">
        <v>394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120.12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118.9188</v>
      </c>
      <c r="T51" s="92" t="s">
        <v>104</v>
      </c>
      <c r="U51" s="87" t="s">
        <v>745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117.7176</v>
      </c>
      <c r="T52" s="92" t="s">
        <v>105</v>
      </c>
      <c r="U52" s="87" t="s">
        <v>544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116.5164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115.3152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114.114</v>
      </c>
      <c r="T55" s="92" t="s">
        <v>107</v>
      </c>
      <c r="U55" s="87" t="s">
        <v>746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112.9128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111.7116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110.5104</v>
      </c>
      <c r="T58" s="92" t="s">
        <v>108</v>
      </c>
      <c r="U58" s="87" t="s">
        <v>613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109.3092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108.108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180.82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180.82</v>
      </c>
      <c r="R4" s="498">
        <v>8.0999999999999996E-3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582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697" t="s">
        <v>78</v>
      </c>
      <c r="P41" s="697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198.90200000000002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197.09380000000002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195.28560000000002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193.47740000000002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191.66919999999999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189.86099999999999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188.05279999999999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186.24459999999999</v>
      </c>
      <c r="Q49" s="82"/>
      <c r="T49" s="92" t="s">
        <v>103</v>
      </c>
      <c r="U49" s="87" t="s">
        <v>559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184.43639999999999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182.62819999999999</v>
      </c>
      <c r="Q51" s="82"/>
      <c r="T51" s="92" t="s">
        <v>104</v>
      </c>
      <c r="U51" s="87" t="s">
        <v>747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180.82</v>
      </c>
      <c r="Q52" s="82"/>
      <c r="T52" s="92" t="s">
        <v>105</v>
      </c>
      <c r="U52" s="87" t="s">
        <v>554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179.01179999999999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177.20359999999999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175.3954</v>
      </c>
      <c r="Q55" s="82"/>
      <c r="T55" s="92" t="s">
        <v>107</v>
      </c>
      <c r="U55" s="87" t="s">
        <v>748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173.5872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171.779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169.9708</v>
      </c>
      <c r="Q58" s="82"/>
      <c r="T58" s="92" t="s">
        <v>108</v>
      </c>
      <c r="U58" s="87" t="s">
        <v>614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168.1626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166.3544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164.5462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162.738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109</vt:i4>
      </vt:variant>
    </vt:vector>
  </HeadingPairs>
  <TitlesOfParts>
    <vt:vector size="169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AAP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AAP!hp?s_dg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KR!hp?s_KR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AAP!q?s_dg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2017-06-07T03:08:16Z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